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emf" ContentType="image/x-emf"/>
  <Override PartName="/xl/styles.xml" ContentType="application/vnd.openxmlformats-officedocument.spreadsheetml.styles+xml"/>
  <Override PartName="/xl/drawings/drawing1.xml" ContentType="application/vnd.openxmlformats-officedocument.drawing+xml"/>
  <Default Extension="bin" ContentType="application/vnd.openxmlformats-officedocument.spreadsheetml.printerSettings"/>
  <Override PartName="/xl/customProperty1.bin" ContentType="application/vnd.openxmlformats-officedocument.spreadsheetml.customProperty"/>
  <Override PartName="/xl/worksheets/sheet1.xml" ContentType="application/vnd.openxmlformats-officedocument.spreadsheetml.worksheet+xml"/>
  <Override PartName="/xl/customProperty2.bin" ContentType="application/vnd.openxmlformats-officedocument.spreadsheetml.customProperty"/>
  <Override PartName="/xl/worksheets/sheet2.xml" ContentType="application/vnd.openxmlformats-officedocument.spreadsheetml.worksheet+xml"/>
  <Override PartName="/xl/customProperty3.bin" ContentType="application/vnd.openxmlformats-officedocument.spreadsheetml.customProperty"/>
  <Override PartName="/xl/worksheets/sheet3.xml" ContentType="application/vnd.openxmlformats-officedocument.spreadsheetml.worksheet+xml"/>
  <Override PartName="/xl/customProperty4.bin" ContentType="application/vnd.openxmlformats-officedocument.spreadsheetml.customProperty"/>
  <Override PartName="/xl/worksheets/sheet4.xml" ContentType="application/vnd.openxmlformats-officedocument.spreadsheetml.worksheet+xml"/>
  <Override PartName="/xl/customProperty5.bin" ContentType="application/vnd.openxmlformats-officedocument.spreadsheetml.customProperty"/>
  <Override PartName="/xl/worksheets/sheet5.xml" ContentType="application/vnd.openxmlformats-officedocument.spreadsheetml.worksheet+xml"/>
  <Override PartName="/xl/customProperty6.bin" ContentType="application/vnd.openxmlformats-officedocument.spreadsheetml.customProperty"/>
  <Override PartName="/xl/worksheets/sheet6.xml" ContentType="application/vnd.openxmlformats-officedocument.spreadsheetml.worksheet+xml"/>
  <Override PartName="/xl/customProperty7.bin" ContentType="application/vnd.openxmlformats-officedocument.spreadsheetml.customProperty"/>
  <Override PartName="/xl/worksheets/sheet7.xml" ContentType="application/vnd.openxmlformats-officedocument.spreadsheetml.worksheet+xml"/>
  <Override PartName="/xl/customProperty8.bin" ContentType="application/vnd.openxmlformats-officedocument.spreadsheetml.customProperty"/>
  <Override PartName="/xl/worksheets/sheet8.xml" ContentType="application/vnd.openxmlformats-officedocument.spreadsheetml.worksheet+xml"/>
  <Override PartName="/xl/customProperty9.bin" ContentType="application/vnd.openxmlformats-officedocument.spreadsheetml.customProperty"/>
  <Override PartName="/xl/worksheets/sheet9.xml" ContentType="application/vnd.openxmlformats-officedocument.spreadsheetml.worksheet+xml"/>
  <Override PartName="/xl/customProperty10.bin" ContentType="application/vnd.openxmlformats-officedocument.spreadsheetml.customProperty"/>
  <Override PartName="/xl/worksheets/sheet10.xml" ContentType="application/vnd.openxmlformats-officedocument.spreadsheetml.worksheet+xml"/>
  <Override PartName="/xl/customProperty11.bin" ContentType="application/vnd.openxmlformats-officedocument.spreadsheetml.customProperty"/>
  <Override PartName="/xl/worksheets/sheet11.xml" ContentType="application/vnd.openxmlformats-officedocument.spreadsheetml.worksheet+xml"/>
  <Override PartName="/xl/customProperty12.bin" ContentType="application/vnd.openxmlformats-officedocument.spreadsheetml.customProperty"/>
  <Override PartName="/xl/worksheets/sheet12.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3127"/>
  <workbookPr codeName="ThisWorkbook" filterPrivacy="1" defaultThemeVersion="124226"/>
  <mc:AlternateContent xmlns:mc="http://schemas.openxmlformats.org/markup-compatibility/2006">
    <mc:Choice Requires="x15">
      <x15ac:absPath xmlns:x15ac="http://schemas.microsoft.com/office/spreadsheetml/2010/11/ac" url="C:\Users\HBC5509\AppData\Local\Temp\3z5skv4i\"/>
    </mc:Choice>
  </mc:AlternateContent>
  <bookViews>
    <workbookView xWindow="3040" yWindow="3040" windowWidth="16920" windowHeight="10540" tabRatio="883" firstSheet="6" activeTab="11"/>
  </bookViews>
  <sheets>
    <sheet name="ATT H" sheetId="48" r:id="rId3"/>
    <sheet name="ATT 1 - ADIT" sheetId="69" r:id="rId4"/>
    <sheet name="ATT 1A - Excess ADIT" sheetId="75" r:id="rId5"/>
    <sheet name="ATT 2 - Other Taxes" sheetId="70" r:id="rId6"/>
    <sheet name="ATT 3 - Rev. Credits" sheetId="71" r:id="rId7"/>
    <sheet name="ATT 4 - 100 Basis Pt ROE" sheetId="54" r:id="rId8"/>
    <sheet name="ATT 5 -AA-BL Support" sheetId="65" r:id="rId9"/>
    <sheet name="ATT 6 - Est and True-up WS" sheetId="68" r:id="rId10"/>
    <sheet name="Cap Ads" sheetId="74" r:id="rId11"/>
    <sheet name="ATT 7 - Cap Add WS" sheetId="73" r:id="rId12"/>
    <sheet name="ATT 8 - Securitization" sheetId="53" r:id="rId13"/>
    <sheet name="Exh E - Cap Add Worksheet" sheetId="55" r:id="rId14"/>
  </sheets>
  <definedNames>
    <definedName name="_xlnm.Print_Area" localSheetId="1">'ATT 1 - ADIT'!$A$1:$G$213</definedName>
    <definedName name="_xlnm.Print_Area" localSheetId="2">'ATT 1A - Excess ADIT'!$A$1:$L$33</definedName>
    <definedName name="_xlnm.Print_Area" localSheetId="3">'ATT 2 - Other Taxes'!$A$1:$G$58</definedName>
    <definedName name="_xlnm.Print_Area" localSheetId="4">'ATT 3 - Rev. Credits'!$A$1:$E$47</definedName>
    <definedName name="_xlnm.Print_Area" localSheetId="5">'ATT 4 - 100 Basis Pt ROE'!$A$1:$I$78</definedName>
    <definedName name="_xlnm.Print_Area" localSheetId="6">'ATT 5 -AA-BL Support'!$A$278:$Q$433</definedName>
    <definedName name="_xlnm.Print_Area" localSheetId="7">'ATT 6 - Est and True-up WS'!$A$1:$K$152</definedName>
    <definedName name="_xlnm.Print_Area" localSheetId="0">'ATT H'!$A$1:$H$345</definedName>
    <definedName name="_xlnm.Print_Titles" localSheetId="9">'ATT 7 - Cap Add WS'!$A:$B</definedName>
    <definedName name="_xlnm.Print_Titles" localSheetId="0">'ATT H'!$A:$G</definedName>
    <definedName name="_xlnm.Print_Titles" localSheetId="11">'Exh E - Cap Add Worksheet'!$A:$B</definedName>
    <definedName name="solver_adj" localSheetId="0" hidden="1">'ATT H'!#REF!</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'ATT H'!#REF!</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3</definedName>
    <definedName name="solver_val" localSheetId="0" hidden="1">981598</definedName>
    <definedName name="Z_28948E05_8F34_4F1E_96FB_A80A6A844600_.wvu.Cols" localSheetId="9" hidden="1">'ATT 7 - Cap Add WS'!$K:$AH</definedName>
    <definedName name="Z_28948E05_8F34_4F1E_96FB_A80A6A844600_.wvu.PrintTitles" localSheetId="9" hidden="1">'ATT 7 - Cap Add WS'!$A:$B</definedName>
    <definedName name="Z_63011E91_4609_4523_98FE_FD252E915668_.wvu.Cols" localSheetId="9" hidden="1">'ATT 7 - Cap Add WS'!$K:$AH</definedName>
    <definedName name="Z_63011E91_4609_4523_98FE_FD252E915668_.wvu.PrintArea" localSheetId="9" hidden="1">'ATT 7 - Cap Add WS'!$A$1:$AL$74</definedName>
    <definedName name="Z_63011E91_4609_4523_98FE_FD252E915668_.wvu.PrintTitles" localSheetId="9" hidden="1">'ATT 7 - Cap Add WS'!$A:$B</definedName>
    <definedName name="Z_71B42B22_A376_44B5_B0C1_23FC1AA3DBA2_.wvu.Cols" localSheetId="9" hidden="1">'ATT 7 - Cap Add WS'!$K:$AH</definedName>
    <definedName name="Z_71B42B22_A376_44B5_B0C1_23FC1AA3DBA2_.wvu.PrintTitles" localSheetId="9" hidden="1">'ATT 7 - Cap Add WS'!$A:$B</definedName>
    <definedName name="Z_B647CB7F_C846_4278_B6B1_1EF7F3C004F5_.wvu.Cols" localSheetId="9" hidden="1">'ATT 7 - Cap Add WS'!$K:$AH</definedName>
    <definedName name="Z_B647CB7F_C846_4278_B6B1_1EF7F3C004F5_.wvu.PrintTitles" localSheetId="9" hidden="1">'ATT 7 - Cap Add WS'!$A:$B</definedName>
    <definedName name="Z_DC91DEF3_837B_4BB9_A81E_3B78C5914E6C_.wvu.Cols" localSheetId="9" hidden="1">'ATT 7 - Cap Add WS'!$K:$AH</definedName>
    <definedName name="Z_DC91DEF3_837B_4BB9_A81E_3B78C5914E6C_.wvu.PrintTitles" localSheetId="9" hidden="1">'ATT 7 - Cap Add WS'!$A:$B</definedName>
    <definedName name="Z_FAAD9AAC_1337_43AB_BF1F_CCF9DFCF5B78_.wvu.Cols" localSheetId="9" hidden="1">'ATT 7 - Cap Add WS'!$K:$AH</definedName>
    <definedName name="Z_FAAD9AAC_1337_43AB_BF1F_CCF9DFCF5B78_.wvu.PrintTitles" localSheetId="9" hidden="1">'ATT 7 - Cap Add WS'!$A:$B</definedName>
  </definedNames>
  <calcPr calcId="191029"/>
  <extLst/>
</workbook>
</file>

<file path=xl/calcChain.xml><?xml version="1.0" encoding="utf-8"?>
<calcChain xmlns="http://schemas.openxmlformats.org/spreadsheetml/2006/main">
  <c r="C314" i="48" l="1"/>
</calcChain>
</file>

<file path=xl/sharedStrings.xml><?xml version="1.0" encoding="utf-8"?>
<sst xmlns="http://schemas.openxmlformats.org/spreadsheetml/2006/main" count="1583" uniqueCount="859">
  <si>
    <t xml:space="preserve"> Note 1: All revenues related to transmission that are received as a transmission owner (i.e., not received as a LSE), for which the cost of the service is recovered under this formula, except as specifically provided for elsewhere in this Attachment or elsewhere in the formula will be included as a revenue credit or the associated load will be included in the peak on line 173 of Appendix A.</t>
  </si>
  <si>
    <t xml:space="preserve">  Note 4: If the facilities associated with the revenues are not included in the formula, the revenue is shown here but not included in the total above and is explained in the Cost Support; for example, revenues associated with distribution facilities.  In addition, Revenues from Schedule 12 are not included in the total above to the extent they are credited under Schedule 12. </t>
  </si>
  <si>
    <t>Line 17g</t>
  </si>
  <si>
    <t>(Lines 11+ 18 + 19)</t>
  </si>
  <si>
    <t>Attachment 6 - Estimate and Reconciliation Worksheet</t>
  </si>
  <si>
    <t>Year 2</t>
  </si>
  <si>
    <t>Year 3</t>
  </si>
  <si>
    <t>TO estimates all transmission Cap Adds for Year 2 weighted based on Months expected to be in service in Year 2 (e.g. 2006)</t>
  </si>
  <si>
    <t>Post results of Step 3 on PJM web site</t>
  </si>
  <si>
    <t>Results of Step 3 go into effect for the Rate Year 1 (e.g. June 1, 2005 - May 31, 2006)</t>
  </si>
  <si>
    <t>Reconciliation - TO calculates Reconciliation by removing from Year 2 data - the total Cap Adds placed in service in Year 2 and adding weighted average in Year 2 actual Cap Adds in Reconciliation</t>
  </si>
  <si>
    <t>(adjusted to include any Reconciliation amount from prior year)</t>
  </si>
  <si>
    <t>Reconciliation - TO adds the difference between the Reconciliation in Step 8 and the forecast in Line 5 with interest to the result of Step 7 (this difference is also added to Step 8 in the subsequent year)</t>
  </si>
  <si>
    <t>Post results of Step 9 on PJM web site</t>
  </si>
  <si>
    <t>TO estimates Cap Adds during Year 3 weighted based on Months expected to be in service in Year 3 (e.g., 2007)</t>
  </si>
  <si>
    <t>TO populates the formula with Year 2 data from FERC Form 1 for Year 2 (e.g., 2006)</t>
  </si>
  <si>
    <t>Results of Step 9 go into effect for the Rate Year 2 (e.g., June 1, 2007 - May 31, 2008)</t>
  </si>
  <si>
    <t>Rev Req based on Year 1 data</t>
  </si>
  <si>
    <t>Must run Appendix A to get this number (without any Cap Adds in line 21 of Appendix A)</t>
  </si>
  <si>
    <t>New Transmission Plant Additions for Year 2  (weighted by months in service)</t>
  </si>
  <si>
    <t>Must run Appendix A to get this number (with prospective weighted cap adds in line 21)</t>
  </si>
  <si>
    <t>New Transmission Plant Additions for Year 3  (weighted by months in service)</t>
  </si>
  <si>
    <t>Reconciliation - TO calculates Reconciliation by removing from Year 2 data - the total estimated Cap Adds placed in service in Year 2 and adding weighted average in Year 2 actual Cap Adds in Reconciliation</t>
  </si>
  <si>
    <t>Remove all Cap Adds placed in service in Year 2</t>
  </si>
  <si>
    <t xml:space="preserve">For Reconciliation only - remove New Transmission Plant Additions for Current Calendar Year  </t>
  </si>
  <si>
    <t>For Reconciliation Only</t>
  </si>
  <si>
    <t xml:space="preserve">For Reconciliation only - remove actual New Transmission Plant Additions for Year 2 </t>
  </si>
  <si>
    <t>Add weighted Cap Adds actually placed in service in Year 2</t>
  </si>
  <si>
    <t>New Transmission Plant Additions for Year 2 (weighted by months in service)</t>
  </si>
  <si>
    <t>Result of Formula for Reconciliation</t>
  </si>
  <si>
    <t>Reconciliation -- TO adds the difference beween the Reconciliation in Step 8 and the forcast in Line 5 with interest to the result of Step 7 (this difference is also added to Step 8 in the subsequent year)</t>
  </si>
  <si>
    <t>The Reconciliation in Step 8</t>
  </si>
  <si>
    <t>Year 1</t>
  </si>
  <si>
    <t xml:space="preserve">Interest Rate for </t>
  </si>
  <si>
    <t>March of Current Year</t>
  </si>
  <si>
    <t>Surcharge (Refund)</t>
  </si>
  <si>
    <t>Owed</t>
  </si>
  <si>
    <t>Amortization over</t>
  </si>
  <si>
    <t>Rate Year</t>
  </si>
  <si>
    <t>The difference between the Reconciliation in Step 8 and the forecast in Prior Year with interest</t>
  </si>
  <si>
    <t>Revenue Requirement for Year 3</t>
  </si>
  <si>
    <t>Attachment 8 - Company Exhibit - Securitization Workpaper</t>
  </si>
  <si>
    <t>Total Account 454 and 456</t>
  </si>
  <si>
    <t>Amount offset in line 4 above</t>
  </si>
  <si>
    <t>Total Income Taxes</t>
  </si>
  <si>
    <t>Summary</t>
  </si>
  <si>
    <t>Net Property, Plant &amp; Equipment</t>
  </si>
  <si>
    <t>Taxes Other than Income</t>
  </si>
  <si>
    <t>Common Stock</t>
  </si>
  <si>
    <t>END</t>
  </si>
  <si>
    <t>Revenue Credits</t>
  </si>
  <si>
    <t>C</t>
  </si>
  <si>
    <t>Common Depreciation - Electric Only</t>
  </si>
  <si>
    <t>Gross Plant Allocator</t>
  </si>
  <si>
    <t>Total  Capitalization</t>
  </si>
  <si>
    <t>Total Long Term Debt</t>
  </si>
  <si>
    <t>Total Return ( R )</t>
  </si>
  <si>
    <t>Total Long Term Debt (WCLTD)</t>
  </si>
  <si>
    <t>REVENUE REQUIREMENT</t>
  </si>
  <si>
    <t>I</t>
  </si>
  <si>
    <t>Total Taxes Other than Income</t>
  </si>
  <si>
    <t>J</t>
  </si>
  <si>
    <t>Long Term Interest</t>
  </si>
  <si>
    <t>Long Term Debt</t>
  </si>
  <si>
    <t xml:space="preserve">    Less LTD Interest on Securitization Bonds</t>
  </si>
  <si>
    <t>Depreciation Expense</t>
  </si>
  <si>
    <t>Transmission Depreciation Expense</t>
  </si>
  <si>
    <t>Transmission Wages Expense</t>
  </si>
  <si>
    <t>Total Wages Expense</t>
  </si>
  <si>
    <t xml:space="preserve"> </t>
  </si>
  <si>
    <t>E</t>
  </si>
  <si>
    <t>A</t>
  </si>
  <si>
    <t>D</t>
  </si>
  <si>
    <t>G</t>
  </si>
  <si>
    <t>Preferred Stock</t>
  </si>
  <si>
    <t>K</t>
  </si>
  <si>
    <t>The currently effective income tax rate,  where FIT is the Federal income tax rate; SIT is the State income tax rate, and p =</t>
  </si>
  <si>
    <t xml:space="preserve">  "the percentage of federal income tax deductible for state income taxes".  If the utility is taxed in more than one state it must attach a</t>
  </si>
  <si>
    <t xml:space="preserve">  work paper showing the name of each state and how the blended or composite SIT was developed.  Furthermore, a utility that</t>
  </si>
  <si>
    <t xml:space="preserve">  elected to utilize amortization of tax credits against taxable income, rather than book tax credits to Account No. 255 and reduce </t>
  </si>
  <si>
    <t xml:space="preserve">  rate base, must reduce its income tax expense by the amount of the Amortized Investment Tax Credit (Form 1, 266.8.f)</t>
  </si>
  <si>
    <t>Schedule 1A</t>
  </si>
  <si>
    <t>Other Taxes</t>
  </si>
  <si>
    <t>p207.58.g</t>
  </si>
  <si>
    <t>Total Prepayments Allocated to Transmission</t>
  </si>
  <si>
    <t>Total Cash Working Capital Allocated to Transmission</t>
  </si>
  <si>
    <t>Transmission Materials &amp; Supplies</t>
  </si>
  <si>
    <t>General &amp; Common Expenses</t>
  </si>
  <si>
    <t>Directly Assigned A&amp;G</t>
  </si>
  <si>
    <t>Allocated General &amp; Common Expenses</t>
  </si>
  <si>
    <t>A&amp;G Directly Assigned to Transmission</t>
  </si>
  <si>
    <t>Adjustment to Remove Revenue Requirements Associated with Excluded Transmission Facilities</t>
  </si>
  <si>
    <t>Excluded Transmission Facilities</t>
  </si>
  <si>
    <t>Included Transmission Facilities</t>
  </si>
  <si>
    <t>Inclusion Ratio</t>
  </si>
  <si>
    <t>Adjusted Gross Revenue Requirement</t>
  </si>
  <si>
    <t>EPRI Annual Membership Dues</t>
  </si>
  <si>
    <t xml:space="preserve">All Regulatory Commission Expenses </t>
  </si>
  <si>
    <t>General &amp; Common Expenses Allocated to Transmission</t>
  </si>
  <si>
    <t xml:space="preserve">Regulatory Commission Expenses directly related to transmission service, RTO filings, or transmission siting itemized at 351.h. </t>
  </si>
  <si>
    <t>Total Materials &amp; Supplies Allocated to Transmission</t>
  </si>
  <si>
    <t>Materials and Supplies</t>
  </si>
  <si>
    <t>Company Records</t>
  </si>
  <si>
    <t>P</t>
  </si>
  <si>
    <t>Q</t>
  </si>
  <si>
    <t>Accumulated Depreciation</t>
  </si>
  <si>
    <t>Prepayments</t>
  </si>
  <si>
    <t>Cash Working Capital</t>
  </si>
  <si>
    <t>Allocators</t>
  </si>
  <si>
    <t>Less A&amp;G Wages Expense</t>
  </si>
  <si>
    <t>Common Plant In Service - Electric</t>
  </si>
  <si>
    <t>Transmission Gross Plant</t>
  </si>
  <si>
    <t>Transmission Net Plant</t>
  </si>
  <si>
    <t>Total Accumulated Depreciation</t>
  </si>
  <si>
    <t>Total Plant In Service</t>
  </si>
  <si>
    <t>Wages &amp; Salary Allocation Factor</t>
  </si>
  <si>
    <t>TOTAL Plant In Service</t>
  </si>
  <si>
    <t>Common Plant (Electric Only)</t>
  </si>
  <si>
    <t>Common Plant Accumulated Depreciation (Electric Only)</t>
  </si>
  <si>
    <t>General &amp; Common Plant Allocated to Transmission</t>
  </si>
  <si>
    <t>Adjustment To Rate Base</t>
  </si>
  <si>
    <t>Plant In Service</t>
  </si>
  <si>
    <t>Net Plant Allocation Factor</t>
  </si>
  <si>
    <t>Intangible Amortization</t>
  </si>
  <si>
    <t>Undistributed Stores Exp</t>
  </si>
  <si>
    <t>Common Amortization - Electric Only</t>
  </si>
  <si>
    <t>General Depreciation Allocated to Transmission</t>
  </si>
  <si>
    <t>Common Depreciation - Electric Only Allocated to Transmission</t>
  </si>
  <si>
    <t>Return / Capitalization Calculations</t>
  </si>
  <si>
    <t xml:space="preserve">    Less Account 216.1</t>
  </si>
  <si>
    <t xml:space="preserve">    Less Preferred Stock</t>
  </si>
  <si>
    <t xml:space="preserve">    Plus Securitization Adjustment</t>
  </si>
  <si>
    <t>Capitalization</t>
  </si>
  <si>
    <t>ITC Adjustment</t>
  </si>
  <si>
    <t>ITC Adjustment Allocated to Transmission</t>
  </si>
  <si>
    <t>SIT=State Income Tax Rate or Composite</t>
  </si>
  <si>
    <t>FIT=Federal Income Tax Rate</t>
  </si>
  <si>
    <t>Investment Return = Rate Base * Rate of Return</t>
  </si>
  <si>
    <t>Income Tax Rates</t>
  </si>
  <si>
    <t>Preferred Dividends</t>
  </si>
  <si>
    <t>Depreciation &amp; Amortization</t>
  </si>
  <si>
    <t>Rate ($/MW-Year)</t>
  </si>
  <si>
    <t>1 CP Peak</t>
  </si>
  <si>
    <t>General &amp; Common Allocated to Transmission</t>
  </si>
  <si>
    <t>Accumulated Deferred Income Taxes Allocated To Transmission</t>
  </si>
  <si>
    <t>Depreciation &amp; Amortization Expense</t>
  </si>
  <si>
    <t>Total Transmission Depreciation &amp; Amortization</t>
  </si>
  <si>
    <t>L</t>
  </si>
  <si>
    <t>M</t>
  </si>
  <si>
    <t>Transmission O&amp;M</t>
  </si>
  <si>
    <t xml:space="preserve">     Plus Transmission Lease Payments</t>
  </si>
  <si>
    <t>Wages &amp; Salary Allocator</t>
  </si>
  <si>
    <t>Common Plant O&amp;M</t>
  </si>
  <si>
    <t>Total Transmission O&amp;M</t>
  </si>
  <si>
    <t>General &amp; Intangible</t>
  </si>
  <si>
    <t>Transmission Plant In Service</t>
  </si>
  <si>
    <t>Total General &amp; Common</t>
  </si>
  <si>
    <t>TOTAL Accumulated Depreciation</t>
  </si>
  <si>
    <t>TOTAL Net Property, Plant &amp; Equipment</t>
  </si>
  <si>
    <t>Adjustment to Rate Base</t>
  </si>
  <si>
    <t>Plant Calculations</t>
  </si>
  <si>
    <t>Net Plant</t>
  </si>
  <si>
    <t>Net Plant Allocator</t>
  </si>
  <si>
    <t>Rate Base</t>
  </si>
  <si>
    <t xml:space="preserve">Income Tax Component = </t>
  </si>
  <si>
    <t>Accumulated Common Amortization - Electric</t>
  </si>
  <si>
    <t xml:space="preserve"> enter positive</t>
  </si>
  <si>
    <t xml:space="preserve">     CIT=(T/1-T) * Investment Return * (1-(WCLTD/R)) =</t>
  </si>
  <si>
    <t>Plant Allocation Factors</t>
  </si>
  <si>
    <t>Wage &amp; Salary Allocation Factor</t>
  </si>
  <si>
    <t>1/8th Rule</t>
  </si>
  <si>
    <t>TOTAL Adjustment to Rate Base</t>
  </si>
  <si>
    <t>General Depreciation</t>
  </si>
  <si>
    <t>Total</t>
  </si>
  <si>
    <t>B</t>
  </si>
  <si>
    <t>Proprietary Capital</t>
  </si>
  <si>
    <t>Operation &amp; Maintenance Expense</t>
  </si>
  <si>
    <t>(Note A)</t>
  </si>
  <si>
    <t>(Note C)</t>
  </si>
  <si>
    <t>(Note L)</t>
  </si>
  <si>
    <t>Amortized Investment Tax Credit</t>
  </si>
  <si>
    <t>Prepayments (Account 165)</t>
  </si>
  <si>
    <t>Total Transmission Allocated</t>
  </si>
  <si>
    <t>Transmission Accumulated Depreciation</t>
  </si>
  <si>
    <t>Investment Return</t>
  </si>
  <si>
    <t>Income Taxes</t>
  </si>
  <si>
    <t>Gross Revenue Requirement</t>
  </si>
  <si>
    <t xml:space="preserve">    Less EPRI Dues</t>
  </si>
  <si>
    <t>Subtotal - Transmission Related</t>
  </si>
  <si>
    <t>T/ (1-T)</t>
  </si>
  <si>
    <t>p</t>
  </si>
  <si>
    <t>(percent of federal income tax deductible for state purposes)</t>
  </si>
  <si>
    <t>Notes</t>
  </si>
  <si>
    <t>Accumulated Intangible Amortization</t>
  </si>
  <si>
    <t>Accumulated Common Plant Depreciation - Electric</t>
  </si>
  <si>
    <t>Allocator</t>
  </si>
  <si>
    <t>x 1/8</t>
  </si>
  <si>
    <t>enter negative</t>
  </si>
  <si>
    <t>Fixed</t>
  </si>
  <si>
    <t>T</t>
  </si>
  <si>
    <t>Net Revenue Requirement</t>
  </si>
  <si>
    <t>O&amp;M</t>
  </si>
  <si>
    <t>Subtotal</t>
  </si>
  <si>
    <t>Electric portion only</t>
  </si>
  <si>
    <t>Transmission Portion Only</t>
  </si>
  <si>
    <t>ROE will be supported in the original filing and no change in ROE may be made absent a filing with FERC.</t>
  </si>
  <si>
    <t>(Notes A &amp; B)</t>
  </si>
  <si>
    <t>Accumulated Investment Tax Credit Account No. 255</t>
  </si>
  <si>
    <t xml:space="preserve">    Less Property Insurance Account 924</t>
  </si>
  <si>
    <t xml:space="preserve">    Less Regulatory Commission Exp Account 928</t>
  </si>
  <si>
    <t xml:space="preserve">    Less General Advertising Exp Account 930.1</t>
  </si>
  <si>
    <t>General Advertising Exp Account 930.1</t>
  </si>
  <si>
    <t>Property Insurance Account 924</t>
  </si>
  <si>
    <t>(Note I)</t>
  </si>
  <si>
    <t xml:space="preserve">     T=1 - {[(1 - SIT) * (1 - FIT)] / (1 - SIT * FIT * p)} =</t>
  </si>
  <si>
    <t>Network Service Rate ($/MW/Year)</t>
  </si>
  <si>
    <t>Debt %</t>
  </si>
  <si>
    <t>Common %</t>
  </si>
  <si>
    <t>Debt Cost</t>
  </si>
  <si>
    <t>Common Cost</t>
  </si>
  <si>
    <t>Weighted Cost of Debt</t>
  </si>
  <si>
    <t>Weighted Cost of Common</t>
  </si>
  <si>
    <t>Accumulated General Depreciation</t>
  </si>
  <si>
    <t>Preferred %</t>
  </si>
  <si>
    <t>Preferred Cost</t>
  </si>
  <si>
    <t>Weighted Cost of Preferred</t>
  </si>
  <si>
    <t>Transmission</t>
  </si>
  <si>
    <t>ADIT-190</t>
  </si>
  <si>
    <t>Less FASB 109 Above</t>
  </si>
  <si>
    <t>Less FASB 106 Above</t>
  </si>
  <si>
    <t>ADIT- 282</t>
  </si>
  <si>
    <t>ADIT-283</t>
  </si>
  <si>
    <t>Personal property</t>
  </si>
  <si>
    <t>PURTA</t>
  </si>
  <si>
    <t>Capital Stock Tax</t>
  </si>
  <si>
    <t>Corp License</t>
  </si>
  <si>
    <t>Accumulated Deferred Income Taxes</t>
  </si>
  <si>
    <t xml:space="preserve">Safety related advertising included in Account 930.1  </t>
  </si>
  <si>
    <t xml:space="preserve">Education and outreach expenses relating to transmission, for example siting or billing </t>
  </si>
  <si>
    <t>(Note B)</t>
  </si>
  <si>
    <t xml:space="preserve">Plant </t>
  </si>
  <si>
    <t>Related</t>
  </si>
  <si>
    <t>Labor</t>
  </si>
  <si>
    <t>Gas, Prod</t>
  </si>
  <si>
    <t>Or Other</t>
  </si>
  <si>
    <t>Only</t>
  </si>
  <si>
    <t>Instructions for Account 190:</t>
  </si>
  <si>
    <t>Instructions for Account 283:</t>
  </si>
  <si>
    <t>Instructions for Account 282:</t>
  </si>
  <si>
    <t>(A)</t>
  </si>
  <si>
    <t>(B)</t>
  </si>
  <si>
    <t>(C)</t>
  </si>
  <si>
    <t>(D)</t>
  </si>
  <si>
    <t>2.  ADIT items related only to Transmission are directly assigned to Column B</t>
  </si>
  <si>
    <t>3.  ADIT items related Plant and not in Columns A &amp; B are directly assigned to Column C</t>
  </si>
  <si>
    <t>4.  ADIT items related to labor and not in Columns A &amp; B are directly assigned to Column D</t>
  </si>
  <si>
    <t>Subtotal - p234</t>
  </si>
  <si>
    <t>ADIT</t>
  </si>
  <si>
    <t>1.  ADIT items related only to Non-Electric Operations (e.g., Gas, Water, Sewer) or Production are directly assigned to Column A</t>
  </si>
  <si>
    <t>Plant Related</t>
  </si>
  <si>
    <t>Labor Related</t>
  </si>
  <si>
    <t>Other Included</t>
  </si>
  <si>
    <t>Total Plant Related</t>
  </si>
  <si>
    <t>Total Labor Related</t>
  </si>
  <si>
    <t>Total Other Included</t>
  </si>
  <si>
    <t>Currently Excluded</t>
  </si>
  <si>
    <t>Allocated</t>
  </si>
  <si>
    <t>Amount</t>
  </si>
  <si>
    <t>ADIT net of FASB 106 and 109</t>
  </si>
  <si>
    <t>Total Included</t>
  </si>
  <si>
    <t xml:space="preserve">      Less Loss on Reacquired Debt </t>
  </si>
  <si>
    <t xml:space="preserve">      Plus Gain on Reacquired Debt</t>
  </si>
  <si>
    <t>enter positive</t>
  </si>
  <si>
    <t>Plant Held for Future Use (Including Land)</t>
  </si>
  <si>
    <t xml:space="preserve">  multiplied by (1/1-T).  A utility must not include tax credits as a reduction to rate base and as an amortization against taxable income.</t>
  </si>
  <si>
    <t>Net Transmission Plant</t>
  </si>
  <si>
    <t>Line #</t>
  </si>
  <si>
    <t>Note</t>
  </si>
  <si>
    <t>Project A</t>
  </si>
  <si>
    <t>Life</t>
  </si>
  <si>
    <t>CIAC</t>
  </si>
  <si>
    <t>Details</t>
  </si>
  <si>
    <t>Invest Yr</t>
  </si>
  <si>
    <t>ROE Incentive</t>
  </si>
  <si>
    <t>No</t>
  </si>
  <si>
    <t>Yes</t>
  </si>
  <si>
    <t>W Incentive</t>
  </si>
  <si>
    <t>FCR if a CIAC</t>
  </si>
  <si>
    <t>FCR if not a CIAC</t>
  </si>
  <si>
    <t>FCR for This Project</t>
  </si>
  <si>
    <t xml:space="preserve">Line B less Line A </t>
  </si>
  <si>
    <t>Investment</t>
  </si>
  <si>
    <t>Annual Depreciation Exp</t>
  </si>
  <si>
    <t>FCR W/O Incentive</t>
  </si>
  <si>
    <t>Revenue</t>
  </si>
  <si>
    <t>Beginning</t>
  </si>
  <si>
    <t>Depreciation</t>
  </si>
  <si>
    <t>Ending</t>
  </si>
  <si>
    <t>Project B</t>
  </si>
  <si>
    <t>Project C</t>
  </si>
  <si>
    <t>Project D</t>
  </si>
  <si>
    <t>Project E</t>
  </si>
  <si>
    <t>Project F</t>
  </si>
  <si>
    <t>Project G</t>
  </si>
  <si>
    <t>Project H</t>
  </si>
  <si>
    <t>Project I</t>
  </si>
  <si>
    <t>….</t>
  </si>
  <si>
    <t>…..</t>
  </si>
  <si>
    <t>Incentive Charged</t>
  </si>
  <si>
    <t>Revenue Credit</t>
  </si>
  <si>
    <t>Formula Line</t>
  </si>
  <si>
    <t>Real property (State, Municipal or Local)</t>
  </si>
  <si>
    <t>New Plant Carrying Charge</t>
  </si>
  <si>
    <t>W/O Incentive</t>
  </si>
  <si>
    <t xml:space="preserve">      Less LTD on Securitization Bonds</t>
  </si>
  <si>
    <t>FIT for Year</t>
  </si>
  <si>
    <t>SIT for Year</t>
  </si>
  <si>
    <t>Network Credits</t>
  </si>
  <si>
    <t>Outstanding Network Credits</t>
  </si>
  <si>
    <t>Net Outstanding Credits</t>
  </si>
  <si>
    <t>From PJM</t>
  </si>
  <si>
    <t>Interest on Network Credits</t>
  </si>
  <si>
    <t>PJM Data</t>
  </si>
  <si>
    <t>Revenue Credits &amp; Interest on Network Credits</t>
  </si>
  <si>
    <t>U</t>
  </si>
  <si>
    <t xml:space="preserve">  (net of accumulated depreciation) towards the construction of Network Transmission Facilities consistent with Paragraph 657 of Order 2003-A. </t>
  </si>
  <si>
    <t xml:space="preserve">Outstanding Network Credits is the balance of Network Facilities Upgrades Credits due Transmission Customers who have made lump-sum payments </t>
  </si>
  <si>
    <t>Subtotal - p275  (Form 1-F filer:  see note 6 below)</t>
  </si>
  <si>
    <t>p = percent of federal income tax deductible for state purposes</t>
  </si>
  <si>
    <t>Network Zonal Service Rate</t>
  </si>
  <si>
    <t>Net Zonal Revenue Requirement</t>
  </si>
  <si>
    <t>PJM Formula Line #s, Descriptions, Notes, Form 1 Page #s and Instructions</t>
  </si>
  <si>
    <t>Electric Portion</t>
  </si>
  <si>
    <t>EPRI Dues</t>
  </si>
  <si>
    <t>MultiState Workpaper</t>
  </si>
  <si>
    <t>A &amp; S</t>
  </si>
  <si>
    <t>X</t>
  </si>
  <si>
    <t>(Line 11)</t>
  </si>
  <si>
    <t>(Line 12)</t>
  </si>
  <si>
    <t>Non-electric  Portion</t>
  </si>
  <si>
    <t>Enter Details</t>
  </si>
  <si>
    <t>Enter</t>
  </si>
  <si>
    <t>Transmission Related</t>
  </si>
  <si>
    <t>Expensed Lease in Form 1 Amount</t>
  </si>
  <si>
    <t xml:space="preserve"> H</t>
  </si>
  <si>
    <t>Safety Related</t>
  </si>
  <si>
    <t>Enter State</t>
  </si>
  <si>
    <t>Enter %</t>
  </si>
  <si>
    <t>Enter Calculation</t>
  </si>
  <si>
    <t>State 1</t>
  </si>
  <si>
    <t>State 2</t>
  </si>
  <si>
    <t>State 3</t>
  </si>
  <si>
    <t>State 4</t>
  </si>
  <si>
    <t>State 5</t>
  </si>
  <si>
    <t>Education &amp; Outreach</t>
  </si>
  <si>
    <t>Other</t>
  </si>
  <si>
    <t>Enter $</t>
  </si>
  <si>
    <t>Description of the Facilities</t>
  </si>
  <si>
    <t>Add more lines if necessary</t>
  </si>
  <si>
    <t>General Description of the Credits</t>
  </si>
  <si>
    <t>Description of the Credits</t>
  </si>
  <si>
    <t xml:space="preserve">Description &amp; PJM Documentation </t>
  </si>
  <si>
    <t>Description of the Interest on the Credits</t>
  </si>
  <si>
    <t>F</t>
  </si>
  <si>
    <t>N</t>
  </si>
  <si>
    <t>Statements BG/BH (Present and Proposed Revenues)</t>
  </si>
  <si>
    <t>Customer</t>
  </si>
  <si>
    <t>Billing Determinants</t>
  </si>
  <si>
    <t>Current Rate</t>
  </si>
  <si>
    <t>Proposed Rate</t>
  </si>
  <si>
    <t>Current Revenues</t>
  </si>
  <si>
    <t>Proposed Revenues</t>
  </si>
  <si>
    <t>Change in Revenues</t>
  </si>
  <si>
    <t xml:space="preserve">Composite Income Taxes                                                                                                       </t>
  </si>
  <si>
    <t>In Service Month (1-12)</t>
  </si>
  <si>
    <t>Step</t>
  </si>
  <si>
    <t>Month</t>
  </si>
  <si>
    <t>Year</t>
  </si>
  <si>
    <t>Action</t>
  </si>
  <si>
    <t>Exec Summary</t>
  </si>
  <si>
    <t>April</t>
  </si>
  <si>
    <t>May</t>
  </si>
  <si>
    <t>June</t>
  </si>
  <si>
    <t>Detailed Example</t>
  </si>
  <si>
    <t>Weighting</t>
  </si>
  <si>
    <t>One 12th</t>
  </si>
  <si>
    <t>Jan</t>
  </si>
  <si>
    <t>Feb</t>
  </si>
  <si>
    <t>Mar</t>
  </si>
  <si>
    <t>Apr</t>
  </si>
  <si>
    <t>Jun</t>
  </si>
  <si>
    <t>Jul</t>
  </si>
  <si>
    <t>Aug</t>
  </si>
  <si>
    <t>Sep</t>
  </si>
  <si>
    <t>Oct</t>
  </si>
  <si>
    <t>Nov</t>
  </si>
  <si>
    <t>Dec</t>
  </si>
  <si>
    <t>Interest on Amount of Refunds or Surcharges</t>
  </si>
  <si>
    <t>Yr</t>
  </si>
  <si>
    <t>1/12 of Step 9</t>
  </si>
  <si>
    <t>Interest</t>
  </si>
  <si>
    <t>Months</t>
  </si>
  <si>
    <t>Balance</t>
  </si>
  <si>
    <t>Total Transmission Plant In Service</t>
  </si>
  <si>
    <t>New Transmission Plant Additions for Current Calendar Year  (weighted by months in service)</t>
  </si>
  <si>
    <t xml:space="preserve">Exclude Construction Work In Progress and leases that are expensed as O&amp;M (rather than amortized).  New Transmission plant included in the PJM  Regional </t>
  </si>
  <si>
    <t xml:space="preserve">Transmission Expansion Plan which is expected to be placed in service in the current calendar year weighted by number of months it is expected to be in-service.  </t>
  </si>
  <si>
    <t>Company Exhibit</t>
  </si>
  <si>
    <t xml:space="preserve">    Less Accumulated Depreciation Associated with Facilities with Outstanding Network Credits</t>
  </si>
  <si>
    <t>For the true-up, new transmission plant which was included in the PJM RTEP actually placed in service weighted by the number of months it was actually in service</t>
  </si>
  <si>
    <t>Non-transmission Related</t>
  </si>
  <si>
    <t>CWIP In Form 1 Amount</t>
  </si>
  <si>
    <t>Non-safety Related</t>
  </si>
  <si>
    <t>Draft - Work in Progress</t>
  </si>
  <si>
    <t>Exhibit E - Cap Add Worksheet</t>
  </si>
  <si>
    <t>Fixed plus 100 Basis Pts</t>
  </si>
  <si>
    <t>Electric / Non-electric Cost Support</t>
  </si>
  <si>
    <t>CWIP &amp; Expensed Lease Cost Support</t>
  </si>
  <si>
    <t>Transmission / Non-transmission Cost Support</t>
  </si>
  <si>
    <t>EPRI Dues Cost Support</t>
  </si>
  <si>
    <t>Regulatory Expense Related to Transmission Cost Support</t>
  </si>
  <si>
    <t>Safety Related Advertising Cost Support</t>
  </si>
  <si>
    <t>Education and Out Reach Cost Support</t>
  </si>
  <si>
    <t>PJM Load Cost Support</t>
  </si>
  <si>
    <t>Excluded Plant Cost Support</t>
  </si>
  <si>
    <t>Outstanding Network Credits Cost Support</t>
  </si>
  <si>
    <t>Interest on Outstanding Network Credits Cost Support</t>
  </si>
  <si>
    <t>Cost Support Matrix                                                                                                                                                                          PJM Formula Line #s, Descriptions, Notes, Form 1 Page #s and Instruct</t>
  </si>
  <si>
    <t xml:space="preserve">  Taxes related to income are excluded.  Gross receipts taxes are not included in transmission revenue requirement in the </t>
  </si>
  <si>
    <t xml:space="preserve">  Rate Formula Template, since they are recovered elsewhere.</t>
  </si>
  <si>
    <t>CWIP &amp; Expensed Lease Worksheet</t>
  </si>
  <si>
    <t>Return Calculation</t>
  </si>
  <si>
    <t>O</t>
  </si>
  <si>
    <t>The FCR resulting from Formula in a given year is used for that year only</t>
  </si>
  <si>
    <t>Therefore actual revenues collected in a year do not change based on cost data for subsequent years</t>
  </si>
  <si>
    <t>Est. In Service Date</t>
  </si>
  <si>
    <t>Actual In Service Date</t>
  </si>
  <si>
    <t>Interest 35.19a for March Current Yr</t>
  </si>
  <si>
    <t>TO adds weighted Cap Adds to plant in service in Formula</t>
  </si>
  <si>
    <t>Rev Req based on Prior Year data</t>
  </si>
  <si>
    <t>The forecast in Prior Year</t>
  </si>
  <si>
    <t>Total with interest</t>
  </si>
  <si>
    <t>Amount of transmission plant excluded from rates, includes investment in generation step-up transformers to the extent included in Plant in Service.</t>
  </si>
  <si>
    <t>Calculation of the above Securitization Adjustments</t>
  </si>
  <si>
    <t xml:space="preserve">Taxes Other than Income                                                    </t>
  </si>
  <si>
    <t>Account 454 - Rent from Electric Property</t>
  </si>
  <si>
    <t>Total Rent Revenues</t>
  </si>
  <si>
    <t>Revenue Adjustment to determine Revenue Credit</t>
  </si>
  <si>
    <t>Respondent is both Electric and Gas Utility. Plant allocated using the Modified</t>
  </si>
  <si>
    <t>None</t>
  </si>
  <si>
    <t>5. Since deferred income taxes arise when items are included in taxable income in different periods than they are included in rates - therefore, if the item giving rise to the ADIT is not included in the formula, the associated ADIT amount shall be excluded</t>
  </si>
  <si>
    <t>UGI Utilities, Inc.</t>
  </si>
  <si>
    <t>LIB. TAX DEPRECIATION - FIT - ACRS/MACRS</t>
  </si>
  <si>
    <t>Pennsylvania</t>
  </si>
  <si>
    <t>Ultiity Regulatory Assessment</t>
  </si>
  <si>
    <t>Total Wage Expense</t>
  </si>
  <si>
    <t>p200.21.c</t>
  </si>
  <si>
    <t>Form 1 or Company Records Amount</t>
  </si>
  <si>
    <t>p200.4.c</t>
  </si>
  <si>
    <t xml:space="preserve">     Plus Schedule 12 Charges billed to Transmission Owner and booked to Account 565</t>
  </si>
  <si>
    <t>p219.19.c</t>
  </si>
  <si>
    <t>Attachment 7 - Transmission Enhancement Charge Worksheet</t>
  </si>
  <si>
    <t>Fixed Charge Rate (FCR) if not a CIAC</t>
  </si>
  <si>
    <t>The FCR resulting from Formula in a given year is used for that year only.</t>
  </si>
  <si>
    <t>Schedule 12</t>
  </si>
  <si>
    <t>(Yes or No)</t>
  </si>
  <si>
    <t>Increased ROE (Basis Points)</t>
  </si>
  <si>
    <t>may be weighted average of small projects</t>
  </si>
  <si>
    <t>W Increased ROE</t>
  </si>
  <si>
    <t>Formula Rate -- Appendix A</t>
  </si>
  <si>
    <t xml:space="preserve">Net Plant Carrying Charge </t>
  </si>
  <si>
    <t>Net Plant Carrying Charge without Depreciation</t>
  </si>
  <si>
    <t>Net Plant Carrying Charge without Depreciation, Return, nor Income Taxes</t>
  </si>
  <si>
    <t>Increased Return and Taxes</t>
  </si>
  <si>
    <t>Net Revenue Requirement per 100 Basis Point increase in ROE</t>
  </si>
  <si>
    <t>Net Plant Carrying Charge per 100 Basis Point increase in ROE</t>
  </si>
  <si>
    <t>Net Plant Carrying Charge per 100 Basis Point in ROE without Depreciation</t>
  </si>
  <si>
    <t>Plus any increased ROE calculated on Attachment 7 other than PJM Sch. 12 projects</t>
  </si>
  <si>
    <t xml:space="preserve">Facility Credits under Section 30.9 of the PJM OATT </t>
  </si>
  <si>
    <t>Attachment 5</t>
  </si>
  <si>
    <t>Attachment 1</t>
  </si>
  <si>
    <t>Attachment 2</t>
  </si>
  <si>
    <t>Attachment 8</t>
  </si>
  <si>
    <t>Attachment 6</t>
  </si>
  <si>
    <t>Attachment 7</t>
  </si>
  <si>
    <t xml:space="preserve">Attachment 5 </t>
  </si>
  <si>
    <t xml:space="preserve">     Less extraordinary property loss</t>
  </si>
  <si>
    <t xml:space="preserve">     Plus amortized extraordinary property loss</t>
  </si>
  <si>
    <t>p117.62.c through 67.c</t>
  </si>
  <si>
    <t>p112.12.c</t>
  </si>
  <si>
    <t>p118.29.c</t>
  </si>
  <si>
    <t>p112.16.c</t>
  </si>
  <si>
    <t>p112.18.c through 21.c</t>
  </si>
  <si>
    <t>p111.81.c</t>
  </si>
  <si>
    <t xml:space="preserve">      Less ADIT associated with Gain or Loss</t>
  </si>
  <si>
    <t>p112.3.c</t>
  </si>
  <si>
    <t>Attachment 3</t>
  </si>
  <si>
    <t>Gross Revenue Requirement Less Return and Taxes</t>
  </si>
  <si>
    <t>Attachment 4</t>
  </si>
  <si>
    <t>Attachment 2 - Taxes Other Than Income Worksheet</t>
  </si>
  <si>
    <t>Attachment 1 - Accumulated Deferred Income Taxes (ADIT) Worksheet</t>
  </si>
  <si>
    <t>Source:</t>
  </si>
  <si>
    <t xml:space="preserve">Wages &amp; Salary Allocator </t>
  </si>
  <si>
    <t>Sum lines 9+20+29</t>
  </si>
  <si>
    <t>Total Excluded</t>
  </si>
  <si>
    <t>Grand Total = Included + Excluded  (line 31 + 41)</t>
  </si>
  <si>
    <t>Total "Taxes Other Than Income Taxes"  Acct. 408.1 (p115.14.g)</t>
  </si>
  <si>
    <t>Difference</t>
  </si>
  <si>
    <t>p113.61.c</t>
  </si>
  <si>
    <t>100 Basis Point increase in ROE and Income Taxes</t>
  </si>
  <si>
    <t>Attachment 4 - Calculation of 100 Basis Point Increase in ROE</t>
  </si>
  <si>
    <t>Return and Taxes with 100 Basis Point Increase in ROE</t>
  </si>
  <si>
    <t>Attachment 3 - Revenue Credit Workpaper</t>
  </si>
  <si>
    <t>(Line 1)</t>
  </si>
  <si>
    <t>Rent from Electric Property - Transmission Related  (Note 3)</t>
  </si>
  <si>
    <t>Account 456 - Other Electric Revenues (Note 1)</t>
  </si>
  <si>
    <t>Net revenues associated with Network Integration Transmission Service (NITS) for which the load is not included in the divisor (difference between NITS credits from PJM and PJM NITS charges paid by Transmission Owner) (Note 4)</t>
  </si>
  <si>
    <t>Point to Point Service revenues received by the Transmission Owner for which the load is not included in the divisor</t>
  </si>
  <si>
    <t>PJM Transitional Revenue Neutrality (Note 1)</t>
  </si>
  <si>
    <t>PJM Transitional Market Expansion (Note 1)</t>
  </si>
  <si>
    <t>Professional Services  (Note 3)</t>
  </si>
  <si>
    <t>Revenues from Directly Assigned Transmission Facility Charges (Note 2)</t>
  </si>
  <si>
    <t>Rent or Attachment Fees associated with Transmission Facilities (Note 3)</t>
  </si>
  <si>
    <t>Gross Revenue Credits</t>
  </si>
  <si>
    <t>(Sum Lines 2 through 10)</t>
  </si>
  <si>
    <t>Total Revenue Credits</t>
  </si>
  <si>
    <t>(Line 11 - Line 12)</t>
  </si>
  <si>
    <t>Note 2: If the costs associated with the Directly Assigned Transmission Facility Charges are included in the Rates, the associated revenues are included in the Rates.  If the costs associated with the Directly Assigned Transmission Facility Charges are not included in the Rates, the associated revenues are not included in the Rates.</t>
  </si>
  <si>
    <t>Note 3: Ratemaking treatment for the following specified secondary uses of transmission assets:  (1) right-of-way leases and leases for space on transmission facilities for telecommunications;  (2) transmission tower licenses for wireless antennas; (3) right-of-way property leases for farming, grazing or nurseries; (4) licenses of intellectual property (including a portable oil degasification process and scheduling software); and (5) transmission maintenance and consulting services (including energized circuit maintenance, high-voltage substation maintenance, safety training, transformer oil testing, and circuit breaker testing) to other utilities and large customers (collectively, products). Company will retain 50% of net revenues consistent with Pacific Gas and Electric Company, 90 FERC ¶ 61,314.  Note: in order to use lines 17a - 17g, the utility must track in separate subaccounts the revenues and costs associated with each secondary use (except for the cost of the associated income taxes).</t>
  </si>
  <si>
    <t>17a</t>
  </si>
  <si>
    <t>Revenues included in lines 1-11 which are subject to 50/50 sharing.</t>
  </si>
  <si>
    <t>17b</t>
  </si>
  <si>
    <t>Costs associated with revenues in line 17a</t>
  </si>
  <si>
    <t>17c</t>
  </si>
  <si>
    <t>Net Revenues  (17a - 17b)</t>
  </si>
  <si>
    <t>17d</t>
  </si>
  <si>
    <t>50% Share of Net Revenues  (17c / 2)</t>
  </si>
  <si>
    <t>17e</t>
  </si>
  <si>
    <t>Costs associated with revenues in line 17a that are included in FERC accounts recovered through the formula times the allocator used to functionalize the amounts in the FERC account to the transmission service at issue.</t>
  </si>
  <si>
    <t>17f</t>
  </si>
  <si>
    <t>Net Revenue Credit (17d + 17e)</t>
  </si>
  <si>
    <t>17g</t>
  </si>
  <si>
    <t>RESERVE FOR BAD DEBT - FIT</t>
  </si>
  <si>
    <t>RESERVE FOR BAD DEBT - STATE</t>
  </si>
  <si>
    <t>INJURIES &amp; DAMAGES - FIT</t>
  </si>
  <si>
    <t>INJURIES &amp; DAMAGES - STATE</t>
  </si>
  <si>
    <t>EXEC RETIREMENT PLAN - FIT</t>
  </si>
  <si>
    <t>EXEC RETIREMENT PLAN - STATE</t>
  </si>
  <si>
    <t>RESTRICTED STOCK AWARDS - FIT</t>
  </si>
  <si>
    <t>RESTRICTED STOCK AWARDS - STATE</t>
  </si>
  <si>
    <t>VACATION ACCRUAL - FIT</t>
  </si>
  <si>
    <t>VACATION ACCRUAL - STATE</t>
  </si>
  <si>
    <t>TAX CUSHION - FIT</t>
  </si>
  <si>
    <t>TAX CUSHION - STATE</t>
  </si>
  <si>
    <t>VEBA - FIT</t>
  </si>
  <si>
    <t>VEBA - STATE</t>
  </si>
  <si>
    <t>CIAC RECEIPTS - NET REFUNDS - FIT</t>
  </si>
  <si>
    <t>CIAC RECEIPTS - NET REFUNDS - STATE</t>
  </si>
  <si>
    <t>IRPA - FIT</t>
  </si>
  <si>
    <t>IRPA - STATE</t>
  </si>
  <si>
    <t>LIB. TAX DEPRECIATION ADR - FIT</t>
  </si>
  <si>
    <t>LIB. TAX DEPRECIATION ADR - STATE</t>
  </si>
  <si>
    <t>LIB. TAX DEPRECIATION - STATE - ACRS/MACRS</t>
  </si>
  <si>
    <t>TO populates the formula with Year 1 data from Form 1 for Year 1 (e.g. 2005 data) (no Cap Adds)</t>
  </si>
  <si>
    <t>Accumulated General Depreciation - Electric</t>
  </si>
  <si>
    <t>LOSS OF REACQUIRED DEBT - FIT</t>
  </si>
  <si>
    <t>LOSS OF REACQUIRED DEBT - STATE</t>
  </si>
  <si>
    <t>Administrative and General Wage Expense</t>
  </si>
  <si>
    <t>ATTACHMENT H-8C</t>
  </si>
  <si>
    <t>The Network Zonal Rate is calculated by PJM Interconnection for the PPL Group Zone.</t>
  </si>
  <si>
    <t>Page 1 of 2</t>
  </si>
  <si>
    <t>Page 2 of 2</t>
  </si>
  <si>
    <t>PJM Interconnection Calculates the Rate</t>
  </si>
  <si>
    <t>Net Plant Carrying Charge without ROE Increment</t>
  </si>
  <si>
    <t>Net Plant Carrying Charge with 100 Basis Point ROE Increment</t>
  </si>
  <si>
    <t>Securitization bonds may be included in the capital structure.</t>
  </si>
  <si>
    <t>Direct assignment to Transmission based upon plant records.</t>
  </si>
  <si>
    <t>Specific identification based on plant records:  The following plant investments are included:</t>
  </si>
  <si>
    <t>See Form 1</t>
  </si>
  <si>
    <t>See Line 7</t>
  </si>
  <si>
    <t>See Line 15</t>
  </si>
  <si>
    <t>See Line 24</t>
  </si>
  <si>
    <t>UGI is not a member of EPRI</t>
  </si>
  <si>
    <t>Pennsylvania Only</t>
  </si>
  <si>
    <t>p207.104.g</t>
  </si>
  <si>
    <t>p205.5.g &amp; p207.99.g</t>
  </si>
  <si>
    <t>p321.112.b</t>
  </si>
  <si>
    <t>p321.96.b</t>
  </si>
  <si>
    <t>p323.197.b</t>
  </si>
  <si>
    <t>p323.185b</t>
  </si>
  <si>
    <t>FAS 158 - FIT</t>
  </si>
  <si>
    <t>FAS 158 - STATE</t>
  </si>
  <si>
    <t>Must run Appendix A with cap adds in line 21 and line 20</t>
  </si>
  <si>
    <t>Rev Req based on Year 3 data with estimated Cap Adds for Year 4</t>
  </si>
  <si>
    <t>Year 4</t>
  </si>
  <si>
    <t>FV DERIVATIVES - GAS FUTURES - FIT</t>
  </si>
  <si>
    <t>FV DERIVATIVES - GAS FUTURES - STATE</t>
  </si>
  <si>
    <t>UGI Utilities, Inc. - Electric Division</t>
  </si>
  <si>
    <t>CY 2008 and CY 2009 Transmission Projects</t>
  </si>
  <si>
    <t>Estimates and Information As Of April 23, 2009</t>
  </si>
  <si>
    <t>CY 2009 Transmission Projects</t>
  </si>
  <si>
    <t>Est Date</t>
  </si>
  <si>
    <t>Act Date</t>
  </si>
  <si>
    <t>Project</t>
  </si>
  <si>
    <t>Estimated Cost</t>
  </si>
  <si>
    <t>8/2009</t>
  </si>
  <si>
    <t>Replace OCBs 66250 &amp; 66285 at Mountain Substation</t>
  </si>
  <si>
    <t>9/2009</t>
  </si>
  <si>
    <t>Replace 12 - 230kV Surge Arresters at Mountain Substation</t>
  </si>
  <si>
    <t>Total CY 2009 Transmission Projects</t>
  </si>
  <si>
    <t>CY 2008 Transmission Projects</t>
  </si>
  <si>
    <t>Actual Cost</t>
  </si>
  <si>
    <t>Notes:</t>
  </si>
  <si>
    <t>9/2008</t>
  </si>
  <si>
    <t>Replace CBs 66205 &amp; 66275 at Mountain Substation</t>
  </si>
  <si>
    <t>7/2008</t>
  </si>
  <si>
    <t>Replace Motor Operators 23011 &amp; 23021 at Mountain Substation</t>
  </si>
  <si>
    <t>3/2008</t>
  </si>
  <si>
    <t>5/2008</t>
  </si>
  <si>
    <t>Upgrade Hunlock 66/13.8 kV transformer cooling</t>
  </si>
  <si>
    <t>6/2008</t>
  </si>
  <si>
    <t>Upgrade Dallas 66/13.8 kV transformer cooling</t>
  </si>
  <si>
    <t>Sub-Total</t>
  </si>
  <si>
    <t>8/2008</t>
  </si>
  <si>
    <t>Replace 3-CVTs on the #1 transformer at Mountain Substation</t>
  </si>
  <si>
    <t>Scheduled to be completed in Sept 2009.  Actual costs are costs-to-date</t>
  </si>
  <si>
    <t>3/2009</t>
  </si>
  <si>
    <t>Replace MOAB 23030 (switch only) at Mountain Substation</t>
  </si>
  <si>
    <t>Completed in March 2009</t>
  </si>
  <si>
    <t>4/2009</t>
  </si>
  <si>
    <t>Upgrade Huntsville 66/13.8 kV transformer cooling</t>
  </si>
  <si>
    <t>Completed in April 2009</t>
  </si>
  <si>
    <t>66kV Transmission Replacements - Poles, Insulators, etc.</t>
  </si>
  <si>
    <t>Total CY 2008 Transmission Projects</t>
  </si>
  <si>
    <t>Totals</t>
  </si>
  <si>
    <t>1/(1-T)</t>
  </si>
  <si>
    <t>Excluded Transmission O&amp;M Expenses</t>
  </si>
  <si>
    <t xml:space="preserve"> Less Account 565 and other excluded expenses</t>
  </si>
  <si>
    <t>Excluded TOM</t>
  </si>
  <si>
    <t xml:space="preserve">                         Acct 565</t>
  </si>
  <si>
    <t xml:space="preserve">                        Portions of Acct 561</t>
  </si>
  <si>
    <t xml:space="preserve">                        Other Excluded Expenses</t>
  </si>
  <si>
    <t>Description -- other expenses not recovered in OATT</t>
  </si>
  <si>
    <t xml:space="preserve">     Less Account 565 and other excluded transmission expenses</t>
  </si>
  <si>
    <t>Acct 561 expenses not recovered in OATT:  561002 (Scheduling and Dispatch), 561005 (RTO Scheduling and Dispatch), 561007 (Market Expansion) and 561008 (NERC &amp; RFC Reliability)</t>
  </si>
  <si>
    <t>FIXED TRANSMISSION RIGHTS (FTR) - FIT</t>
  </si>
  <si>
    <t>FIXED TRANSMISSION RIGHTS (FTR) - STATE</t>
  </si>
  <si>
    <t>SFAS 112 LTD/STD (NON CURRENT) - FIT</t>
  </si>
  <si>
    <t>SFAS 112 LTD/STD (NON CURRENT) - STATE</t>
  </si>
  <si>
    <t>SFAS 106 POST RETIREMENT BENEFIT (NON CURRENT) - FIT</t>
  </si>
  <si>
    <t>SFAS 106 POST RETIREMENT BENEFIT (NON CURRENT) - STATE</t>
  </si>
  <si>
    <t>SFAS 106 POST RETIREMENT BENEFIT (CURRENT) - FIT</t>
  </si>
  <si>
    <t>SFAS 106 POST RETIREMENT BENEFIT (CURRENT) - STATE</t>
  </si>
  <si>
    <t>PREPAID RETIREMENT INCOME COSTS (PRE-SFAS 158) - FIT</t>
  </si>
  <si>
    <t>PREPAID RETIREMENT INCOME COSTS (PRE-SFAS 158) - STATE</t>
  </si>
  <si>
    <t>FAS 143 ASSET RETIREMENT OBLIG - FIT</t>
  </si>
  <si>
    <t>FAS 143 ASSET RETIREMENT OBLIG- STATE</t>
  </si>
  <si>
    <t>MARK TO MARKET ENERGY PURCHASES- ST - FIT</t>
  </si>
  <si>
    <t>MARK TO MARKET ENERGY PURCHASES- ST - STATE</t>
  </si>
  <si>
    <t>NET OPERATING LOSS - FIT</t>
  </si>
  <si>
    <t>NET OPERATING LOSS - STATE</t>
  </si>
  <si>
    <t>UNDER/OVER RECOVERED BILLED ENERGY COSTS - FIT</t>
  </si>
  <si>
    <t>UNDER/OVER RECOVERED BILLED ENERGY COSTS - STATE</t>
  </si>
  <si>
    <t>UNDER/OVER RECOVERED UNBILLED ENERGY COSTS - FIT</t>
  </si>
  <si>
    <t>UNDER/OVER RECOVERED UNBILLED ENERGY COSTS - STATE</t>
  </si>
  <si>
    <t>SFAS 109 RECOVERABLE UTILITY COSTS - FIT</t>
  </si>
  <si>
    <t>SFAS 109 RECOVERABLE UTILITY COSTS - STATE</t>
  </si>
  <si>
    <t>CAP PROGRAM OVER/UNDER - FIT</t>
  </si>
  <si>
    <t>CAP PROGRAM OVER/UNDER - STATE</t>
  </si>
  <si>
    <t>REGULATORY ASSET - PENSION - FIT</t>
  </si>
  <si>
    <t>Line 17a less line 17f</t>
  </si>
  <si>
    <t>Gross Receipts Tax (GRT)</t>
  </si>
  <si>
    <t>INSURANCE RECEIVABLE - FIT</t>
  </si>
  <si>
    <t>INSURANCE RECEIVABLE - STATE</t>
  </si>
  <si>
    <t>p323.189.b</t>
  </si>
  <si>
    <t>p323.191.b</t>
  </si>
  <si>
    <t>REG LIABILITY - ENVIRONMENTAL - FIT</t>
  </si>
  <si>
    <t>REG LIABILITY - ENVIRONMENTAL - SIT</t>
  </si>
  <si>
    <t>FERC Form 1  Page #          or Instruction</t>
  </si>
  <si>
    <t>p354.21.b</t>
  </si>
  <si>
    <t>p354.28.b</t>
  </si>
  <si>
    <t>p354.27.b</t>
  </si>
  <si>
    <t>p227.8.c</t>
  </si>
  <si>
    <t>p336.7.b&amp;c</t>
  </si>
  <si>
    <t>p336.10.b&amp;c</t>
  </si>
  <si>
    <t>p336.1.d&amp;e</t>
  </si>
  <si>
    <t>p336.11.b</t>
  </si>
  <si>
    <t>p336.11.d</t>
  </si>
  <si>
    <t>p266.6.f</t>
  </si>
  <si>
    <t>p227.16.c</t>
  </si>
  <si>
    <t>(Notes A &amp; I)</t>
  </si>
  <si>
    <t>(Line 24)</t>
  </si>
  <si>
    <t>(Note D)</t>
  </si>
  <si>
    <t>(Note E)</t>
  </si>
  <si>
    <t>(Note F)</t>
  </si>
  <si>
    <t>(Note K)</t>
  </si>
  <si>
    <t>(Note M)</t>
  </si>
  <si>
    <t>(Note N)</t>
  </si>
  <si>
    <t>Analysis of Company Records</t>
  </si>
  <si>
    <t>p356</t>
  </si>
  <si>
    <t>p214</t>
  </si>
  <si>
    <t>p219.25.c</t>
  </si>
  <si>
    <t>p219.28.c</t>
  </si>
  <si>
    <t>See Note I</t>
  </si>
  <si>
    <t>p111.57(c)</t>
  </si>
  <si>
    <t>Ferc Form 1</t>
  </si>
  <si>
    <t>Pages 262-263</t>
  </si>
  <si>
    <t>p267.8.h</t>
  </si>
  <si>
    <t>Attachment 5 - Cost Support</t>
  </si>
  <si>
    <t>Subtotal - p277</t>
  </si>
  <si>
    <t>[Line 131 * 126 * (1-(122 / 125))]</t>
  </si>
  <si>
    <t>Input to Formula Line 21</t>
  </si>
  <si>
    <t>Input to Formula Line 20</t>
  </si>
  <si>
    <t>Healthcare Tax Premium - PCORI</t>
  </si>
  <si>
    <t>SFAS 112 WORKERS COMPENSATION/LTD CURRENT - FIT</t>
  </si>
  <si>
    <t>SFAS 112 WORKERS COMPENSATION/LTD CURRENT - STATE</t>
  </si>
  <si>
    <t>ANNUAL BONUS PLAN (EXECUTIVE) - FIT</t>
  </si>
  <si>
    <t>ANNUAL BONUS PLAN (EXECUTIVE) - STATE</t>
  </si>
  <si>
    <t>REGULATORY ASSET - PENSION - STATE</t>
  </si>
  <si>
    <t>AOCI - PENSION - FIT</t>
  </si>
  <si>
    <t>AOCI - PENSION - STATE</t>
  </si>
  <si>
    <t>AOCI - IRPA - FIT</t>
  </si>
  <si>
    <t>AOCI - IRPA - STATE</t>
  </si>
  <si>
    <t>OTHER MISC ADIT - FIT</t>
  </si>
  <si>
    <t>OTHER MISC ADIT - STATE</t>
  </si>
  <si>
    <t>REG LIABILITY - WEATHERIZATION - FEDERAL</t>
  </si>
  <si>
    <t>REG LIABILITY - WEATHERIZATION - STATE</t>
  </si>
  <si>
    <t>TAX CAPITALIZED PENSION - FEDERAL</t>
  </si>
  <si>
    <t>TAX CAPITALIZED PENSION - STATE</t>
  </si>
  <si>
    <t>FAS 146 - FIT</t>
  </si>
  <si>
    <t>FAS 146 - SIT</t>
  </si>
  <si>
    <t>T&amp;D AMORTIZATION - FIT</t>
  </si>
  <si>
    <t>T&amp;D AMORTIZATION - SIT</t>
  </si>
  <si>
    <t>INVENTORY RESERVE - FIT</t>
  </si>
  <si>
    <t>INVENTORY RESERVE - SIT</t>
  </si>
  <si>
    <t>SFAS 158 PENSION - FIT</t>
  </si>
  <si>
    <t>SFAS 158 PENSION - SIT</t>
  </si>
  <si>
    <t>EXECUTIVE RETIREMENT PLAN - FIT</t>
  </si>
  <si>
    <t>EXECUTIVE RETIREMENT PLAN - SIT</t>
  </si>
  <si>
    <t>ANNUAL BONUS PLAN (EXEMPT) - FIT</t>
  </si>
  <si>
    <t>ANNUAL BONUS PLAN (EXEMPT) - STATE</t>
  </si>
  <si>
    <t>AOCI - OPEB - FIT</t>
  </si>
  <si>
    <t>AOCI -OPEB - STATE</t>
  </si>
  <si>
    <t>REG ASSET - EEC - FIT</t>
  </si>
  <si>
    <t>REG ASSET - EEC - STATE</t>
  </si>
  <si>
    <t>REG  ASSET - HURRICANE IRENE - FIT</t>
  </si>
  <si>
    <t>REG  ASSET - HURRICANE IRENE - STATE</t>
  </si>
  <si>
    <t>OTHER CURRENT MISC. REG ASSETS - FIT</t>
  </si>
  <si>
    <t>OTHER CURRENT MISC. REG ASSETS - STATE</t>
  </si>
  <si>
    <t>OTHER MISC. REG ASSETS - FIT</t>
  </si>
  <si>
    <t>OTHER MISC. REG ASSETS - STATE</t>
  </si>
  <si>
    <t>REG. LIABILITY - WEATHERIZATION - STATE</t>
  </si>
  <si>
    <t>REG. LIABILITY - WEATHERIZATION - FIT</t>
  </si>
  <si>
    <t>OTH REG ASSETS - ELEC DEFD COSTS - FIT</t>
  </si>
  <si>
    <t>OTH REG ASSETS - ELEC DEFD COSTS - STATE</t>
  </si>
  <si>
    <t>Gross Premium (Insurance) Tax</t>
  </si>
  <si>
    <t>State Unemployment</t>
  </si>
  <si>
    <t>Results of Step 9 go into effect for the Rate Year 2 (e.g., June 1, 2017 - May 31, 2018)</t>
  </si>
  <si>
    <t xml:space="preserve">Attachment 6 </t>
  </si>
  <si>
    <t>Payroll Tax Adjustment</t>
  </si>
  <si>
    <t>DERIVATIVE INSTRUMENT ASSETS - NATURAL GAS OPTIONS - FIT</t>
  </si>
  <si>
    <t>DERIVATIVE INSTRUMENT ASSETS - NATURAL GAS OPTIONS - STATE</t>
  </si>
  <si>
    <t>OCI ALLOCATION ADJUSTMENT - FIT</t>
  </si>
  <si>
    <t>LOSS ON REACQUIRED DEBT - FIT</t>
  </si>
  <si>
    <t>LOSS ON REACQUIRED DEBT - STATE</t>
  </si>
  <si>
    <t>CIAC GROSS UP - FIT</t>
  </si>
  <si>
    <t>OTHER REG ASSETS - RATE CASE - FIT</t>
  </si>
  <si>
    <t>OTHER REG ASSETS - RATE CASE - STATE</t>
  </si>
  <si>
    <t>EDFIT DEFERRED TAX ASSET</t>
  </si>
  <si>
    <t>DEFERRED REVENUE - FIT</t>
  </si>
  <si>
    <t>DEFERRED REVENUE - SIT</t>
  </si>
  <si>
    <t>to line 153</t>
  </si>
  <si>
    <t>Amortization of EDFIT</t>
  </si>
  <si>
    <t>Pre-TCJA Fed</t>
  </si>
  <si>
    <t>Post-TCJA Fed</t>
  </si>
  <si>
    <t>Gross-Up</t>
  </si>
  <si>
    <t>Pre-TCJA Fed+FBOS</t>
  </si>
  <si>
    <t>Post-TCJA Fed+FBOS</t>
  </si>
  <si>
    <t>ADIT Description</t>
  </si>
  <si>
    <t>ADIT FERC Account</t>
  </si>
  <si>
    <t>(Excess)/Deficient ADIT
Pre-Gross Up</t>
  </si>
  <si>
    <t>(Excess)/Deficient ADIT
Post-Gross Up</t>
  </si>
  <si>
    <t>Protected/
Unprotected</t>
  </si>
  <si>
    <t>(Excess)/Deficient ADIT 
FERC Account</t>
  </si>
  <si>
    <t>Amortization Period</t>
  </si>
  <si>
    <t>(Excess)/Deficient Amortization FERC Account</t>
  </si>
  <si>
    <t>Property - FED</t>
  </si>
  <si>
    <t>Protected</t>
  </si>
  <si>
    <t>ARAM</t>
  </si>
  <si>
    <t>CIAC - FED</t>
  </si>
  <si>
    <t>410 - Deferred Tax Exp</t>
  </si>
  <si>
    <t>Subtotal - Protected</t>
  </si>
  <si>
    <t>Subtotal - Unprotected</t>
  </si>
  <si>
    <t>Total Protected &amp; Unprotected</t>
  </si>
  <si>
    <t>CIT=(T/1-T) * Investment Return * (1-(WCLTD/R)) =</t>
  </si>
  <si>
    <t>(See Footnote Below)</t>
  </si>
  <si>
    <t>(Line 137 * Line 138)</t>
  </si>
  <si>
    <t>Amortization * (1-(WCLTD/R)) =</t>
  </si>
  <si>
    <t xml:space="preserve"> = Line 135 + Line 136 + Line 139</t>
  </si>
  <si>
    <t>See Note Q</t>
  </si>
  <si>
    <t>Upon enactment of changes in tax law, income tax rates and other actions taken by a taxing authority, deferred taxes are re-measured and adjusted in the Company's books of account, resulting in excess or deficient accumulated deferred income taxes. Such excess or deficient deferred income taxes attributed to the transmission function will be based upon tax records and calculated in the year in which the excess or deficient amount was measured and recorded for financial reporting purposes. The excess and/or deficient deferred income taxes are deducted from or added to rate base, as applicable, to ensure rate base neutrality. Further, the income tax component of the formula rate incorporates any amortization of the excess and/or deficient deferred income taxes.</t>
  </si>
  <si>
    <r>
      <t>ATT 1A - (Excess)/Deficient ADIT Worksheet</t>
    </r>
    <r>
      <rPr>
        <b/>
        <vertAlign val="superscript"/>
        <sz val="14"/>
        <color theme="1"/>
        <rFont val="Calibri"/>
        <family val="2"/>
        <scheme val="minor"/>
      </rPr>
      <t>(1)</t>
    </r>
  </si>
  <si>
    <t>(Note Q)</t>
  </si>
  <si>
    <t>Federal FICA/Medicare &amp; Unemployment</t>
  </si>
  <si>
    <t xml:space="preserve">EDIT </t>
  </si>
  <si>
    <t>CY2020</t>
  </si>
  <si>
    <t>PJM data</t>
  </si>
  <si>
    <t>(Excess)/Deficient ADIT Carries To</t>
  </si>
  <si>
    <t>ATT 1, ADIT-282, LIB. Tax Depreciation</t>
  </si>
  <si>
    <t>411.1 - Deferred Tax Exp</t>
  </si>
  <si>
    <t>ATT 1, ADIT-190, CIAC Receipts</t>
  </si>
  <si>
    <t>DEFERRED TAXES ON GROSS-UP OF DEFICIENT/(EXCESS) ADIT</t>
  </si>
  <si>
    <t>DEFICIENT/(EXCESS) ADIT - FROM ATTACHMENT 1A, SUBTOTAL OF "UNPROTECTED" &amp; "PROTECTED" ITEMS RECORDED IN FERC ACCOUNT 190</t>
  </si>
  <si>
    <t>6.  Re:  Form 1-F filer:  Sum of subtotals for Accounts 282 and 283 should tie to Form No. 1-F, p.113.57.c</t>
  </si>
  <si>
    <t>Source: Northwest Pipeline Corporation 87 FERC ¶61,266 (1999)</t>
  </si>
  <si>
    <t>DEFICIENT/(EXCESS) ADIT - FROM ATTACHMENT 1A, SUBTOTAL OF "UNPROTECTED" &amp; "PROTECTED" ITEMS RECORDED IN FERC ACCOUNT 282</t>
  </si>
  <si>
    <t>DEFICIENT/(EXCESS) ADIT - FROM ATTACHMENT 1A, SUBTOTAL OF "UNPROTECTED" &amp; "PROTECTED" ITEMS RECORDED IN FERC ACCOUNT 283</t>
  </si>
  <si>
    <t xml:space="preserve">  &lt;2021 Cap Ads Estimates</t>
  </si>
  <si>
    <t>&lt;Actuals for Year 2020</t>
  </si>
  <si>
    <t>&lt;March 2021</t>
  </si>
  <si>
    <t>REG LIABILITY - FEDERAL</t>
  </si>
  <si>
    <t>REG LIABILITY - STATE</t>
  </si>
  <si>
    <t xml:space="preserve">    is PA Jurisdictional revenue and $29,058 is transmission pole attachment revenue.</t>
  </si>
  <si>
    <t>Account 454 - Rent from Electric Property - $535,853. This represents pole attachment revenue of which $506,795</t>
  </si>
  <si>
    <t>Amortization Expense/(Benefit)</t>
  </si>
  <si>
    <t>Heavy Highway</t>
  </si>
  <si>
    <t>Sales Use/Refund Claim</t>
  </si>
  <si>
    <t xml:space="preserve">Direct assignment to Transmission based upon plant records. </t>
  </si>
  <si>
    <t>Direct assignment to Transmission based upon plant records.  (Reduced by $17,032, which represents correction of Electric AFUDC for 2012-2021.)</t>
  </si>
  <si>
    <t>Direct assignment to Transmission based upon plant records.  (Reduced by $172,296, which represents correction of Electric AFUDC for 2012-2021.)</t>
  </si>
  <si>
    <t>See Form 1  (Reduced by $884,123 for correction for Electric AFUDC for 2012-2021)</t>
  </si>
  <si>
    <t>Pre - Gross-Up
(Excess)/Deficient ADIT Balances</t>
  </si>
  <si>
    <t xml:space="preserve">Post-Gross-Up
(Excess)/Deficient ADIT Balances </t>
  </si>
  <si>
    <t>(1) Because the company has a fiscal year-end of September 30, its excess/deficient ADIT is calculated on a fiscal year basis.</t>
  </si>
  <si>
    <t>EDIT Amortization (Benefit)/Expense for Plant</t>
  </si>
  <si>
    <t>EDIT Amortizaation (Benefit)/Expense for Labor</t>
  </si>
  <si>
    <t>EDIT Amount</t>
  </si>
  <si>
    <t>Allocation % from ATT H</t>
  </si>
  <si>
    <t>Allocated Transmission Amount</t>
  </si>
  <si>
    <t xml:space="preserve"> 1-(Line 122 / Line 125)</t>
  </si>
  <si>
    <r>
      <t xml:space="preserve">EDIT Amortization
(Benefit)/Expense </t>
    </r>
    <r>
      <rPr>
        <b/>
        <vertAlign val="superscript"/>
        <sz val="11"/>
        <color theme="1"/>
        <rFont val="Calibri"/>
        <family val="2"/>
        <scheme val="minor"/>
      </rPr>
      <t>(2)</t>
    </r>
  </si>
  <si>
    <t>Attachment 1A, Column F, "EDIT Amortization (Benefit)/Expense, Line 34, Col. D</t>
  </si>
  <si>
    <r>
      <t>Electric Plant in Service</t>
    </r>
    <r>
      <rPr>
        <vertAlign val="superscript"/>
        <sz val="12"/>
        <rFont val="Arial"/>
        <family val="2"/>
      </rPr>
      <t>1</t>
    </r>
  </si>
  <si>
    <r>
      <t>Accumulated Depreciation (Total Electric Plant)</t>
    </r>
    <r>
      <rPr>
        <vertAlign val="superscript"/>
        <sz val="12"/>
        <rFont val="Arial"/>
        <family val="2"/>
      </rPr>
      <t>1</t>
    </r>
  </si>
  <si>
    <r>
      <t>Transmission Plant In Service</t>
    </r>
    <r>
      <rPr>
        <vertAlign val="superscript"/>
        <sz val="12"/>
        <rFont val="Arial"/>
        <family val="2"/>
      </rPr>
      <t>1</t>
    </r>
  </si>
  <si>
    <r>
      <rPr>
        <b/>
        <vertAlign val="superscript"/>
        <sz val="14"/>
        <rFont val="Arial"/>
        <family val="2"/>
      </rPr>
      <t xml:space="preserve">1 </t>
    </r>
    <r>
      <rPr>
        <b/>
        <u val="single"/>
        <sz val="14"/>
        <rFont val="Arial"/>
        <family val="2"/>
      </rPr>
      <t>Explanatory Note</t>
    </r>
    <r>
      <rPr>
        <b/>
        <sz val="14"/>
        <rFont val="Arial"/>
        <family val="2"/>
      </rPr>
      <t xml:space="preserve">: Includes correcting accounting entries recommended as part of the Division of Audits and Accounting (DAA) within the Office of Enforcement of the FERC January 14, 2021 audit report of UGI Utilities, Inc. (Docket No. FA20-3-000). These correcting entries were not reflected on UGI Utilities, Inc.’s December 31, 2020 FERC Form No. 1. See the below chart for more detail. </t>
    </r>
  </si>
  <si>
    <r>
      <t>Regulatory Commission Exp Account 928</t>
    </r>
    <r>
      <rPr>
        <vertAlign val="superscript"/>
        <sz val="12"/>
        <rFont val="Arial"/>
        <family val="2"/>
      </rPr>
      <t>2</t>
    </r>
  </si>
  <si>
    <t>(Note G)</t>
  </si>
  <si>
    <r>
      <t>Reconciliation Amount</t>
    </r>
    <r>
      <rPr>
        <vertAlign val="superscript"/>
        <sz val="12"/>
        <rFont val="Arial"/>
        <family val="2"/>
      </rPr>
      <t>3</t>
    </r>
  </si>
  <si>
    <r>
      <rPr>
        <b/>
        <vertAlign val="superscript"/>
        <sz val="14"/>
        <rFont val="Arial"/>
        <family val="2"/>
      </rPr>
      <t>2</t>
    </r>
    <r>
      <rPr>
        <b/>
        <sz val="14"/>
        <rFont val="Arial"/>
        <family val="2"/>
      </rPr>
      <t xml:space="preserve"> </t>
    </r>
    <r>
      <rPr>
        <b/>
        <u val="single"/>
        <sz val="14"/>
        <rFont val="Arial"/>
        <family val="2"/>
      </rPr>
      <t>Explanatory Note</t>
    </r>
    <r>
      <rPr>
        <b/>
        <sz val="14"/>
        <rFont val="Arial"/>
        <family val="2"/>
      </rPr>
      <t>: Represents reclass of 2020 FERC audit costs totaling $269,169 that are recorded in FERC Account 923. For purposes of this filing, this amount was reclassified from line 68, Total A&amp;G to line 76, Regulatory Commission Expense since these audit fees have been determined to be 100% allocable to transmission operations.</t>
    </r>
  </si>
  <si>
    <r>
      <t>Regulatory Commission Exp Account 928</t>
    </r>
    <r>
      <rPr>
        <vertAlign val="superscript"/>
        <sz val="12"/>
        <rFont val="Arial Narrow"/>
        <family val="2"/>
      </rPr>
      <t>2</t>
    </r>
  </si>
  <si>
    <r>
      <t>Transmission Gross Plant</t>
    </r>
    <r>
      <rPr>
        <b/>
        <vertAlign val="superscript"/>
        <sz val="12"/>
        <rFont val="Arial Narrow"/>
        <family val="2"/>
      </rPr>
      <t>1</t>
    </r>
  </si>
  <si>
    <r>
      <t>Transmission Accumulated Depreciation</t>
    </r>
    <r>
      <rPr>
        <b/>
        <vertAlign val="superscript"/>
        <sz val="12"/>
        <rFont val="Arial Narrow"/>
        <family val="2"/>
      </rPr>
      <t>1</t>
    </r>
  </si>
  <si>
    <r>
      <t>Depreciation</t>
    </r>
    <r>
      <rPr>
        <vertAlign val="superscript"/>
        <sz val="12"/>
        <rFont val="Arial Narrow"/>
        <family val="2"/>
      </rPr>
      <t>1</t>
    </r>
  </si>
  <si>
    <r>
      <t>Electric Plant in Service</t>
    </r>
    <r>
      <rPr>
        <vertAlign val="superscript"/>
        <sz val="12"/>
        <rFont val="Arial Narrow"/>
        <family val="2"/>
      </rPr>
      <t>1</t>
    </r>
  </si>
  <si>
    <r>
      <t>Total A&amp;G</t>
    </r>
    <r>
      <rPr>
        <vertAlign val="superscript"/>
        <sz val="12"/>
        <rFont val="Arial"/>
        <family val="2"/>
      </rPr>
      <t>2</t>
    </r>
  </si>
  <si>
    <r>
      <t xml:space="preserve">(2) </t>
    </r>
    <r>
      <rPr>
        <b/>
        <u val="single"/>
        <sz val="10"/>
        <rFont val="Arial"/>
        <family val="2"/>
      </rPr>
      <t>Explanatory Note</t>
    </r>
    <r>
      <rPr>
        <sz val="10"/>
        <rFont val="Arial"/>
        <family val="2"/>
      </rPr>
      <t>: These amounts are for the entire Electric Division. Below is a calculation of the amounts allocated to solely the Electric Transmission segment:</t>
    </r>
  </si>
  <si>
    <t>(1,102,095-17,032 = Correction of Electric AFUDC for 2012-2021)</t>
  </si>
  <si>
    <r>
      <rPr>
        <b/>
        <vertAlign val="superscript"/>
        <sz val="14"/>
        <rFont val="Arial"/>
        <family val="2"/>
      </rPr>
      <t>3</t>
    </r>
    <r>
      <rPr>
        <b/>
        <sz val="14"/>
        <rFont val="Arial"/>
        <family val="2"/>
      </rPr>
      <t xml:space="preserve"> </t>
    </r>
    <r>
      <rPr>
        <b/>
        <u val="single"/>
        <sz val="14"/>
        <rFont val="Arial"/>
        <family val="2"/>
      </rPr>
      <t>Explanatory Note</t>
    </r>
    <r>
      <rPr>
        <b/>
        <sz val="14"/>
        <rFont val="Arial"/>
        <family val="2"/>
      </rPr>
      <t>: The reconciliation amount of $684,300 represents the true-up of the prior years forecast plus interest as calculated in Step 9 of "Attachment 6 - Estimate and Reconciliation Worksheet" in the amount of $1,755,073, reduced by $1,070,773 which has been refunded per the findings at Docket No. FA20-3-000.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</si>
</sst>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_);[Red]\(&quot;$&quot;#,##0\)"/>
    <numFmt numFmtId="44" formatCode="_(&quot;$&quot;* #,##0.00_);_(&quot;$&quot;* \(#,##0.00\);_(&quot;$&quot;* &quot;-&quot;??_);_(@_)"/>
    <numFmt numFmtId="43" formatCode="_(* #,##0.00_);_(* \(#,##0.00\);_(* &quot;-&quot;??_);_(@_)"/>
    <numFmt numFmtId="164" formatCode="_(* #,##0_);_(* \(#,##0\);_(* &quot;-&quot;??_);_(@_)"/>
    <numFmt numFmtId="165" formatCode="General_)"/>
    <numFmt numFmtId="166" formatCode="0.0000"/>
    <numFmt numFmtId="167" formatCode="_(&quot;$&quot;* #,##0_);_(&quot;$&quot;* \(#,##0\);_(&quot;$&quot;* &quot;-&quot;??_);_(@_)"/>
    <numFmt numFmtId="168" formatCode="#,##0.0000"/>
    <numFmt numFmtId="169" formatCode="0.000%"/>
    <numFmt numFmtId="170" formatCode="0.00000"/>
    <numFmt numFmtId="171" formatCode="&quot;$&quot;#,##0.00"/>
    <numFmt numFmtId="172" formatCode="0.0%"/>
    <numFmt numFmtId="173" formatCode="_(* #,##0.0000_);_(* \(#,##0.0000\);_(* &quot;-&quot;??_);_(@_)"/>
    <numFmt numFmtId="174" formatCode="0.0000%"/>
    <numFmt numFmtId="175" formatCode="0.00000%"/>
    <numFmt numFmtId="176" formatCode="0.000000%"/>
  </numFmts>
  <fonts count="90">
    <font>
      <sz val="10"/>
      <name val="Arial"/>
      <family val="2"/>
    </font>
    <font>
      <sz val="10"/>
      <color theme="1"/>
      <name val="Arial"/>
      <family val="2"/>
    </font>
    <font>
      <b/>
      <sz val="10"/>
      <name val="Arial"/>
      <family val="2"/>
    </font>
    <font>
      <b/>
      <sz val="12"/>
      <name val="Arial"/>
      <family val="2"/>
    </font>
    <font>
      <sz val="10"/>
      <color indexed="10"/>
      <name val="Arial"/>
      <family val="2"/>
    </font>
    <font>
      <sz val="12"/>
      <name val="Arial"/>
      <family val="2"/>
    </font>
    <font>
      <sz val="10"/>
      <name val="Courier"/>
      <family val="3"/>
    </font>
    <font>
      <sz val="12"/>
      <color indexed="12"/>
      <name val="Arial"/>
      <family val="2"/>
    </font>
    <font>
      <b/>
      <sz val="12"/>
      <color indexed="10"/>
      <name val="Arial"/>
      <family val="2"/>
    </font>
    <font>
      <sz val="12"/>
      <color indexed="10"/>
      <name val="Arial"/>
      <family val="2"/>
    </font>
    <font>
      <b/>
      <sz val="10"/>
      <color indexed="10"/>
      <name val="Arial"/>
      <family val="2"/>
    </font>
    <font>
      <sz val="12"/>
      <name val="Arial MT"/>
      <family val="2"/>
    </font>
    <font>
      <sz val="10"/>
      <color indexed="12"/>
      <name val="Arial"/>
      <family val="2"/>
    </font>
    <font>
      <b/>
      <sz val="14"/>
      <name val="Arial"/>
      <family val="2"/>
    </font>
    <font>
      <sz val="12"/>
      <color indexed="12"/>
      <name val="Helv"/>
      <family val="2"/>
    </font>
    <font>
      <sz val="12"/>
      <name val="Helv"/>
      <family val="2"/>
    </font>
    <font>
      <b/>
      <sz val="12"/>
      <color indexed="10"/>
      <name val="Helv"/>
      <family val="2"/>
    </font>
    <font>
      <sz val="12"/>
      <color indexed="13"/>
      <name val="Arial"/>
      <family val="2"/>
    </font>
    <font>
      <b/>
      <sz val="12"/>
      <color indexed="13"/>
      <name val="Arial"/>
      <family val="2"/>
    </font>
    <font>
      <sz val="12"/>
      <name val="Arial Narrow"/>
      <family val="2"/>
    </font>
    <font>
      <b/>
      <sz val="12"/>
      <color indexed="10"/>
      <name val="Arial Narrow"/>
      <family val="2"/>
    </font>
    <font>
      <b/>
      <sz val="14"/>
      <color indexed="13"/>
      <name val="Arial"/>
      <family val="2"/>
    </font>
    <font>
      <b/>
      <sz val="18"/>
      <name val="Arial"/>
      <family val="2"/>
    </font>
    <font>
      <sz val="12"/>
      <color indexed="10"/>
      <name val="Helv"/>
      <family val="2"/>
    </font>
    <font>
      <b/>
      <i/>
      <sz val="10"/>
      <name val="Arial"/>
      <family val="2"/>
    </font>
    <font>
      <b/>
      <sz val="10"/>
      <color indexed="10"/>
      <name val="Helv"/>
      <family val="2"/>
    </font>
    <font>
      <b/>
      <i/>
      <sz val="12"/>
      <name val="Arial"/>
      <family val="2"/>
    </font>
    <font>
      <b/>
      <i/>
      <sz val="12"/>
      <color indexed="14"/>
      <name val="Arial"/>
      <family val="2"/>
    </font>
    <font>
      <b/>
      <sz val="10"/>
      <color indexed="10"/>
      <name val="Arial Narrow"/>
      <family val="2"/>
    </font>
    <font>
      <sz val="10"/>
      <name val="Arial Narrow"/>
      <family val="2"/>
    </font>
    <font>
      <b/>
      <i/>
      <sz val="10"/>
      <color indexed="10"/>
      <name val="Arial"/>
      <family val="2"/>
    </font>
    <font>
      <b/>
      <sz val="10"/>
      <color indexed="14"/>
      <name val="Arial"/>
      <family val="2"/>
    </font>
    <font>
      <sz val="11"/>
      <name val="Arial"/>
      <family val="2"/>
    </font>
    <font>
      <b/>
      <sz val="10"/>
      <name val="Arial Narrow"/>
      <family val="2"/>
    </font>
    <font>
      <sz val="10"/>
      <color indexed="12"/>
      <name val="Arial Narrow"/>
      <family val="2"/>
    </font>
    <font>
      <sz val="10"/>
      <color indexed="10"/>
      <name val="Arial Narrow"/>
      <family val="2"/>
    </font>
    <font>
      <b/>
      <sz val="12"/>
      <name val="Arial Narrow"/>
      <family val="2"/>
    </font>
    <font>
      <sz val="12"/>
      <color indexed="12"/>
      <name val="Arial Narrow"/>
      <family val="2"/>
    </font>
    <font>
      <b/>
      <sz val="12"/>
      <color indexed="13"/>
      <name val="Arial Narrow"/>
      <family val="2"/>
    </font>
    <font>
      <sz val="12"/>
      <color indexed="13"/>
      <name val="Arial Narrow"/>
      <family val="2"/>
    </font>
    <font>
      <sz val="12"/>
      <color indexed="10"/>
      <name val="Arial Narrow"/>
      <family val="2"/>
    </font>
    <font>
      <b/>
      <u val="single"/>
      <sz val="12"/>
      <name val="Arial Narrow"/>
      <family val="2"/>
    </font>
    <font>
      <b/>
      <sz val="14"/>
      <name val="Arial Narrow"/>
      <family val="2"/>
    </font>
    <font>
      <sz val="14"/>
      <name val="Arial Narrow"/>
      <family val="2"/>
    </font>
    <font>
      <b/>
      <i/>
      <sz val="12"/>
      <color indexed="14"/>
      <name val="Arial Narrow"/>
      <family val="2"/>
    </font>
    <font>
      <sz val="9"/>
      <color indexed="10"/>
      <name val="Arial Narrow"/>
      <family val="2"/>
    </font>
    <font>
      <b/>
      <sz val="14"/>
      <color indexed="10"/>
      <name val="Arial"/>
      <family val="2"/>
    </font>
    <font>
      <b/>
      <sz val="16"/>
      <color indexed="10"/>
      <name val="Arial"/>
      <family val="2"/>
    </font>
    <font>
      <sz val="11"/>
      <name val="Arial Narrow"/>
      <family val="2"/>
    </font>
    <font>
      <sz val="9"/>
      <name val="Arial Narrow"/>
      <family val="2"/>
    </font>
    <font>
      <b/>
      <sz val="9"/>
      <name val="Arial Narrow"/>
      <family val="2"/>
    </font>
    <font>
      <b/>
      <sz val="12"/>
      <color indexed="13"/>
      <name val="Helvetica"/>
      <family val="2"/>
    </font>
    <font>
      <sz val="14"/>
      <name val="Arial"/>
      <family val="2"/>
    </font>
    <font>
      <sz val="12"/>
      <color indexed="43"/>
      <name val="Arial"/>
      <family val="2"/>
    </font>
    <font>
      <b/>
      <u val="single"/>
      <sz val="10"/>
      <name val="Arial"/>
      <family val="2"/>
    </font>
    <font>
      <sz val="12"/>
      <color indexed="14"/>
      <name val="Arial Narrow"/>
      <family val="2"/>
    </font>
    <font>
      <sz val="10"/>
      <color indexed="14"/>
      <name val="Arial"/>
      <family val="2"/>
    </font>
    <font>
      <b/>
      <sz val="9"/>
      <color indexed="10"/>
      <name val="Arial Narrow"/>
      <family val="2"/>
    </font>
    <font>
      <b/>
      <u val="single"/>
      <sz val="12"/>
      <name val="Arial"/>
      <family val="2"/>
    </font>
    <font>
      <b/>
      <sz val="12"/>
      <color indexed="12"/>
      <name val="Arial"/>
      <family val="2"/>
    </font>
    <font>
      <b/>
      <sz val="9"/>
      <color indexed="10"/>
      <name val="Arial"/>
      <family val="2"/>
    </font>
    <font>
      <sz val="9"/>
      <name val="Arial"/>
      <family val="2"/>
    </font>
    <font>
      <sz val="10"/>
      <name val="Tahoma"/>
      <family val="2"/>
    </font>
    <font>
      <sz val="10"/>
      <color indexed="8"/>
      <name val="Arial"/>
      <family val="2"/>
    </font>
    <font>
      <b/>
      <sz val="10"/>
      <color indexed="8"/>
      <name val="Arial"/>
      <family val="2"/>
    </font>
    <font>
      <sz val="8"/>
      <name val="Arial"/>
      <family val="2"/>
    </font>
    <font>
      <sz val="10"/>
      <color indexed="8"/>
      <name val="Arial Narrow"/>
      <family val="2"/>
    </font>
    <font>
      <b/>
      <sz val="18"/>
      <color rgb="FFFF0000"/>
      <name val="Arial"/>
      <family val="2"/>
    </font>
    <font>
      <sz val="10"/>
      <color rgb="FFFF0000"/>
      <name val="Arial Narrow"/>
      <family val="2"/>
    </font>
    <font>
      <b/>
      <sz val="10"/>
      <color rgb="FFFF0000"/>
      <name val="Arial Narrow"/>
      <family val="2"/>
    </font>
    <font>
      <b/>
      <sz val="12"/>
      <color rgb="FFFF0000"/>
      <name val="Arial"/>
      <family val="2"/>
    </font>
    <font>
      <sz val="12"/>
      <color rgb="FFFF0000"/>
      <name val="Arial"/>
      <family val="2"/>
    </font>
    <font>
      <b/>
      <sz val="14"/>
      <color rgb="FFFF0000"/>
      <name val="Arial"/>
      <family val="2"/>
    </font>
    <font>
      <sz val="10"/>
      <color rgb="FFFF0000"/>
      <name val="Arial"/>
      <family val="2"/>
    </font>
    <font>
      <b/>
      <sz val="10"/>
      <color rgb="FFFF0000"/>
      <name val="Arial"/>
      <family val="2"/>
    </font>
    <font>
      <sz val="10"/>
      <color theme="1"/>
      <name val="Arial Narrow"/>
      <family val="2"/>
    </font>
    <font>
      <vertAlign val="superscript"/>
      <sz val="12"/>
      <name val="Arial"/>
      <family val="2"/>
    </font>
    <font>
      <b/>
      <vertAlign val="superscript"/>
      <sz val="14"/>
      <name val="Arial"/>
      <family val="2"/>
    </font>
    <font>
      <sz val="10"/>
      <color rgb="FF00B050"/>
      <name val="Arial"/>
      <family val="2"/>
    </font>
    <font>
      <sz val="10"/>
      <color rgb="FF000000"/>
      <name val="Arial"/>
      <family val="2"/>
    </font>
    <font>
      <b/>
      <sz val="11"/>
      <color theme="1"/>
      <name val="Calibri"/>
      <family val="2"/>
      <scheme val="minor"/>
    </font>
    <font>
      <b/>
      <sz val="14"/>
      <color theme="1"/>
      <name val="Calibri"/>
      <family val="2"/>
      <scheme val="minor"/>
    </font>
    <font>
      <b/>
      <vertAlign val="superscript"/>
      <sz val="14"/>
      <color theme="1"/>
      <name val="Calibri"/>
      <family val="2"/>
      <scheme val="minor"/>
    </font>
    <font>
      <b/>
      <u val="single"/>
      <sz val="11"/>
      <color theme="1"/>
      <name val="Calibri"/>
      <family val="2"/>
      <scheme val="minor"/>
    </font>
    <font>
      <b/>
      <sz val="10"/>
      <color rgb="FF0070C0"/>
      <name val="Arial"/>
      <family val="2"/>
    </font>
    <font>
      <i/>
      <sz val="10"/>
      <name val="Arial"/>
      <family val="2"/>
    </font>
    <font>
      <b/>
      <vertAlign val="superscript"/>
      <sz val="11"/>
      <color theme="1"/>
      <name val="Calibri"/>
      <family val="2"/>
      <scheme val="minor"/>
    </font>
    <font>
      <b/>
      <u val="single"/>
      <sz val="14"/>
      <name val="Arial"/>
      <family val="2"/>
    </font>
    <font>
      <vertAlign val="superscript"/>
      <sz val="12"/>
      <name val="Arial Narrow"/>
      <family val="2"/>
    </font>
    <font>
      <b/>
      <vertAlign val="superscript"/>
      <sz val="12"/>
      <name val="Arial Narrow"/>
      <family val="2"/>
    </font>
  </fonts>
  <fills count="13">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10"/>
        <bgColor indexed="64"/>
      </patternFill>
    </fill>
    <fill>
      <patternFill patternType="solid">
        <fgColor indexed="42"/>
        <bgColor indexed="64"/>
      </patternFill>
    </fill>
    <fill>
      <patternFill patternType="solid">
        <fgColor indexed="13"/>
        <bgColor indexed="64"/>
      </patternFill>
    </fill>
    <fill>
      <patternFill patternType="solid">
        <fgColor indexed="41"/>
        <bgColor indexed="64"/>
      </patternFill>
    </fill>
    <fill>
      <patternFill patternType="solid">
        <fgColor indexed="51"/>
        <bgColor indexed="64"/>
      </patternFill>
    </fill>
    <fill>
      <patternFill patternType="solid">
        <fgColor rgb="FFFFFF99"/>
        <bgColor indexed="64"/>
      </patternFill>
    </fill>
    <fill>
      <patternFill patternType="solid">
        <fgColor rgb="FF92D050"/>
        <bgColor indexed="64"/>
      </patternFill>
    </fill>
    <fill>
      <patternFill patternType="solid">
        <fgColor rgb="FFFFFF99"/>
        <bgColor indexed="64"/>
      </patternFill>
    </fill>
    <fill>
      <patternFill patternType="solid">
        <fgColor theme="6" tint="0.39998"/>
        <bgColor indexed="64"/>
      </patternFill>
    </fill>
  </fills>
  <borders count="23">
    <border>
      <left/>
      <right/>
      <top/>
      <bottom/>
      <diagonal/>
    </border>
    <border>
      <left/>
      <right/>
      <top style="thin">
        <color auto="1"/>
      </top>
      <bottom/>
    </border>
    <border>
      <left/>
      <right/>
      <top style="thin">
        <color auto="1"/>
      </top>
      <bottom style="double">
        <color auto="1"/>
      </bottom>
    </border>
    <border>
      <left/>
      <right/>
      <top/>
      <bottom style="thin">
        <color auto="1"/>
      </bottom>
    </border>
    <border>
      <left style="medium">
        <color auto="1"/>
      </left>
      <right/>
      <top style="medium">
        <color auto="1"/>
      </top>
      <bottom style="medium">
        <color auto="1"/>
      </bottom>
    </border>
    <border>
      <left/>
      <right/>
      <top style="medium">
        <color auto="1"/>
      </top>
      <bottom style="medium">
        <color auto="1"/>
      </bottom>
    </border>
    <border>
      <left style="medium">
        <color auto="1"/>
      </left>
      <right/>
      <top/>
      <bottom/>
    </border>
    <border>
      <left/>
      <right style="medium">
        <color auto="1"/>
      </right>
      <top/>
      <bottom/>
    </border>
    <border>
      <left style="medium">
        <color auto="1"/>
      </left>
      <right/>
      <top/>
      <bottom style="medium">
        <color auto="1"/>
      </bottom>
    </border>
    <border>
      <left/>
      <right/>
      <top/>
      <bottom style="medium">
        <color auto="1"/>
      </bottom>
    </border>
    <border>
      <left/>
      <right style="medium">
        <color auto="1"/>
      </right>
      <top/>
      <bottom style="medium">
        <color auto="1"/>
      </bottom>
    </border>
    <border>
      <left/>
      <right style="medium">
        <color auto="1"/>
      </right>
      <top style="thin">
        <color auto="1"/>
      </top>
      <bottom/>
    </border>
    <border>
      <left/>
      <right style="medium">
        <color auto="1"/>
      </right>
      <top style="thin">
        <color auto="1"/>
      </top>
      <bottom style="double">
        <color auto="1"/>
      </bottom>
    </border>
    <border>
      <left/>
      <right style="medium">
        <color auto="1"/>
      </right>
      <top style="medium">
        <color auto="1"/>
      </top>
      <bottom style="medium">
        <color auto="1"/>
      </bottom>
    </border>
    <border>
      <left/>
      <right/>
      <top style="medium">
        <color auto="1"/>
      </top>
      <bottom/>
    </border>
    <border>
      <left/>
      <right style="medium">
        <color auto="1"/>
      </right>
      <top style="medium">
        <color auto="1"/>
      </top>
      <bottom/>
    </border>
    <border>
      <left style="medium">
        <color auto="1"/>
      </left>
      <right/>
      <top style="medium">
        <color auto="1"/>
      </top>
      <bottom/>
    </border>
    <border>
      <left style="medium">
        <color auto="1"/>
      </left>
      <right style="medium">
        <color auto="1"/>
      </right>
      <top style="medium">
        <color auto="1"/>
      </top>
      <bottom/>
    </border>
    <border>
      <left style="medium">
        <color auto="1"/>
      </left>
      <right style="medium">
        <color auto="1"/>
      </right>
      <top/>
      <bottom/>
    </border>
    <border>
      <left style="medium">
        <color auto="1"/>
      </left>
      <right style="medium">
        <color auto="1"/>
      </right>
      <top/>
      <bottom style="medium">
        <color auto="1"/>
      </bottom>
    </border>
    <border>
      <left/>
      <right/>
      <top/>
      <bottom style="double">
        <color auto="1"/>
      </bottom>
    </border>
    <border>
      <left style="medium">
        <color auto="1"/>
      </left>
      <right/>
      <top/>
      <bottom style="thin">
        <color auto="1"/>
      </bottom>
    </border>
    <border>
      <left style="medium">
        <color auto="1"/>
      </left>
      <right style="medium">
        <color auto="1"/>
      </right>
      <top style="medium">
        <color auto="1"/>
      </top>
      <bottom style="medium">
        <color auto="1"/>
      </bottom>
    </border>
  </borders>
  <cellStyleXfs count="25">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1" fillId="0" borderId="0" applyFont="0" applyFill="0" applyBorder="0" applyAlignment="0" applyProtection="0"/>
    <xf numFmtId="43" fontId="0" fillId="0" borderId="0" applyFont="0" applyFill="0" applyBorder="0" applyAlignment="0" applyProtection="0"/>
    <xf numFmtId="41" fontId="1" fillId="0" borderId="0" applyFont="0" applyFill="0" applyBorder="0" applyAlignment="0" applyProtection="0"/>
    <xf numFmtId="165" fontId="6" fillId="0" borderId="0">
      <alignment/>
      <protection/>
    </xf>
    <xf numFmtId="171" fontId="11" fillId="0" borderId="0" applyProtection="0">
      <alignment/>
    </xf>
    <xf numFmtId="0" fontId="0" fillId="0" borderId="0">
      <alignment/>
      <protection/>
    </xf>
    <xf numFmtId="43" fontId="0" fillId="0" borderId="0" applyFont="0" applyFill="0" applyBorder="0" applyAlignment="0" applyProtection="0"/>
    <xf numFmtId="0" fontId="0" fillId="0" borderId="0">
      <alignment/>
      <protection/>
    </xf>
  </cellStyleXfs>
  <cellXfs count="1021">
    <xf numFmtId="0" fontId="0" fillId="0" borderId="0" xfId="0"/>
    <xf numFmtId="0" fontId="3" fillId="0" borderId="0" xfId="0" applyFont="1"/>
    <xf numFmtId="0" fontId="0" fillId="0" borderId="0" xfId="0" applyFill="1"/>
    <xf numFmtId="0" fontId="5" fillId="0" borderId="0" xfId="0" applyNumberFormat="1" applyFont="1" applyAlignment="1">
      <alignment/>
    </xf>
    <xf numFmtId="0" fontId="5" fillId="0" borderId="0" xfId="0" applyNumberFormat="1" applyFont="1" applyAlignment="1">
      <alignment horizontal="left"/>
    </xf>
    <xf numFmtId="3" fontId="5" fillId="0" borderId="0" xfId="0" applyNumberFormat="1" applyFont="1" applyAlignment="1">
      <alignment/>
    </xf>
    <xf numFmtId="0" fontId="5" fillId="0" borderId="0" xfId="0" applyNumberFormat="1" applyFont="1" applyAlignment="1">
      <alignment horizontal="center"/>
    </xf>
    <xf numFmtId="170" fontId="5" fillId="0" borderId="0" xfId="0" applyNumberFormat="1" applyFont="1" applyAlignment="1">
      <alignment/>
    </xf>
    <xf numFmtId="0" fontId="5" fillId="0" borderId="0" xfId="0" applyFont="1" applyAlignment="1">
      <alignment/>
    </xf>
    <xf numFmtId="3" fontId="5" fillId="0" borderId="0" xfId="0" applyNumberFormat="1" applyFont="1" applyFill="1" applyAlignment="1">
      <alignment/>
    </xf>
    <xf numFmtId="0" fontId="3" fillId="0" borderId="0" xfId="0" applyNumberFormat="1" applyFont="1" applyAlignment="1">
      <alignment horizontal="center"/>
    </xf>
    <xf numFmtId="3" fontId="3" fillId="0" borderId="0" xfId="0" applyNumberFormat="1" applyFont="1" applyAlignment="1">
      <alignment/>
    </xf>
    <xf numFmtId="0" fontId="3" fillId="0" borderId="0" xfId="0" applyNumberFormat="1" applyFont="1" applyAlignment="1">
      <alignment/>
    </xf>
    <xf numFmtId="169" fontId="5" fillId="0" borderId="0" xfId="0" applyNumberFormat="1" applyFont="1" applyAlignment="1">
      <alignment horizontal="center"/>
    </xf>
    <xf numFmtId="169" fontId="5" fillId="0" borderId="0" xfId="0" applyNumberFormat="1" applyFont="1" applyAlignment="1">
      <alignment horizontal="left"/>
    </xf>
    <xf numFmtId="170" fontId="5" fillId="0" borderId="0" xfId="0" applyNumberFormat="1" applyFont="1" applyAlignment="1">
      <alignment horizontal="center"/>
    </xf>
    <xf numFmtId="10" fontId="5" fillId="0" borderId="0" xfId="0" applyNumberFormat="1" applyFont="1" applyFill="1" applyAlignment="1">
      <alignment horizontal="right"/>
    </xf>
    <xf numFmtId="3" fontId="5" fillId="0" borderId="0" xfId="0" applyNumberFormat="1" applyFont="1" applyFill="1" applyAlignment="1">
      <alignment horizontal="right"/>
    </xf>
    <xf numFmtId="3" fontId="5" fillId="0" borderId="0" xfId="0" applyNumberFormat="1" applyFont="1" applyAlignment="1">
      <alignment horizontal="center"/>
    </xf>
    <xf numFmtId="3" fontId="5" fillId="0" borderId="0" xfId="0" applyNumberFormat="1" applyFont="1" applyBorder="1" applyAlignment="1">
      <alignment horizontal="center"/>
    </xf>
    <xf numFmtId="171" fontId="5" fillId="0" borderId="0" xfId="0" applyNumberFormat="1" applyFont="1" applyAlignment="1">
      <alignment/>
    </xf>
    <xf numFmtId="0" fontId="3" fillId="0" borderId="0" xfId="0" applyNumberFormat="1" applyFont="1" applyAlignment="1">
      <alignment horizontal="right"/>
    </xf>
    <xf numFmtId="0" fontId="3" fillId="0" borderId="0" xfId="0" applyNumberFormat="1" applyFont="1" applyFill="1" applyAlignment="1">
      <alignment/>
    </xf>
    <xf numFmtId="3" fontId="5" fillId="0" borderId="0" xfId="0" applyNumberFormat="1" applyFont="1" applyBorder="1" applyAlignment="1">
      <alignment/>
    </xf>
    <xf numFmtId="0" fontId="5" fillId="0" borderId="0" xfId="0" applyNumberFormat="1" applyFont="1" applyFill="1" applyAlignment="1">
      <alignment/>
    </xf>
    <xf numFmtId="0" fontId="5" fillId="0" borderId="0" xfId="0" applyFont="1" applyFill="1" applyAlignment="1">
      <alignment/>
    </xf>
    <xf numFmtId="3" fontId="5" fillId="0" borderId="0" xfId="0" applyNumberFormat="1" applyFont="1" applyFill="1" applyAlignment="1">
      <alignment horizontal="center"/>
    </xf>
    <xf numFmtId="0" fontId="5" fillId="0" borderId="0" xfId="0" applyNumberFormat="1" applyFont="1" applyFill="1" applyAlignment="1">
      <alignment horizontal="center"/>
    </xf>
    <xf numFmtId="3" fontId="5" fillId="0" borderId="0" xfId="0" applyNumberFormat="1" applyFont="1" applyAlignment="1" quotePrefix="1">
      <alignment horizontal="right"/>
    </xf>
    <xf numFmtId="0" fontId="5" fillId="0" borderId="0" xfId="0" applyNumberFormat="1" applyFont="1" applyAlignment="1">
      <alignment horizontal="center"/>
    </xf>
    <xf numFmtId="0" fontId="5" fillId="0" borderId="0" xfId="0" applyFont="1" applyAlignment="1">
      <alignment/>
    </xf>
    <xf numFmtId="0" fontId="11" fillId="0" borderId="0" xfId="0" applyNumberFormat="1" applyFont="1" applyFill="1"/>
    <xf numFmtId="0" fontId="9" fillId="0" borderId="0" xfId="0" applyNumberFormat="1" applyFont="1" applyFill="1" applyAlignment="1">
      <alignment/>
    </xf>
    <xf numFmtId="3" fontId="5" fillId="0" borderId="1" xfId="0" applyNumberFormat="1" applyFont="1" applyBorder="1" applyAlignment="1">
      <alignment/>
    </xf>
    <xf numFmtId="0" fontId="5" fillId="0" borderId="0" xfId="0" applyFont="1"/>
    <xf numFmtId="0" fontId="5" fillId="0" borderId="0" xfId="0" applyFont="1" applyFill="1" applyBorder="1" applyAlignment="1">
      <alignment/>
    </xf>
    <xf numFmtId="0" fontId="3" fillId="0" borderId="1" xfId="0" applyFont="1" applyBorder="1"/>
    <xf numFmtId="0" fontId="5" fillId="0" borderId="0" xfId="0" applyFont="1" applyBorder="1" applyAlignment="1">
      <alignment/>
    </xf>
    <xf numFmtId="0" fontId="5" fillId="0" borderId="0" xfId="0" applyFont="1" applyBorder="1"/>
    <xf numFmtId="0" fontId="5" fillId="0" borderId="1" xfId="0" applyNumberFormat="1" applyFont="1" applyBorder="1" applyAlignment="1">
      <alignment/>
    </xf>
    <xf numFmtId="174" fontId="3" fillId="0" borderId="0" xfId="15" applyNumberFormat="1" applyFont="1" applyAlignment="1">
      <alignment/>
    </xf>
    <xf numFmtId="0" fontId="3" fillId="0" borderId="1" xfId="0" applyNumberFormat="1" applyFont="1" applyFill="1" applyBorder="1" applyAlignment="1">
      <alignment/>
    </xf>
    <xf numFmtId="0" fontId="3" fillId="0" borderId="2" xfId="0" applyNumberFormat="1" applyFont="1" applyFill="1" applyBorder="1" applyAlignment="1">
      <alignment/>
    </xf>
    <xf numFmtId="3" fontId="5" fillId="0" borderId="2" xfId="0" applyNumberFormat="1" applyFont="1" applyBorder="1" applyAlignment="1">
      <alignment/>
    </xf>
    <xf numFmtId="3" fontId="3" fillId="0" borderId="2" xfId="0" applyNumberFormat="1" applyFont="1" applyBorder="1" applyAlignment="1">
      <alignment/>
    </xf>
    <xf numFmtId="3" fontId="5" fillId="0" borderId="0" xfId="0" applyNumberFormat="1" applyFont="1" applyFill="1" applyBorder="1" applyAlignment="1">
      <alignment/>
    </xf>
    <xf numFmtId="3" fontId="5" fillId="2" borderId="0" xfId="0" applyNumberFormat="1" applyFont="1" applyFill="1" applyBorder="1" applyAlignment="1">
      <alignment/>
    </xf>
    <xf numFmtId="0" fontId="3" fillId="0" borderId="2" xfId="0" applyFont="1" applyBorder="1"/>
    <xf numFmtId="0" fontId="3" fillId="0" borderId="0" xfId="0" applyNumberFormat="1" applyFont="1" applyFill="1" applyAlignment="1">
      <alignment horizontal="center"/>
    </xf>
    <xf numFmtId="0" fontId="5" fillId="0" borderId="0" xfId="0" applyNumberFormat="1" applyFont="1" applyFill="1" applyBorder="1" applyAlignment="1">
      <alignment/>
    </xf>
    <xf numFmtId="0" fontId="5" fillId="0" borderId="1" xfId="0" applyNumberFormat="1" applyFont="1" applyFill="1" applyBorder="1" applyAlignment="1">
      <alignment/>
    </xf>
    <xf numFmtId="0" fontId="5" fillId="0" borderId="1" xfId="0" applyFont="1" applyFill="1" applyBorder="1"/>
    <xf numFmtId="0" fontId="3" fillId="0" borderId="0" xfId="0" applyNumberFormat="1" applyFont="1" applyFill="1" applyBorder="1" applyAlignment="1">
      <alignment/>
    </xf>
    <xf numFmtId="0" fontId="5" fillId="0" borderId="0" xfId="0" applyFont="1"/>
    <xf numFmtId="0" fontId="5" fillId="0" borderId="0" xfId="0" applyNumberFormat="1" applyFont="1" applyAlignment="1">
      <alignment horizontal="left"/>
    </xf>
    <xf numFmtId="0" fontId="5" fillId="0" borderId="0" xfId="0" applyNumberFormat="1" applyFont="1" applyFill="1" applyAlignment="1">
      <alignment horizontal="left"/>
    </xf>
    <xf numFmtId="0" fontId="5" fillId="0" borderId="0" xfId="0" applyFont="1" applyFill="1" applyAlignment="1">
      <alignment/>
    </xf>
    <xf numFmtId="0" fontId="5" fillId="0" borderId="0" xfId="0" applyFont="1" applyFill="1"/>
    <xf numFmtId="0" fontId="5" fillId="0" borderId="1" xfId="0" applyFont="1" applyFill="1" applyBorder="1" applyAlignment="1">
      <alignment/>
    </xf>
    <xf numFmtId="3" fontId="5" fillId="0" borderId="1" xfId="0" applyNumberFormat="1" applyFont="1" applyFill="1" applyBorder="1" applyAlignment="1">
      <alignment/>
    </xf>
    <xf numFmtId="0" fontId="5" fillId="0" borderId="1" xfId="0" applyFont="1" applyBorder="1" applyAlignment="1">
      <alignment/>
    </xf>
    <xf numFmtId="0" fontId="5" fillId="0" borderId="0" xfId="0" applyFont="1" applyFill="1" applyBorder="1"/>
    <xf numFmtId="3" fontId="15" fillId="0" borderId="0" xfId="0" applyNumberFormat="1" applyFont="1" applyBorder="1" applyAlignment="1">
      <alignment horizontal="right"/>
    </xf>
    <xf numFmtId="0" fontId="5" fillId="0" borderId="0" xfId="0" applyFont="1" applyAlignment="1">
      <alignment horizontal="left"/>
    </xf>
    <xf numFmtId="0" fontId="3" fillId="0" borderId="0" xfId="0" applyFont="1"/>
    <xf numFmtId="0" fontId="5" fillId="0" borderId="0" xfId="0" applyFont="1" applyAlignment="1">
      <alignment horizontal="right"/>
    </xf>
    <xf numFmtId="0" fontId="5" fillId="0" borderId="0" xfId="0" applyNumberFormat="1" applyFont="1" applyFill="1" applyAlignment="1">
      <alignment horizontal="center"/>
    </xf>
    <xf numFmtId="0" fontId="5" fillId="0" borderId="0" xfId="0" applyNumberFormat="1" applyFont="1" applyBorder="1" applyAlignment="1">
      <alignment horizontal="center"/>
    </xf>
    <xf numFmtId="0" fontId="5" fillId="0" borderId="0" xfId="0" applyNumberFormat="1" applyFont="1" applyBorder="1" applyAlignment="1">
      <alignment horizontal="left"/>
    </xf>
    <xf numFmtId="0" fontId="5" fillId="0" borderId="0" xfId="0" applyFont="1" applyFill="1" applyBorder="1" applyAlignment="1">
      <alignment/>
    </xf>
    <xf numFmtId="3" fontId="14" fillId="0" borderId="0" xfId="0" applyNumberFormat="1" applyFont="1" applyBorder="1" applyAlignment="1">
      <alignment horizontal="right"/>
    </xf>
    <xf numFmtId="0" fontId="5" fillId="0" borderId="0" xfId="0" applyFont="1" applyBorder="1"/>
    <xf numFmtId="3" fontId="14" fillId="0" borderId="1" xfId="0" applyNumberFormat="1" applyFont="1" applyBorder="1" applyAlignment="1">
      <alignment horizontal="right"/>
    </xf>
    <xf numFmtId="0" fontId="3" fillId="0" borderId="0" xfId="0" applyNumberFormat="1" applyFont="1" applyBorder="1" applyAlignment="1">
      <alignment/>
    </xf>
    <xf numFmtId="3" fontId="3" fillId="0" borderId="0" xfId="0" applyNumberFormat="1" applyFont="1" applyBorder="1" applyAlignment="1">
      <alignment/>
    </xf>
    <xf numFmtId="3" fontId="3" fillId="0" borderId="0" xfId="0" applyNumberFormat="1" applyFont="1" applyBorder="1" applyAlignment="1" quotePrefix="1">
      <alignment horizontal="right"/>
    </xf>
    <xf numFmtId="169" fontId="5" fillId="0" borderId="0" xfId="0" applyNumberFormat="1" applyFont="1" applyBorder="1" applyAlignment="1">
      <alignment horizontal="left"/>
    </xf>
    <xf numFmtId="0" fontId="3" fillId="0" borderId="1" xfId="0" applyNumberFormat="1" applyFont="1" applyBorder="1" applyAlignment="1">
      <alignment/>
    </xf>
    <xf numFmtId="0" fontId="18" fillId="3" borderId="0" xfId="0" applyFont="1" applyFill="1" applyBorder="1" applyAlignment="1">
      <alignment/>
    </xf>
    <xf numFmtId="0" fontId="18" fillId="3" borderId="0" xfId="0" applyFont="1" applyFill="1" applyBorder="1" applyAlignment="1">
      <alignment horizontal="left"/>
    </xf>
    <xf numFmtId="0" fontId="5" fillId="0" borderId="0" xfId="0" applyFont="1" applyAlignment="1">
      <alignment horizontal="center"/>
    </xf>
    <xf numFmtId="0" fontId="5" fillId="0" borderId="0" xfId="0" applyFont="1" applyAlignment="1">
      <alignment horizontal="center"/>
    </xf>
    <xf numFmtId="0" fontId="15" fillId="0" borderId="3" xfId="0" applyNumberFormat="1" applyFont="1" applyFill="1" applyBorder="1" applyAlignment="1">
      <alignment horizontal="left"/>
    </xf>
    <xf numFmtId="0" fontId="5" fillId="0" borderId="3" xfId="0" applyFont="1" applyFill="1" applyBorder="1" applyAlignment="1">
      <alignment horizontal="left"/>
    </xf>
    <xf numFmtId="0" fontId="5" fillId="0" borderId="3" xfId="0" applyNumberFormat="1" applyFont="1" applyBorder="1" applyAlignment="1">
      <alignment horizontal="left"/>
    </xf>
    <xf numFmtId="0" fontId="5" fillId="0" borderId="0" xfId="0" applyFont="1" applyFill="1" applyAlignment="1">
      <alignment horizontal="center"/>
    </xf>
    <xf numFmtId="0" fontId="3" fillId="0" borderId="0" xfId="0" applyNumberFormat="1" applyFont="1" applyAlignment="1">
      <alignment horizontal="left"/>
    </xf>
    <xf numFmtId="0" fontId="3" fillId="0" borderId="2" xfId="0" applyFont="1" applyBorder="1" applyAlignment="1">
      <alignment/>
    </xf>
    <xf numFmtId="0" fontId="5" fillId="0" borderId="2" xfId="0" applyFont="1" applyBorder="1"/>
    <xf numFmtId="0" fontId="5" fillId="0" borderId="1" xfId="0" applyFont="1" applyBorder="1" applyAlignment="1">
      <alignment/>
    </xf>
    <xf numFmtId="3" fontId="5" fillId="0" borderId="3" xfId="0" applyNumberFormat="1" applyFont="1" applyBorder="1" applyAlignment="1">
      <alignment/>
    </xf>
    <xf numFmtId="3" fontId="5" fillId="0" borderId="3" xfId="0" applyNumberFormat="1" applyFont="1" applyBorder="1" applyAlignment="1">
      <alignment horizontal="right"/>
    </xf>
    <xf numFmtId="3" fontId="5" fillId="0" borderId="3" xfId="0" applyNumberFormat="1" applyFont="1" applyFill="1" applyBorder="1" applyAlignment="1">
      <alignment/>
    </xf>
    <xf numFmtId="169" fontId="3" fillId="0" borderId="2" xfId="0" applyNumberFormat="1" applyFont="1" applyBorder="1" applyAlignment="1">
      <alignment horizontal="left"/>
    </xf>
    <xf numFmtId="170" fontId="3" fillId="0" borderId="2" xfId="0" applyNumberFormat="1" applyFont="1" applyBorder="1" applyAlignment="1">
      <alignment horizontal="center"/>
    </xf>
    <xf numFmtId="0" fontId="18" fillId="0" borderId="0" xfId="0" applyFont="1" applyFill="1" applyBorder="1" applyAlignment="1">
      <alignment/>
    </xf>
    <xf numFmtId="0" fontId="5" fillId="3" borderId="0" xfId="0" applyFont="1" applyFill="1"/>
    <xf numFmtId="0" fontId="5" fillId="0" borderId="0" xfId="0" applyNumberFormat="1" applyFont="1" applyBorder="1"/>
    <xf numFmtId="0" fontId="3" fillId="0" borderId="0" xfId="0" applyFont="1" applyBorder="1" applyAlignment="1">
      <alignment/>
    </xf>
    <xf numFmtId="174" fontId="5" fillId="0" borderId="0" xfId="0" applyNumberFormat="1" applyFont="1" applyBorder="1" applyAlignment="1">
      <alignment horizontal="right"/>
    </xf>
    <xf numFmtId="3" fontId="3" fillId="0" borderId="0" xfId="0" applyNumberFormat="1" applyFont="1" applyFill="1" applyBorder="1" applyAlignment="1">
      <alignment/>
    </xf>
    <xf numFmtId="170" fontId="3" fillId="0" borderId="2" xfId="0" applyNumberFormat="1" applyFont="1" applyBorder="1" applyAlignment="1">
      <alignment/>
    </xf>
    <xf numFmtId="169" fontId="3" fillId="0" borderId="0" xfId="0" applyNumberFormat="1" applyFont="1" applyBorder="1" applyAlignment="1">
      <alignment horizontal="left"/>
    </xf>
    <xf numFmtId="175" fontId="5" fillId="0" borderId="0" xfId="15" applyNumberFormat="1" applyFont="1" applyFill="1" applyAlignment="1">
      <alignment horizontal="right"/>
    </xf>
    <xf numFmtId="0" fontId="3" fillId="0" borderId="1" xfId="0" applyNumberFormat="1" applyFont="1" applyBorder="1" applyAlignment="1">
      <alignment horizontal="left"/>
    </xf>
    <xf numFmtId="0" fontId="3" fillId="0" borderId="1" xfId="0" applyFont="1" applyFill="1" applyBorder="1" applyAlignment="1">
      <alignment/>
    </xf>
    <xf numFmtId="0" fontId="3" fillId="0" borderId="1" xfId="0" applyFont="1" applyBorder="1" applyAlignment="1">
      <alignment/>
    </xf>
    <xf numFmtId="0" fontId="18" fillId="3" borderId="0" xfId="0" applyNumberFormat="1" applyFont="1" applyFill="1" applyAlignment="1">
      <alignment horizontal="left"/>
    </xf>
    <xf numFmtId="0" fontId="4" fillId="0" borderId="0" xfId="0" applyFont="1"/>
    <xf numFmtId="0" fontId="13" fillId="0" borderId="4" xfId="0" applyNumberFormat="1" applyFont="1" applyBorder="1" applyAlignment="1">
      <alignment horizontal="center"/>
    </xf>
    <xf numFmtId="0" fontId="13" fillId="0" borderId="5" xfId="0" applyNumberFormat="1" applyFont="1" applyBorder="1" applyAlignment="1">
      <alignment horizontal="left"/>
    </xf>
    <xf numFmtId="0" fontId="13" fillId="0" borderId="5" xfId="0" applyFont="1" applyFill="1" applyBorder="1"/>
    <xf numFmtId="0" fontId="13" fillId="0" borderId="5" xfId="0" applyFont="1" applyBorder="1" applyAlignment="1">
      <alignment/>
    </xf>
    <xf numFmtId="164" fontId="5" fillId="0" borderId="0" xfId="18" applyNumberFormat="1" applyFont="1"/>
    <xf numFmtId="10" fontId="5" fillId="0" borderId="0" xfId="15" applyNumberFormat="1" applyFont="1" applyAlignment="1">
      <alignment/>
    </xf>
    <xf numFmtId="0" fontId="3" fillId="0" borderId="5" xfId="0" applyFont="1" applyBorder="1"/>
    <xf numFmtId="0" fontId="13" fillId="0" borderId="0" xfId="0" applyNumberFormat="1" applyFont="1" applyBorder="1" applyAlignment="1">
      <alignment horizontal="center"/>
    </xf>
    <xf numFmtId="0" fontId="13" fillId="0" borderId="5" xfId="0" applyNumberFormat="1" applyFont="1" applyBorder="1" applyAlignment="1">
      <alignment horizontal="center"/>
    </xf>
    <xf numFmtId="0" fontId="3" fillId="0" borderId="0" xfId="0" applyNumberFormat="1" applyFont="1" applyBorder="1" applyAlignment="1">
      <alignment horizontal="left"/>
    </xf>
    <xf numFmtId="0" fontId="5" fillId="0" borderId="0" xfId="0" applyNumberFormat="1" applyFont="1" applyFill="1" applyAlignment="1">
      <alignment horizontal="left"/>
    </xf>
    <xf numFmtId="0" fontId="5" fillId="0" borderId="3" xfId="0" applyNumberFormat="1" applyFont="1" applyFill="1" applyBorder="1" applyAlignment="1">
      <alignment/>
    </xf>
    <xf numFmtId="0" fontId="5" fillId="0" borderId="0" xfId="0" applyNumberFormat="1" applyFont="1" applyBorder="1" applyAlignment="1">
      <alignment horizontal="left"/>
    </xf>
    <xf numFmtId="3" fontId="5" fillId="0" borderId="0" xfId="0" applyNumberFormat="1" applyFont="1" applyAlignment="1">
      <alignment horizontal="left"/>
    </xf>
    <xf numFmtId="164" fontId="5" fillId="0" borderId="0" xfId="18" applyNumberFormat="1" applyFont="1" applyFill="1" applyAlignment="1">
      <alignment/>
    </xf>
    <xf numFmtId="164" fontId="3" fillId="0" borderId="2" xfId="18" applyNumberFormat="1" applyFont="1" applyFill="1" applyBorder="1" applyAlignment="1">
      <alignment horizontal="right"/>
    </xf>
    <xf numFmtId="0" fontId="5" fillId="0" borderId="3" xfId="0" applyNumberFormat="1" applyFont="1" applyBorder="1" applyAlignment="1">
      <alignment horizontal="center"/>
    </xf>
    <xf numFmtId="0" fontId="5" fillId="0" borderId="3" xfId="0" applyNumberFormat="1" applyFont="1" applyBorder="1" applyAlignment="1">
      <alignment horizontal="left"/>
    </xf>
    <xf numFmtId="0" fontId="5" fillId="0" borderId="3" xfId="0" applyNumberFormat="1" applyFont="1" applyBorder="1" applyAlignment="1">
      <alignment/>
    </xf>
    <xf numFmtId="0" fontId="9" fillId="0" borderId="0" xfId="0" applyFont="1" applyFill="1" applyAlignment="1">
      <alignment horizontal="center"/>
    </xf>
    <xf numFmtId="3" fontId="5" fillId="0" borderId="1" xfId="0" applyNumberFormat="1" applyFont="1" applyBorder="1" applyAlignment="1">
      <alignment horizontal="center"/>
    </xf>
    <xf numFmtId="3" fontId="5" fillId="0" borderId="2" xfId="0" applyNumberFormat="1" applyFont="1" applyFill="1" applyBorder="1" applyAlignment="1">
      <alignment horizontal="center"/>
    </xf>
    <xf numFmtId="0" fontId="7" fillId="0" borderId="0" xfId="0" applyFont="1" applyFill="1" applyAlignment="1">
      <alignment horizontal="center"/>
    </xf>
    <xf numFmtId="0" fontId="5" fillId="0" borderId="0" xfId="0" applyFont="1" applyFill="1" applyBorder="1" applyAlignment="1">
      <alignment horizontal="center"/>
    </xf>
    <xf numFmtId="0" fontId="5" fillId="0" borderId="1" xfId="0" applyFont="1" applyFill="1" applyBorder="1" applyAlignment="1">
      <alignment horizontal="center"/>
    </xf>
    <xf numFmtId="3" fontId="5" fillId="0" borderId="1" xfId="0" applyNumberFormat="1" applyFont="1" applyFill="1" applyBorder="1" applyAlignment="1">
      <alignment horizontal="center"/>
    </xf>
    <xf numFmtId="0" fontId="3" fillId="0" borderId="2" xfId="0" applyFont="1" applyBorder="1" applyAlignment="1">
      <alignment horizontal="center"/>
    </xf>
    <xf numFmtId="0" fontId="5" fillId="0" borderId="0" xfId="0" applyNumberFormat="1" applyFont="1" applyFill="1" applyBorder="1" applyAlignment="1">
      <alignment horizontal="center"/>
    </xf>
    <xf numFmtId="3" fontId="5" fillId="0" borderId="2" xfId="0" applyNumberFormat="1" applyFont="1" applyBorder="1" applyAlignment="1">
      <alignment horizontal="center"/>
    </xf>
    <xf numFmtId="0" fontId="5" fillId="0" borderId="0" xfId="0" applyFont="1" applyBorder="1" applyAlignment="1">
      <alignment horizontal="center"/>
    </xf>
    <xf numFmtId="0" fontId="3" fillId="0" borderId="0" xfId="0" applyFont="1" applyBorder="1" applyAlignment="1">
      <alignment horizontal="center"/>
    </xf>
    <xf numFmtId="3" fontId="3" fillId="0" borderId="2" xfId="0" applyNumberFormat="1" applyFont="1" applyBorder="1" applyAlignment="1">
      <alignment horizontal="center"/>
    </xf>
    <xf numFmtId="0" fontId="5" fillId="0" borderId="0" xfId="0" applyNumberFormat="1" applyFont="1" applyFill="1" applyBorder="1" applyAlignment="1">
      <alignment horizontal="center"/>
    </xf>
    <xf numFmtId="3" fontId="3" fillId="0" borderId="1" xfId="0" applyNumberFormat="1" applyFont="1" applyBorder="1" applyAlignment="1">
      <alignment horizontal="center"/>
    </xf>
    <xf numFmtId="0" fontId="13" fillId="0" borderId="5" xfId="0" applyFont="1" applyBorder="1" applyAlignment="1">
      <alignment horizontal="center"/>
    </xf>
    <xf numFmtId="3" fontId="5" fillId="3" borderId="0" xfId="0" applyNumberFormat="1" applyFont="1" applyFill="1" applyAlignment="1">
      <alignment horizontal="center"/>
    </xf>
    <xf numFmtId="0" fontId="5" fillId="0" borderId="0" xfId="0" applyNumberFormat="1" applyFont="1" applyBorder="1" applyAlignment="1">
      <alignment/>
    </xf>
    <xf numFmtId="0" fontId="5" fillId="0" borderId="3" xfId="0" applyNumberFormat="1" applyFont="1" applyFill="1" applyBorder="1" applyAlignment="1">
      <alignment horizontal="left"/>
    </xf>
    <xf numFmtId="0" fontId="7" fillId="0" borderId="0" xfId="0" applyFont="1" applyFill="1" applyBorder="1" applyAlignment="1">
      <alignment horizontal="center"/>
    </xf>
    <xf numFmtId="0" fontId="19" fillId="0" borderId="0" xfId="0" applyFont="1" applyBorder="1" applyAlignment="1">
      <alignment/>
    </xf>
    <xf numFmtId="0" fontId="20" fillId="0" borderId="0" xfId="0" applyFont="1" applyBorder="1" applyAlignment="1">
      <alignment horizontal="center"/>
    </xf>
    <xf numFmtId="37" fontId="19" fillId="0" borderId="0" xfId="0" applyNumberFormat="1" applyFont="1" applyBorder="1" applyAlignment="1">
      <alignment horizontal="left"/>
    </xf>
    <xf numFmtId="0" fontId="19" fillId="0" borderId="0" xfId="0" applyFont="1" applyFill="1" applyAlignment="1">
      <alignment/>
    </xf>
    <xf numFmtId="0" fontId="7" fillId="0" borderId="1" xfId="0" applyFont="1" applyFill="1" applyBorder="1" applyAlignment="1">
      <alignment/>
    </xf>
    <xf numFmtId="0" fontId="7" fillId="0" borderId="3" xfId="0" applyFont="1" applyFill="1" applyBorder="1" applyAlignment="1">
      <alignment/>
    </xf>
    <xf numFmtId="0" fontId="7" fillId="0" borderId="3" xfId="0" applyFont="1" applyFill="1" applyBorder="1" applyAlignment="1">
      <alignment horizontal="center"/>
    </xf>
    <xf numFmtId="0" fontId="7" fillId="0" borderId="1" xfId="0" applyNumberFormat="1" applyFont="1" applyFill="1" applyBorder="1" applyAlignment="1">
      <alignment horizontal="center"/>
    </xf>
    <xf numFmtId="3" fontId="5" fillId="0" borderId="3" xfId="0" applyNumberFormat="1" applyFont="1" applyFill="1" applyBorder="1" applyAlignment="1">
      <alignment horizontal="center"/>
    </xf>
    <xf numFmtId="0" fontId="7" fillId="0" borderId="0" xfId="0" applyFont="1" applyFill="1" applyAlignment="1">
      <alignment horizontal="left"/>
    </xf>
    <xf numFmtId="0" fontId="19" fillId="0" borderId="0" xfId="0" applyFont="1" applyAlignment="1">
      <alignment/>
    </xf>
    <xf numFmtId="0" fontId="3" fillId="0" borderId="0" xfId="0" applyFont="1" applyFill="1"/>
    <xf numFmtId="37" fontId="13" fillId="0" borderId="5" xfId="0" applyNumberFormat="1" applyFont="1" applyBorder="1" applyAlignment="1">
      <alignment horizontal="center"/>
    </xf>
    <xf numFmtId="0" fontId="3" fillId="0" borderId="0" xfId="0" applyFont="1" applyFill="1" applyBorder="1"/>
    <xf numFmtId="10" fontId="5" fillId="0" borderId="0" xfId="15" applyNumberFormat="1" applyFont="1" applyFill="1" applyAlignment="1">
      <alignment/>
    </xf>
    <xf numFmtId="10" fontId="8" fillId="0" borderId="0" xfId="0" applyNumberFormat="1" applyFont="1" applyFill="1" applyAlignment="1">
      <alignment horizontal="right"/>
    </xf>
    <xf numFmtId="3" fontId="9" fillId="0" borderId="0" xfId="0" applyNumberFormat="1" applyFont="1" applyBorder="1" applyAlignment="1">
      <alignment/>
    </xf>
    <xf numFmtId="3" fontId="23" fillId="0" borderId="0" xfId="0" applyNumberFormat="1" applyFont="1" applyBorder="1" applyAlignment="1">
      <alignment horizontal="right"/>
    </xf>
    <xf numFmtId="3" fontId="16" fillId="0" borderId="0" xfId="0" applyNumberFormat="1" applyFont="1" applyBorder="1" applyAlignment="1">
      <alignment horizontal="right"/>
    </xf>
    <xf numFmtId="0" fontId="9" fillId="0" borderId="0" xfId="0" applyNumberFormat="1" applyFont="1" applyFill="1" applyBorder="1" applyAlignment="1">
      <alignment horizontal="center"/>
    </xf>
    <xf numFmtId="0" fontId="0" fillId="2" borderId="0" xfId="0" applyFill="1"/>
    <xf numFmtId="0" fontId="24" fillId="0" borderId="0" xfId="0" applyFont="1"/>
    <xf numFmtId="0" fontId="25" fillId="0" borderId="0" xfId="0" applyFont="1" applyFill="1" applyBorder="1"/>
    <xf numFmtId="0" fontId="0" fillId="0" borderId="0" xfId="0" applyAlignment="1">
      <alignment horizontal="center"/>
    </xf>
    <xf numFmtId="0" fontId="0" fillId="0" borderId="0" xfId="0" applyAlignment="1">
      <alignment horizontal="left" wrapText="1"/>
    </xf>
    <xf numFmtId="0" fontId="0" fillId="0" borderId="0" xfId="0" applyAlignment="1">
      <alignment horizontal="left" vertical="center" wrapText="1"/>
    </xf>
    <xf numFmtId="0" fontId="0" fillId="0" borderId="0" xfId="0" applyFont="1" applyFill="1"/>
    <xf numFmtId="0" fontId="0" fillId="0" borderId="0" xfId="0" applyAlignment="1">
      <alignment wrapText="1"/>
    </xf>
    <xf numFmtId="0" fontId="0" fillId="0" borderId="0" xfId="0" applyAlignment="1">
      <alignment/>
    </xf>
    <xf numFmtId="164" fontId="0" fillId="0" borderId="0" xfId="18" applyNumberFormat="1" applyAlignment="1">
      <alignment/>
    </xf>
    <xf numFmtId="0" fontId="13" fillId="0" borderId="0" xfId="0" applyNumberFormat="1" applyFont="1" applyFill="1" applyBorder="1" applyAlignment="1">
      <alignment horizontal="center"/>
    </xf>
    <xf numFmtId="0" fontId="0" fillId="0" borderId="0" xfId="0" applyFill="1" applyAlignment="1">
      <alignment horizontal="center"/>
    </xf>
    <xf numFmtId="0" fontId="24" fillId="0" borderId="0" xfId="0" applyFont="1" applyFill="1" applyAlignment="1">
      <alignment horizontal="center"/>
    </xf>
    <xf numFmtId="0" fontId="25" fillId="0" borderId="0" xfId="0" applyFont="1" applyFill="1" applyBorder="1" applyAlignment="1">
      <alignment horizontal="left"/>
    </xf>
    <xf numFmtId="0" fontId="27" fillId="0" borderId="0" xfId="0" applyFont="1" applyAlignment="1">
      <alignment horizontal="left"/>
    </xf>
    <xf numFmtId="0" fontId="27" fillId="0" borderId="0" xfId="0" applyFont="1"/>
    <xf numFmtId="0" fontId="28" fillId="0" borderId="0" xfId="0" applyFont="1" applyFill="1" applyBorder="1"/>
    <xf numFmtId="0" fontId="28" fillId="0" borderId="0" xfId="0" applyFont="1" applyFill="1" applyBorder="1" applyAlignment="1">
      <alignment horizontal="left"/>
    </xf>
    <xf numFmtId="0" fontId="29" fillId="0" borderId="0" xfId="0" applyFont="1"/>
    <xf numFmtId="0" fontId="29" fillId="0" borderId="0" xfId="0" applyFont="1" applyFill="1"/>
    <xf numFmtId="0" fontId="29" fillId="0" borderId="0" xfId="0" applyFont="1" applyBorder="1"/>
    <xf numFmtId="0" fontId="29" fillId="0" borderId="0" xfId="0" applyFont="1" applyFill="1" applyBorder="1"/>
    <xf numFmtId="0" fontId="28" fillId="0" borderId="0" xfId="0" applyFont="1" applyBorder="1"/>
    <xf numFmtId="0" fontId="24" fillId="0" borderId="0" xfId="0" applyFont="1" applyAlignment="1">
      <alignment horizontal="center"/>
    </xf>
    <xf numFmtId="0" fontId="0" fillId="2" borderId="0" xfId="0" applyFill="1" applyAlignment="1">
      <alignment horizontal="left" wrapText="1"/>
    </xf>
    <xf numFmtId="0" fontId="0" fillId="0" borderId="0" xfId="0" applyAlignment="1">
      <alignment horizontal="right"/>
    </xf>
    <xf numFmtId="0" fontId="24" fillId="0" borderId="0" xfId="0" applyFont="1" applyFill="1" applyAlignment="1">
      <alignment horizontal="right"/>
    </xf>
    <xf numFmtId="0" fontId="0" fillId="2" borderId="0" xfId="0" applyFill="1" applyAlignment="1">
      <alignment horizontal="right" wrapText="1"/>
    </xf>
    <xf numFmtId="0" fontId="0" fillId="0" borderId="0" xfId="0" applyAlignment="1">
      <alignment horizontal="right" wrapText="1"/>
    </xf>
    <xf numFmtId="0" fontId="0" fillId="2" borderId="0" xfId="0" applyFill="1" applyAlignment="1">
      <alignment horizontal="right"/>
    </xf>
    <xf numFmtId="0" fontId="0" fillId="2" borderId="0" xfId="0" applyFont="1" applyFill="1"/>
    <xf numFmtId="0" fontId="10" fillId="0" borderId="0" xfId="0" applyFont="1"/>
    <xf numFmtId="0" fontId="5" fillId="0" borderId="0" xfId="0" applyFont="1" applyAlignment="1">
      <alignment horizontal="left"/>
    </xf>
    <xf numFmtId="0" fontId="24" fillId="0" borderId="0" xfId="0" applyNumberFormat="1" applyFont="1" applyFill="1" applyBorder="1" applyAlignment="1">
      <alignment horizontal="center"/>
    </xf>
    <xf numFmtId="0" fontId="24" fillId="0" borderId="0" xfId="0" applyFont="1" applyBorder="1" applyAlignment="1">
      <alignment horizontal="center"/>
    </xf>
    <xf numFmtId="0" fontId="12" fillId="0" borderId="0" xfId="0" applyFont="1"/>
    <xf numFmtId="0" fontId="31" fillId="0" borderId="0" xfId="0" applyFont="1" applyAlignment="1">
      <alignment horizontal="center"/>
    </xf>
    <xf numFmtId="0" fontId="10" fillId="0" borderId="0" xfId="0" applyFont="1" applyFill="1"/>
    <xf numFmtId="3" fontId="5" fillId="4" borderId="0" xfId="0" applyNumberFormat="1" applyFont="1" applyFill="1" applyAlignment="1">
      <alignment/>
    </xf>
    <xf numFmtId="0" fontId="7" fillId="0" borderId="0" xfId="0" applyFont="1" applyFill="1" applyBorder="1"/>
    <xf numFmtId="0" fontId="5" fillId="0" borderId="3" xfId="0" applyFont="1" applyBorder="1" applyAlignment="1">
      <alignment/>
    </xf>
    <xf numFmtId="165" fontId="5" fillId="0" borderId="3" xfId="20" applyFont="1" applyBorder="1" applyAlignment="1">
      <alignment vertical="center"/>
      <protection/>
    </xf>
    <xf numFmtId="0" fontId="22" fillId="0" borderId="0" xfId="0" applyFont="1" applyFill="1" applyBorder="1" applyAlignment="1">
      <alignment horizontal="left"/>
    </xf>
    <xf numFmtId="0" fontId="3" fillId="0" borderId="0" xfId="0" applyFont="1" applyFill="1" applyBorder="1" applyAlignment="1">
      <alignment horizontal="center" wrapText="1"/>
    </xf>
    <xf numFmtId="0" fontId="3" fillId="0" borderId="0" xfId="0" applyFont="1" applyFill="1"/>
    <xf numFmtId="0" fontId="5" fillId="0" borderId="0" xfId="0" applyFont="1" applyAlignment="1">
      <alignment wrapText="1"/>
    </xf>
    <xf numFmtId="10" fontId="5" fillId="0" borderId="0" xfId="15" applyNumberFormat="1" applyFont="1" applyFill="1"/>
    <xf numFmtId="164" fontId="0" fillId="0" borderId="0" xfId="18" applyNumberFormat="1" applyFont="1"/>
    <xf numFmtId="43" fontId="0" fillId="0" borderId="0" xfId="0" applyNumberFormat="1"/>
    <xf numFmtId="0" fontId="0" fillId="0" borderId="6" xfId="0" applyBorder="1"/>
    <xf numFmtId="0" fontId="0" fillId="0" borderId="0" xfId="0" applyBorder="1"/>
    <xf numFmtId="0" fontId="0" fillId="0" borderId="7" xfId="0" applyBorder="1"/>
    <xf numFmtId="0" fontId="0" fillId="0" borderId="8" xfId="0" applyBorder="1"/>
    <xf numFmtId="0" fontId="0" fillId="0" borderId="9" xfId="0" applyBorder="1"/>
    <xf numFmtId="0" fontId="0" fillId="0" borderId="10" xfId="0" applyBorder="1"/>
    <xf numFmtId="164" fontId="0" fillId="0" borderId="0" xfId="18" applyNumberFormat="1" applyFont="1" applyFill="1"/>
    <xf numFmtId="174" fontId="0" fillId="0" borderId="0" xfId="15" applyNumberFormat="1" applyFont="1"/>
    <xf numFmtId="0" fontId="2" fillId="0" borderId="0" xfId="0" applyFont="1" applyAlignment="1">
      <alignment horizontal="left"/>
    </xf>
    <xf numFmtId="3" fontId="13" fillId="0" borderId="5" xfId="0" applyNumberFormat="1" applyFont="1" applyBorder="1" applyAlignment="1">
      <alignment/>
    </xf>
    <xf numFmtId="0" fontId="30" fillId="0" borderId="0" xfId="0" applyFont="1" applyFill="1" applyAlignment="1">
      <alignment horizontal="center"/>
    </xf>
    <xf numFmtId="0" fontId="32" fillId="0" borderId="0" xfId="0" applyFont="1"/>
    <xf numFmtId="0" fontId="0" fillId="0" borderId="0" xfId="0" applyNumberFormat="1" applyFont="1" applyFill="1" applyBorder="1" applyAlignment="1">
      <alignment horizontal="left"/>
    </xf>
    <xf numFmtId="0" fontId="19" fillId="0" borderId="0" xfId="0" applyFont="1" applyAlignment="1">
      <alignment vertical="center" wrapText="1"/>
    </xf>
    <xf numFmtId="0" fontId="34" fillId="0" borderId="0" xfId="0" applyFont="1" applyFill="1" applyBorder="1" applyAlignment="1">
      <alignment horizontal="center"/>
    </xf>
    <xf numFmtId="0" fontId="33" fillId="0" borderId="0" xfId="0" applyFont="1" applyBorder="1" applyAlignment="1">
      <alignment horizontal="center"/>
    </xf>
    <xf numFmtId="0" fontId="33" fillId="0" borderId="0" xfId="0" applyNumberFormat="1" applyFont="1" applyBorder="1" applyAlignment="1">
      <alignment horizontal="left"/>
    </xf>
    <xf numFmtId="0" fontId="36" fillId="0" borderId="0" xfId="0" applyNumberFormat="1" applyFont="1" applyFill="1" applyAlignment="1">
      <alignment/>
    </xf>
    <xf numFmtId="0" fontId="19" fillId="0" borderId="0" xfId="0" applyNumberFormat="1" applyFont="1" applyAlignment="1">
      <alignment horizontal="center"/>
    </xf>
    <xf numFmtId="0" fontId="19" fillId="0" borderId="0" xfId="0" applyFont="1" applyFill="1" applyBorder="1"/>
    <xf numFmtId="0" fontId="19" fillId="0" borderId="0" xfId="0" applyFont="1" applyBorder="1" applyAlignment="1">
      <alignment horizontal="center"/>
    </xf>
    <xf numFmtId="0" fontId="19" fillId="0" borderId="1" xfId="0" applyNumberFormat="1" applyFont="1" applyBorder="1" applyAlignment="1">
      <alignment/>
    </xf>
    <xf numFmtId="3" fontId="19" fillId="0" borderId="1" xfId="0" applyNumberFormat="1" applyFont="1" applyBorder="1" applyAlignment="1">
      <alignment/>
    </xf>
    <xf numFmtId="3" fontId="19" fillId="0" borderId="1" xfId="0" applyNumberFormat="1" applyFont="1" applyBorder="1" applyAlignment="1">
      <alignment horizontal="center"/>
    </xf>
    <xf numFmtId="0" fontId="36" fillId="0" borderId="2" xfId="0" applyNumberFormat="1" applyFont="1" applyFill="1" applyBorder="1" applyAlignment="1">
      <alignment/>
    </xf>
    <xf numFmtId="0" fontId="19" fillId="0" borderId="2" xfId="0" applyFont="1" applyFill="1" applyBorder="1" applyAlignment="1">
      <alignment/>
    </xf>
    <xf numFmtId="3" fontId="19" fillId="0" borderId="2" xfId="0" applyNumberFormat="1" applyFont="1" applyFill="1" applyBorder="1" applyAlignment="1">
      <alignment horizontal="center"/>
    </xf>
    <xf numFmtId="3" fontId="19" fillId="0" borderId="0" xfId="0" applyNumberFormat="1" applyFont="1" applyFill="1" applyAlignment="1">
      <alignment horizontal="center"/>
    </xf>
    <xf numFmtId="0" fontId="37" fillId="0" borderId="0" xfId="0" applyFont="1" applyFill="1" applyBorder="1" applyAlignment="1">
      <alignment horizontal="center"/>
    </xf>
    <xf numFmtId="0" fontId="19" fillId="0" borderId="0" xfId="0" applyFont="1" applyFill="1" applyBorder="1" applyAlignment="1">
      <alignment/>
    </xf>
    <xf numFmtId="0" fontId="38" fillId="3" borderId="0" xfId="0" applyFont="1" applyFill="1" applyBorder="1" applyAlignment="1">
      <alignment/>
    </xf>
    <xf numFmtId="0" fontId="19" fillId="3" borderId="0" xfId="0" applyFont="1" applyFill="1" applyBorder="1" applyAlignment="1">
      <alignment/>
    </xf>
    <xf numFmtId="0" fontId="36" fillId="3" borderId="0" xfId="0" applyNumberFormat="1" applyFont="1" applyFill="1" applyBorder="1" applyAlignment="1">
      <alignment horizontal="center"/>
    </xf>
    <xf numFmtId="0" fontId="38" fillId="0" borderId="0" xfId="0" applyFont="1" applyFill="1" applyBorder="1" applyAlignment="1">
      <alignment/>
    </xf>
    <xf numFmtId="0" fontId="36" fillId="0" borderId="0" xfId="0" applyNumberFormat="1" applyFont="1" applyFill="1" applyBorder="1" applyAlignment="1">
      <alignment horizontal="center"/>
    </xf>
    <xf numFmtId="3" fontId="19" fillId="0" borderId="0" xfId="0" applyNumberFormat="1" applyFont="1" applyBorder="1" applyAlignment="1">
      <alignment/>
    </xf>
    <xf numFmtId="0" fontId="19" fillId="0" borderId="0" xfId="0" applyNumberFormat="1" applyFont="1" applyBorder="1" applyAlignment="1">
      <alignment/>
    </xf>
    <xf numFmtId="3" fontId="19" fillId="0" borderId="0" xfId="0" applyNumberFormat="1" applyFont="1" applyBorder="1" applyAlignment="1">
      <alignment horizontal="center"/>
    </xf>
    <xf numFmtId="0" fontId="36" fillId="0" borderId="0" xfId="0" applyNumberFormat="1" applyFont="1" applyFill="1" applyBorder="1" applyAlignment="1">
      <alignment horizontal="left"/>
    </xf>
    <xf numFmtId="3" fontId="19" fillId="0" borderId="0" xfId="0" applyNumberFormat="1" applyFont="1" applyFill="1" applyBorder="1" applyAlignment="1">
      <alignment/>
    </xf>
    <xf numFmtId="0" fontId="19" fillId="0" borderId="0" xfId="0" applyNumberFormat="1" applyFont="1" applyFill="1" applyBorder="1" applyAlignment="1">
      <alignment/>
    </xf>
    <xf numFmtId="0" fontId="37" fillId="0" borderId="0" xfId="0" applyFont="1" applyFill="1" applyBorder="1"/>
    <xf numFmtId="3" fontId="37" fillId="0" borderId="0" xfId="0" applyNumberFormat="1" applyFont="1" applyFill="1" applyBorder="1" applyAlignment="1">
      <alignment horizontal="center"/>
    </xf>
    <xf numFmtId="0" fontId="19" fillId="0" borderId="0" xfId="0" applyFont="1" applyFill="1" applyBorder="1" applyAlignment="1">
      <alignment horizontal="left"/>
    </xf>
    <xf numFmtId="0" fontId="19" fillId="0" borderId="0" xfId="0" applyNumberFormat="1" applyFont="1" applyBorder="1" applyAlignment="1">
      <alignment horizontal="center"/>
    </xf>
    <xf numFmtId="0" fontId="36" fillId="0" borderId="0" xfId="0" applyFont="1" applyBorder="1" applyAlignment="1">
      <alignment horizontal="left"/>
    </xf>
    <xf numFmtId="0" fontId="19" fillId="0" borderId="0" xfId="0" applyNumberFormat="1" applyFont="1" applyFill="1" applyBorder="1" applyAlignment="1">
      <alignment horizontal="left"/>
    </xf>
    <xf numFmtId="0" fontId="19" fillId="0" borderId="0" xfId="0" applyNumberFormat="1" applyFont="1" applyBorder="1" applyAlignment="1">
      <alignment horizontal="left"/>
    </xf>
    <xf numFmtId="3" fontId="36" fillId="0" borderId="0" xfId="0" applyNumberFormat="1" applyFont="1" applyBorder="1" applyAlignment="1">
      <alignment/>
    </xf>
    <xf numFmtId="3" fontId="36" fillId="0" borderId="0" xfId="0" applyNumberFormat="1" applyFont="1" applyFill="1" applyBorder="1" applyAlignment="1">
      <alignment/>
    </xf>
    <xf numFmtId="0" fontId="19" fillId="0" borderId="0" xfId="0" applyFont="1" applyFill="1" applyBorder="1" applyAlignment="1">
      <alignment horizontal="center"/>
    </xf>
    <xf numFmtId="0" fontId="36" fillId="0" borderId="0" xfId="0" applyNumberFormat="1" applyFont="1" applyBorder="1" applyAlignment="1">
      <alignment/>
    </xf>
    <xf numFmtId="0" fontId="36" fillId="0" borderId="0" xfId="0" applyFont="1" applyBorder="1" applyAlignment="1">
      <alignment/>
    </xf>
    <xf numFmtId="0" fontId="36" fillId="0" borderId="0" xfId="0" applyFont="1" applyBorder="1" applyAlignment="1">
      <alignment horizontal="center"/>
    </xf>
    <xf numFmtId="169" fontId="36" fillId="0" borderId="0" xfId="0" applyNumberFormat="1" applyFont="1" applyBorder="1" applyAlignment="1">
      <alignment horizontal="left"/>
    </xf>
    <xf numFmtId="0" fontId="19" fillId="0" borderId="0" xfId="0" applyFont="1" applyBorder="1"/>
    <xf numFmtId="169" fontId="19" fillId="0" borderId="0" xfId="0" applyNumberFormat="1" applyFont="1" applyBorder="1" applyAlignment="1">
      <alignment horizontal="left"/>
    </xf>
    <xf numFmtId="0" fontId="42" fillId="0" borderId="4" xfId="0" applyNumberFormat="1" applyFont="1" applyBorder="1" applyAlignment="1">
      <alignment horizontal="center"/>
    </xf>
    <xf numFmtId="0" fontId="42" fillId="0" borderId="0" xfId="0" applyNumberFormat="1" applyFont="1" applyBorder="1" applyAlignment="1">
      <alignment horizontal="center"/>
    </xf>
    <xf numFmtId="0" fontId="36" fillId="0" borderId="0" xfId="0" applyNumberFormat="1" applyFont="1" applyBorder="1" applyAlignment="1">
      <alignment horizontal="left"/>
    </xf>
    <xf numFmtId="0" fontId="42" fillId="0" borderId="0" xfId="0" applyNumberFormat="1" applyFont="1" applyFill="1" applyBorder="1" applyAlignment="1">
      <alignment/>
    </xf>
    <xf numFmtId="0" fontId="42" fillId="0" borderId="0" xfId="0" applyFont="1" applyFill="1" applyBorder="1" applyAlignment="1">
      <alignment/>
    </xf>
    <xf numFmtId="3" fontId="42" fillId="0" borderId="0" xfId="0" applyNumberFormat="1" applyFont="1" applyBorder="1" applyAlignment="1">
      <alignment horizontal="center"/>
    </xf>
    <xf numFmtId="0" fontId="19" fillId="0" borderId="0" xfId="0" applyNumberFormat="1" applyFont="1" applyFill="1" applyBorder="1" applyAlignment="1">
      <alignment horizontal="center"/>
    </xf>
    <xf numFmtId="3" fontId="42" fillId="0" borderId="0" xfId="0" applyNumberFormat="1" applyFont="1" applyFill="1" applyBorder="1" applyAlignment="1">
      <alignment horizontal="center"/>
    </xf>
    <xf numFmtId="0" fontId="36" fillId="0" borderId="0" xfId="0" applyNumberFormat="1" applyFont="1" applyFill="1" applyBorder="1" applyAlignment="1">
      <alignment/>
    </xf>
    <xf numFmtId="0" fontId="42" fillId="0" borderId="5" xfId="0" applyNumberFormat="1" applyFont="1" applyBorder="1" applyAlignment="1">
      <alignment horizontal="left"/>
    </xf>
    <xf numFmtId="0" fontId="36" fillId="0" borderId="0" xfId="0" applyFont="1" applyFill="1" applyBorder="1"/>
    <xf numFmtId="0" fontId="37" fillId="0" borderId="0" xfId="0" applyFont="1" applyBorder="1" applyAlignment="1">
      <alignment horizontal="center"/>
    </xf>
    <xf numFmtId="0" fontId="20" fillId="2" borderId="0" xfId="0" applyFont="1" applyFill="1" applyBorder="1" applyAlignment="1">
      <alignment horizontal="center"/>
    </xf>
    <xf numFmtId="0" fontId="42" fillId="0" borderId="5" xfId="0" applyNumberFormat="1" applyFont="1" applyBorder="1" applyAlignment="1">
      <alignment horizontal="center"/>
    </xf>
    <xf numFmtId="0" fontId="36" fillId="0" borderId="6" xfId="0" applyNumberFormat="1" applyFont="1" applyFill="1" applyBorder="1" applyAlignment="1">
      <alignment horizontal="center"/>
    </xf>
    <xf numFmtId="3" fontId="19" fillId="0" borderId="7" xfId="0" applyNumberFormat="1" applyFont="1" applyBorder="1" applyAlignment="1">
      <alignment/>
    </xf>
    <xf numFmtId="0" fontId="19" fillId="0" borderId="6" xfId="0" applyNumberFormat="1" applyFont="1" applyBorder="1" applyAlignment="1">
      <alignment horizontal="center"/>
    </xf>
    <xf numFmtId="0" fontId="37" fillId="0" borderId="0" xfId="0" applyFont="1" applyFill="1" applyBorder="1" applyAlignment="1">
      <alignment horizontal="left"/>
    </xf>
    <xf numFmtId="0" fontId="19" fillId="0" borderId="6" xfId="0" applyFont="1" applyBorder="1" applyAlignment="1">
      <alignment horizontal="center"/>
    </xf>
    <xf numFmtId="0" fontId="19" fillId="0" borderId="7" xfId="0" applyFont="1" applyBorder="1"/>
    <xf numFmtId="0" fontId="19" fillId="0" borderId="7" xfId="0" applyFont="1" applyFill="1" applyBorder="1"/>
    <xf numFmtId="3" fontId="19" fillId="0" borderId="11" xfId="0" applyNumberFormat="1" applyFont="1" applyBorder="1" applyAlignment="1">
      <alignment/>
    </xf>
    <xf numFmtId="0" fontId="19" fillId="0" borderId="7" xfId="0" applyFont="1" applyBorder="1" applyAlignment="1">
      <alignment/>
    </xf>
    <xf numFmtId="3" fontId="19" fillId="0" borderId="12" xfId="0" applyNumberFormat="1" applyFont="1" applyBorder="1" applyAlignment="1">
      <alignment/>
    </xf>
    <xf numFmtId="3" fontId="19" fillId="0" borderId="0" xfId="0" applyNumberFormat="1" applyFont="1" applyFill="1" applyBorder="1" applyAlignment="1">
      <alignment horizontal="center"/>
    </xf>
    <xf numFmtId="0" fontId="19" fillId="0" borderId="6" xfId="0" applyNumberFormat="1" applyFont="1" applyFill="1" applyBorder="1" applyAlignment="1">
      <alignment horizontal="center"/>
    </xf>
    <xf numFmtId="3" fontId="19" fillId="0" borderId="7" xfId="0" applyNumberFormat="1" applyFont="1" applyFill="1" applyBorder="1" applyAlignment="1">
      <alignment/>
    </xf>
    <xf numFmtId="0" fontId="19" fillId="0" borderId="6" xfId="0" applyNumberFormat="1" applyFont="1" applyBorder="1" applyAlignment="1">
      <alignment horizontal="left"/>
    </xf>
    <xf numFmtId="0" fontId="38" fillId="3" borderId="6" xfId="0" applyFont="1" applyFill="1" applyBorder="1" applyAlignment="1">
      <alignment horizontal="left"/>
    </xf>
    <xf numFmtId="0" fontId="19" fillId="3" borderId="7" xfId="0" applyFont="1" applyFill="1" applyBorder="1"/>
    <xf numFmtId="0" fontId="39" fillId="0" borderId="6" xfId="0" applyFont="1" applyFill="1" applyBorder="1" applyAlignment="1">
      <alignment horizontal="center"/>
    </xf>
    <xf numFmtId="0" fontId="19" fillId="0" borderId="6" xfId="0" applyFont="1" applyFill="1" applyBorder="1" applyAlignment="1">
      <alignment horizontal="center"/>
    </xf>
    <xf numFmtId="0" fontId="19" fillId="0" borderId="0" xfId="0" applyFont="1" applyFill="1" applyBorder="1" applyAlignment="1">
      <alignment horizontal="right"/>
    </xf>
    <xf numFmtId="0" fontId="19" fillId="0" borderId="7" xfId="0" applyFont="1" applyFill="1" applyBorder="1" applyAlignment="1">
      <alignment horizontal="left"/>
    </xf>
    <xf numFmtId="0" fontId="20" fillId="0" borderId="0" xfId="0" applyFont="1" applyFill="1" applyBorder="1"/>
    <xf numFmtId="3" fontId="40" fillId="0" borderId="0" xfId="0" applyNumberFormat="1" applyFont="1" applyFill="1" applyBorder="1" applyAlignment="1">
      <alignment horizontal="center"/>
    </xf>
    <xf numFmtId="0" fontId="19" fillId="5" borderId="6" xfId="0" applyNumberFormat="1" applyFont="1" applyFill="1" applyBorder="1" applyAlignment="1">
      <alignment horizontal="center"/>
    </xf>
    <xf numFmtId="3" fontId="37" fillId="0" borderId="7" xfId="0" applyNumberFormat="1" applyFont="1" applyBorder="1" applyAlignment="1">
      <alignment horizontal="right"/>
    </xf>
    <xf numFmtId="0" fontId="41" fillId="0" borderId="0" xfId="0" applyNumberFormat="1" applyFont="1" applyFill="1" applyBorder="1" applyAlignment="1">
      <alignment horizontal="left"/>
    </xf>
    <xf numFmtId="0" fontId="19" fillId="0" borderId="7" xfId="0" applyNumberFormat="1" applyFont="1" applyBorder="1" applyAlignment="1">
      <alignment horizontal="left"/>
    </xf>
    <xf numFmtId="0" fontId="19" fillId="0" borderId="0" xfId="0" applyNumberFormat="1" applyFont="1" applyFill="1" applyBorder="1" applyAlignment="1">
      <alignment horizontal="right"/>
    </xf>
    <xf numFmtId="0" fontId="40" fillId="0" borderId="0" xfId="0" applyFont="1" applyFill="1" applyBorder="1" applyAlignment="1">
      <alignment horizontal="center"/>
    </xf>
    <xf numFmtId="3" fontId="37" fillId="0" borderId="7" xfId="0" applyNumberFormat="1" applyFont="1" applyFill="1" applyBorder="1" applyAlignment="1">
      <alignment horizontal="right"/>
    </xf>
    <xf numFmtId="0" fontId="19" fillId="0" borderId="7" xfId="0" applyNumberFormat="1" applyFont="1" applyFill="1" applyBorder="1" applyAlignment="1">
      <alignment horizontal="left"/>
    </xf>
    <xf numFmtId="0" fontId="19" fillId="0" borderId="0" xfId="0" applyFont="1" applyBorder="1" applyAlignment="1">
      <alignment horizontal="left"/>
    </xf>
    <xf numFmtId="0" fontId="36" fillId="0" borderId="0" xfId="0" applyNumberFormat="1" applyFont="1" applyFill="1" applyBorder="1" applyAlignment="1">
      <alignment horizontal="right"/>
    </xf>
    <xf numFmtId="0" fontId="36" fillId="0" borderId="6" xfId="0" applyFont="1" applyBorder="1"/>
    <xf numFmtId="0" fontId="36" fillId="0" borderId="0" xfId="0" applyFont="1" applyBorder="1"/>
    <xf numFmtId="3" fontId="37" fillId="0" borderId="0" xfId="0" applyNumberFormat="1" applyFont="1" applyBorder="1" applyAlignment="1">
      <alignment horizontal="center"/>
    </xf>
    <xf numFmtId="0" fontId="36" fillId="3" borderId="0" xfId="0" applyNumberFormat="1" applyFont="1" applyFill="1" applyBorder="1" applyAlignment="1">
      <alignment horizontal="left"/>
    </xf>
    <xf numFmtId="0" fontId="19" fillId="0" borderId="7" xfId="0" applyFont="1" applyFill="1" applyBorder="1" applyAlignment="1">
      <alignment/>
    </xf>
    <xf numFmtId="0" fontId="19" fillId="0" borderId="7" xfId="0" applyNumberFormat="1" applyFont="1" applyFill="1" applyBorder="1" applyAlignment="1">
      <alignment/>
    </xf>
    <xf numFmtId="0" fontId="19" fillId="0" borderId="7" xfId="0" applyFont="1" applyBorder="1" applyAlignment="1">
      <alignment horizontal="right"/>
    </xf>
    <xf numFmtId="0" fontId="19" fillId="0" borderId="0" xfId="0" applyNumberFormat="1" applyFont="1" applyBorder="1" applyAlignment="1">
      <alignment horizontal="right"/>
    </xf>
    <xf numFmtId="0" fontId="37" fillId="0" borderId="0" xfId="0" applyNumberFormat="1" applyFont="1" applyFill="1" applyBorder="1" applyAlignment="1">
      <alignment horizontal="center"/>
    </xf>
    <xf numFmtId="0" fontId="19" fillId="0" borderId="7" xfId="0" applyNumberFormat="1" applyFont="1" applyBorder="1" applyAlignment="1">
      <alignment/>
    </xf>
    <xf numFmtId="3" fontId="19" fillId="0" borderId="0" xfId="0" applyNumberFormat="1" applyFont="1" applyBorder="1" applyAlignment="1">
      <alignment horizontal="left"/>
    </xf>
    <xf numFmtId="0" fontId="19" fillId="0" borderId="0" xfId="0" applyNumberFormat="1" applyFont="1" applyFill="1" applyBorder="1"/>
    <xf numFmtId="171" fontId="19" fillId="0" borderId="0" xfId="0" applyNumberFormat="1" applyFont="1" applyBorder="1" applyAlignment="1">
      <alignment/>
    </xf>
    <xf numFmtId="0" fontId="42" fillId="0" borderId="6" xfId="0" applyNumberFormat="1" applyFont="1" applyBorder="1" applyAlignment="1">
      <alignment horizontal="center"/>
    </xf>
    <xf numFmtId="3" fontId="36" fillId="0" borderId="7" xfId="0" applyNumberFormat="1" applyFont="1" applyBorder="1" applyAlignment="1">
      <alignment/>
    </xf>
    <xf numFmtId="0" fontId="44" fillId="0" borderId="6" xfId="0" applyFont="1" applyBorder="1" applyAlignment="1">
      <alignment horizontal="left"/>
    </xf>
    <xf numFmtId="0" fontId="19" fillId="5" borderId="7" xfId="0" applyFont="1" applyFill="1" applyBorder="1" applyAlignment="1">
      <alignment/>
    </xf>
    <xf numFmtId="0" fontId="45" fillId="2" borderId="0" xfId="0" applyFont="1" applyFill="1" applyBorder="1" applyAlignment="1">
      <alignment/>
    </xf>
    <xf numFmtId="0" fontId="42" fillId="0" borderId="13" xfId="0" applyNumberFormat="1" applyFont="1" applyBorder="1" applyAlignment="1">
      <alignment horizontal="center"/>
    </xf>
    <xf numFmtId="0" fontId="37" fillId="0" borderId="0" xfId="0" applyFont="1" applyFill="1" applyBorder="1" applyAlignment="1">
      <alignment/>
    </xf>
    <xf numFmtId="0" fontId="36" fillId="0" borderId="0" xfId="0" applyNumberFormat="1" applyFont="1" applyBorder="1" applyAlignment="1">
      <alignment horizontal="center"/>
    </xf>
    <xf numFmtId="0" fontId="37" fillId="0" borderId="0" xfId="0" applyNumberFormat="1" applyFont="1" applyBorder="1" applyAlignment="1">
      <alignment horizontal="center"/>
    </xf>
    <xf numFmtId="165" fontId="19" fillId="0" borderId="0" xfId="20" applyFont="1" applyBorder="1" applyAlignment="1">
      <alignment vertical="center"/>
      <protection/>
    </xf>
    <xf numFmtId="3" fontId="36" fillId="0" borderId="0" xfId="0" applyNumberFormat="1" applyFont="1" applyBorder="1" applyAlignment="1">
      <alignment horizontal="center"/>
    </xf>
    <xf numFmtId="0" fontId="36" fillId="0" borderId="0" xfId="0" applyFont="1" applyFill="1" applyBorder="1" applyAlignment="1">
      <alignment/>
    </xf>
    <xf numFmtId="0" fontId="43" fillId="0" borderId="0" xfId="0" applyNumberFormat="1" applyFont="1" applyBorder="1" applyAlignment="1">
      <alignment horizontal="center"/>
    </xf>
    <xf numFmtId="0" fontId="42" fillId="0" borderId="0" xfId="0" applyNumberFormat="1" applyFont="1" applyBorder="1" applyAlignment="1">
      <alignment horizontal="left"/>
    </xf>
    <xf numFmtId="0" fontId="42" fillId="0" borderId="0" xfId="0" applyFont="1" applyFill="1" applyBorder="1"/>
    <xf numFmtId="0" fontId="42" fillId="0" borderId="0" xfId="0" applyFont="1" applyBorder="1" applyAlignment="1">
      <alignment horizontal="center"/>
    </xf>
    <xf numFmtId="3" fontId="42" fillId="0" borderId="7" xfId="0" applyNumberFormat="1" applyFont="1" applyBorder="1" applyAlignment="1">
      <alignment/>
    </xf>
    <xf numFmtId="0" fontId="19" fillId="0" borderId="8" xfId="0" applyNumberFormat="1" applyFont="1" applyFill="1" applyBorder="1" applyAlignment="1">
      <alignment horizontal="center"/>
    </xf>
    <xf numFmtId="0" fontId="19" fillId="0" borderId="9" xfId="0" applyNumberFormat="1" applyFont="1" applyBorder="1" applyAlignment="1">
      <alignment horizontal="center"/>
    </xf>
    <xf numFmtId="0" fontId="19" fillId="0" borderId="9" xfId="0" applyFont="1" applyBorder="1" applyAlignment="1">
      <alignment/>
    </xf>
    <xf numFmtId="0" fontId="37" fillId="0" borderId="9" xfId="0" applyFont="1" applyBorder="1" applyAlignment="1">
      <alignment horizontal="center"/>
    </xf>
    <xf numFmtId="0" fontId="19" fillId="0" borderId="10" xfId="0" applyFont="1" applyFill="1" applyBorder="1"/>
    <xf numFmtId="0" fontId="19" fillId="0" borderId="9" xfId="0" applyNumberFormat="1" applyFont="1" applyFill="1" applyBorder="1" applyAlignment="1">
      <alignment horizontal="center"/>
    </xf>
    <xf numFmtId="0" fontId="19" fillId="0" borderId="9" xfId="0" applyNumberFormat="1" applyFont="1" applyFill="1" applyBorder="1" applyAlignment="1">
      <alignment/>
    </xf>
    <xf numFmtId="0" fontId="19" fillId="0" borderId="9" xfId="0" applyFont="1" applyFill="1" applyBorder="1" applyAlignment="1">
      <alignment/>
    </xf>
    <xf numFmtId="0" fontId="47" fillId="0" borderId="0" xfId="0" applyFont="1" applyFill="1" applyBorder="1" applyAlignment="1">
      <alignment horizontal="left"/>
    </xf>
    <xf numFmtId="0" fontId="19" fillId="0" borderId="9" xfId="0" applyNumberFormat="1" applyFont="1" applyFill="1" applyBorder="1" applyAlignment="1">
      <alignment horizontal="right"/>
    </xf>
    <xf numFmtId="0" fontId="19" fillId="0" borderId="9" xfId="0" applyNumberFormat="1" applyFont="1" applyFill="1" applyBorder="1" applyAlignment="1">
      <alignment horizontal="left"/>
    </xf>
    <xf numFmtId="0" fontId="37" fillId="0" borderId="9" xfId="0" applyNumberFormat="1" applyFont="1" applyFill="1" applyBorder="1" applyAlignment="1">
      <alignment horizontal="center"/>
    </xf>
    <xf numFmtId="0" fontId="19" fillId="0" borderId="10" xfId="0" applyNumberFormat="1" applyFont="1" applyFill="1" applyBorder="1" applyAlignment="1">
      <alignment horizontal="left"/>
    </xf>
    <xf numFmtId="0" fontId="37" fillId="0" borderId="9" xfId="0" applyFont="1" applyFill="1" applyBorder="1" applyAlignment="1">
      <alignment horizontal="center"/>
    </xf>
    <xf numFmtId="0" fontId="19" fillId="0" borderId="9" xfId="0" applyFont="1" applyBorder="1"/>
    <xf numFmtId="3" fontId="37" fillId="0" borderId="9" xfId="0" applyNumberFormat="1" applyFont="1" applyFill="1" applyBorder="1" applyAlignment="1">
      <alignment horizontal="center"/>
    </xf>
    <xf numFmtId="0" fontId="19" fillId="0" borderId="8" xfId="0" applyNumberFormat="1" applyFont="1" applyBorder="1" applyAlignment="1">
      <alignment horizontal="center"/>
    </xf>
    <xf numFmtId="0" fontId="19" fillId="0" borderId="9" xfId="0" applyNumberFormat="1" applyFont="1" applyFill="1" applyBorder="1"/>
    <xf numFmtId="171" fontId="19" fillId="0" borderId="9" xfId="0" applyNumberFormat="1" applyFont="1" applyBorder="1" applyAlignment="1">
      <alignment/>
    </xf>
    <xf numFmtId="0" fontId="37" fillId="0" borderId="9" xfId="0" applyFont="1" applyFill="1" applyBorder="1" applyAlignment="1">
      <alignment/>
    </xf>
    <xf numFmtId="0" fontId="19" fillId="0" borderId="7" xfId="0" applyNumberFormat="1" applyFont="1" applyFill="1" applyBorder="1" applyAlignment="1">
      <alignment horizontal="center"/>
    </xf>
    <xf numFmtId="0" fontId="19" fillId="0" borderId="10" xfId="0" applyNumberFormat="1" applyFont="1" applyFill="1" applyBorder="1" applyAlignment="1">
      <alignment horizontal="center"/>
    </xf>
    <xf numFmtId="0" fontId="29" fillId="0" borderId="7" xfId="0" applyFont="1" applyBorder="1"/>
    <xf numFmtId="0" fontId="29" fillId="0" borderId="9" xfId="0" applyFont="1" applyBorder="1"/>
    <xf numFmtId="0" fontId="29" fillId="0" borderId="6" xfId="0" applyFont="1" applyBorder="1"/>
    <xf numFmtId="0" fontId="29" fillId="0" borderId="0" xfId="0" applyFont="1" applyFill="1" applyBorder="1" applyAlignment="1">
      <alignment horizontal="center" wrapText="1"/>
    </xf>
    <xf numFmtId="0" fontId="33" fillId="0" borderId="6" xfId="0" applyFont="1" applyBorder="1" applyAlignment="1">
      <alignment horizontal="center"/>
    </xf>
    <xf numFmtId="0" fontId="33" fillId="0" borderId="0" xfId="0" applyFont="1" applyFill="1" applyBorder="1" applyAlignment="1">
      <alignment horizontal="center" wrapText="1"/>
    </xf>
    <xf numFmtId="0" fontId="29" fillId="0" borderId="8" xfId="0" applyFont="1" applyBorder="1"/>
    <xf numFmtId="0" fontId="29" fillId="0" borderId="10" xfId="0" applyFont="1" applyBorder="1"/>
    <xf numFmtId="0" fontId="48" fillId="0" borderId="0" xfId="0" applyFont="1"/>
    <xf numFmtId="0" fontId="28" fillId="6" borderId="14" xfId="0" applyFont="1" applyFill="1" applyBorder="1" applyAlignment="1">
      <alignment horizontal="center" wrapText="1"/>
    </xf>
    <xf numFmtId="0" fontId="28" fillId="6" borderId="15" xfId="0" applyFont="1" applyFill="1" applyBorder="1" applyAlignment="1">
      <alignment horizontal="center" wrapText="1"/>
    </xf>
    <xf numFmtId="0" fontId="33" fillId="0" borderId="10" xfId="0" applyFont="1" applyBorder="1" applyAlignment="1">
      <alignment horizontal="center"/>
    </xf>
    <xf numFmtId="0" fontId="28" fillId="6" borderId="16" xfId="0" applyFont="1" applyFill="1" applyBorder="1" applyAlignment="1">
      <alignment horizontal="center" wrapText="1"/>
    </xf>
    <xf numFmtId="0" fontId="28" fillId="0" borderId="9" xfId="0" applyFont="1" applyBorder="1"/>
    <xf numFmtId="0" fontId="46" fillId="6" borderId="16" xfId="0" applyFont="1" applyFill="1" applyBorder="1" applyAlignment="1">
      <alignment horizontal="center"/>
    </xf>
    <xf numFmtId="0" fontId="46" fillId="6" borderId="14" xfId="0" applyFont="1" applyFill="1" applyBorder="1" applyAlignment="1">
      <alignment horizontal="center"/>
    </xf>
    <xf numFmtId="0" fontId="18" fillId="3" borderId="0" xfId="0" applyFont="1" applyFill="1" applyBorder="1" applyAlignment="1">
      <alignment horizontal="center"/>
    </xf>
    <xf numFmtId="0" fontId="35" fillId="6" borderId="14" xfId="0" applyFont="1" applyFill="1" applyBorder="1" applyAlignment="1">
      <alignment horizontal="center"/>
    </xf>
    <xf numFmtId="0" fontId="35" fillId="6" borderId="15" xfId="0" applyFont="1" applyFill="1" applyBorder="1" applyAlignment="1">
      <alignment horizontal="center"/>
    </xf>
    <xf numFmtId="0" fontId="29" fillId="0" borderId="0" xfId="0" applyFont="1" applyBorder="1" applyAlignment="1">
      <alignment/>
    </xf>
    <xf numFmtId="0" fontId="29" fillId="0" borderId="7" xfId="0" applyFont="1" applyBorder="1" applyAlignment="1">
      <alignment/>
    </xf>
    <xf numFmtId="0" fontId="29" fillId="0" borderId="0" xfId="0" applyFont="1" applyFill="1" applyBorder="1" applyAlignment="1">
      <alignment horizontal="center"/>
    </xf>
    <xf numFmtId="0" fontId="29" fillId="0" borderId="7" xfId="0" applyFont="1" applyFill="1" applyBorder="1" applyAlignment="1">
      <alignment horizontal="center"/>
    </xf>
    <xf numFmtId="0" fontId="29" fillId="0" borderId="9" xfId="0" applyFont="1" applyBorder="1" applyAlignment="1">
      <alignment/>
    </xf>
    <xf numFmtId="0" fontId="29" fillId="0" borderId="10" xfId="0" applyFont="1" applyBorder="1" applyAlignment="1">
      <alignment/>
    </xf>
    <xf numFmtId="0" fontId="8" fillId="6" borderId="14" xfId="0" applyFont="1" applyFill="1" applyBorder="1" applyAlignment="1">
      <alignment horizontal="center"/>
    </xf>
    <xf numFmtId="0" fontId="0" fillId="0" borderId="0" xfId="0" applyFont="1" applyFill="1" applyBorder="1" applyAlignment="1">
      <alignment horizontal="center"/>
    </xf>
    <xf numFmtId="2" fontId="19" fillId="0" borderId="0" xfId="0" applyNumberFormat="1" applyFont="1" applyFill="1" applyBorder="1" applyAlignment="1">
      <alignment horizontal="center"/>
    </xf>
    <xf numFmtId="2" fontId="0" fillId="0" borderId="0" xfId="0" applyNumberFormat="1" applyFont="1" applyFill="1" applyBorder="1" applyAlignment="1">
      <alignment horizontal="center"/>
    </xf>
    <xf numFmtId="0" fontId="36" fillId="0" borderId="0" xfId="0" applyFont="1" applyFill="1" applyBorder="1" applyAlignment="1">
      <alignment horizontal="center"/>
    </xf>
    <xf numFmtId="2" fontId="36" fillId="0" borderId="6" xfId="0" applyNumberFormat="1" applyFont="1" applyFill="1" applyBorder="1" applyAlignment="1">
      <alignment horizontal="center"/>
    </xf>
    <xf numFmtId="0" fontId="33" fillId="0" borderId="7" xfId="0" applyFont="1" applyBorder="1" applyAlignment="1">
      <alignment horizontal="center"/>
    </xf>
    <xf numFmtId="3" fontId="3" fillId="0" borderId="0" xfId="0" applyNumberFormat="1" applyFont="1" applyAlignment="1">
      <alignment horizontal="left"/>
    </xf>
    <xf numFmtId="3" fontId="5" fillId="0" borderId="0" xfId="0" applyNumberFormat="1" applyFont="1" applyBorder="1" applyAlignment="1">
      <alignment horizontal="left"/>
    </xf>
    <xf numFmtId="3" fontId="5" fillId="0" borderId="3" xfId="0" applyNumberFormat="1" applyFont="1" applyBorder="1" applyAlignment="1">
      <alignment horizontal="left"/>
    </xf>
    <xf numFmtId="0" fontId="5" fillId="0" borderId="0" xfId="0" applyFont="1" applyBorder="1" applyAlignment="1">
      <alignment horizontal="left"/>
    </xf>
    <xf numFmtId="3" fontId="5" fillId="0" borderId="0" xfId="0" applyNumberFormat="1" applyFont="1" applyFill="1" applyAlignment="1">
      <alignment horizontal="left"/>
    </xf>
    <xf numFmtId="3" fontId="5" fillId="0" borderId="3" xfId="0" applyNumberFormat="1" applyFont="1" applyFill="1" applyBorder="1" applyAlignment="1">
      <alignment horizontal="left"/>
    </xf>
    <xf numFmtId="0" fontId="5" fillId="0" borderId="0" xfId="0" applyFont="1" applyFill="1" applyBorder="1" applyAlignment="1">
      <alignment horizontal="left"/>
    </xf>
    <xf numFmtId="0" fontId="5" fillId="0" borderId="1" xfId="0" applyFont="1" applyFill="1" applyBorder="1" applyAlignment="1">
      <alignment horizontal="left"/>
    </xf>
    <xf numFmtId="0" fontId="5" fillId="0" borderId="1" xfId="0" applyFont="1" applyBorder="1" applyAlignment="1">
      <alignment horizontal="left"/>
    </xf>
    <xf numFmtId="0" fontId="7" fillId="0" borderId="0" xfId="0" applyFont="1" applyAlignment="1">
      <alignment horizontal="left"/>
    </xf>
    <xf numFmtId="0" fontId="5" fillId="0" borderId="3" xfId="0" applyFont="1" applyBorder="1" applyAlignment="1">
      <alignment horizontal="left"/>
    </xf>
    <xf numFmtId="0" fontId="3" fillId="0" borderId="0" xfId="0" applyFont="1" applyBorder="1" applyAlignment="1">
      <alignment horizontal="left"/>
    </xf>
    <xf numFmtId="3" fontId="3" fillId="0" borderId="2" xfId="0" applyNumberFormat="1" applyFont="1" applyBorder="1" applyAlignment="1">
      <alignment horizontal="left"/>
    </xf>
    <xf numFmtId="0" fontId="5" fillId="4" borderId="0" xfId="0" applyNumberFormat="1" applyFont="1" applyFill="1" applyAlignment="1">
      <alignment horizontal="center"/>
    </xf>
    <xf numFmtId="3" fontId="5" fillId="4" borderId="0" xfId="0" applyNumberFormat="1" applyFont="1" applyFill="1" applyAlignment="1">
      <alignment horizontal="center"/>
    </xf>
    <xf numFmtId="0" fontId="33" fillId="3" borderId="0" xfId="0" applyFont="1" applyFill="1" applyBorder="1" applyAlignment="1">
      <alignment horizontal="center"/>
    </xf>
    <xf numFmtId="0" fontId="29" fillId="3" borderId="0" xfId="0" applyFont="1" applyFill="1" applyBorder="1"/>
    <xf numFmtId="0" fontId="29" fillId="3" borderId="7" xfId="0" applyFont="1" applyFill="1" applyBorder="1"/>
    <xf numFmtId="0" fontId="8" fillId="0" borderId="0" xfId="0" applyFont="1"/>
    <xf numFmtId="0" fontId="29" fillId="0" borderId="16" xfId="0" applyFont="1" applyBorder="1"/>
    <xf numFmtId="0" fontId="29" fillId="0" borderId="14" xfId="0" applyFont="1" applyBorder="1" applyAlignment="1">
      <alignment horizontal="center"/>
    </xf>
    <xf numFmtId="0" fontId="33" fillId="0" borderId="16" xfId="0" applyFont="1" applyBorder="1" applyAlignment="1">
      <alignment horizontal="center"/>
    </xf>
    <xf numFmtId="0" fontId="33" fillId="0" borderId="14" xfId="0" applyFont="1" applyBorder="1" applyAlignment="1">
      <alignment horizontal="center"/>
    </xf>
    <xf numFmtId="164" fontId="33" fillId="0" borderId="15" xfId="18" applyNumberFormat="1" applyFont="1" applyBorder="1" applyAlignment="1">
      <alignment horizontal="center"/>
    </xf>
    <xf numFmtId="0" fontId="33" fillId="0" borderId="15" xfId="0" applyFont="1" applyBorder="1" applyAlignment="1">
      <alignment horizontal="center"/>
    </xf>
    <xf numFmtId="0" fontId="29" fillId="0" borderId="0" xfId="0" applyFont="1" applyBorder="1" applyAlignment="1">
      <alignment horizontal="center"/>
    </xf>
    <xf numFmtId="0" fontId="29" fillId="0" borderId="6" xfId="0" applyFont="1" applyBorder="1" applyAlignment="1">
      <alignment horizontal="center"/>
    </xf>
    <xf numFmtId="164" fontId="29" fillId="0" borderId="7" xfId="18" applyNumberFormat="1" applyFont="1" applyBorder="1" applyAlignment="1">
      <alignment horizontal="center"/>
    </xf>
    <xf numFmtId="0" fontId="29" fillId="0" borderId="7" xfId="0" applyFont="1" applyBorder="1" applyAlignment="1">
      <alignment horizontal="center"/>
    </xf>
    <xf numFmtId="164" fontId="29" fillId="0" borderId="7" xfId="18" applyNumberFormat="1" applyFont="1" applyBorder="1"/>
    <xf numFmtId="164" fontId="29" fillId="0" borderId="6" xfId="18" applyNumberFormat="1" applyFont="1" applyBorder="1"/>
    <xf numFmtId="164" fontId="29" fillId="0" borderId="0" xfId="18" applyNumberFormat="1" applyFont="1" applyBorder="1"/>
    <xf numFmtId="0" fontId="29" fillId="0" borderId="9" xfId="0" applyFont="1" applyBorder="1" applyAlignment="1">
      <alignment horizontal="center"/>
    </xf>
    <xf numFmtId="164" fontId="29" fillId="0" borderId="8" xfId="18" applyNumberFormat="1" applyFont="1" applyBorder="1"/>
    <xf numFmtId="164" fontId="29" fillId="0" borderId="9" xfId="18" applyNumberFormat="1" applyFont="1" applyBorder="1"/>
    <xf numFmtId="164" fontId="29" fillId="0" borderId="10" xfId="18" applyNumberFormat="1" applyFont="1" applyBorder="1"/>
    <xf numFmtId="0" fontId="33" fillId="0" borderId="17" xfId="0" applyFont="1" applyBorder="1" applyAlignment="1">
      <alignment horizontal="center"/>
    </xf>
    <xf numFmtId="0" fontId="33" fillId="0" borderId="14" xfId="0" applyFont="1" applyFill="1" applyBorder="1" applyAlignment="1">
      <alignment horizontal="center"/>
    </xf>
    <xf numFmtId="0" fontId="33" fillId="0" borderId="15" xfId="0" applyFont="1" applyFill="1" applyBorder="1" applyAlignment="1">
      <alignment horizontal="center"/>
    </xf>
    <xf numFmtId="0" fontId="29" fillId="0" borderId="18" xfId="0" applyFont="1" applyBorder="1" applyAlignment="1">
      <alignment horizontal="center"/>
    </xf>
    <xf numFmtId="164" fontId="29" fillId="0" borderId="0" xfId="0" applyNumberFormat="1" applyFont="1" applyBorder="1"/>
    <xf numFmtId="167" fontId="29" fillId="0" borderId="7" xfId="0" applyNumberFormat="1" applyFont="1" applyBorder="1"/>
    <xf numFmtId="167" fontId="29" fillId="0" borderId="0" xfId="0" applyNumberFormat="1" applyFont="1" applyBorder="1"/>
    <xf numFmtId="164" fontId="29" fillId="0" borderId="6" xfId="0" applyNumberFormat="1" applyFont="1" applyBorder="1"/>
    <xf numFmtId="164" fontId="33" fillId="0" borderId="6" xfId="0" applyNumberFormat="1" applyFont="1" applyBorder="1"/>
    <xf numFmtId="164" fontId="33" fillId="0" borderId="18" xfId="0" applyNumberFormat="1" applyFont="1" applyBorder="1"/>
    <xf numFmtId="164" fontId="33" fillId="0" borderId="0" xfId="0" applyNumberFormat="1" applyFont="1" applyBorder="1"/>
    <xf numFmtId="164" fontId="33" fillId="0" borderId="7" xfId="18" applyNumberFormat="1" applyFont="1" applyBorder="1"/>
    <xf numFmtId="164" fontId="33" fillId="0" borderId="8" xfId="0" applyNumberFormat="1" applyFont="1" applyBorder="1"/>
    <xf numFmtId="164" fontId="33" fillId="0" borderId="19" xfId="0" applyNumberFormat="1" applyFont="1" applyBorder="1"/>
    <xf numFmtId="164" fontId="33" fillId="0" borderId="9" xfId="0" applyNumberFormat="1" applyFont="1" applyBorder="1"/>
    <xf numFmtId="164" fontId="33" fillId="0" borderId="10" xfId="18" applyNumberFormat="1" applyFont="1" applyBorder="1"/>
    <xf numFmtId="167" fontId="29" fillId="0" borderId="9" xfId="0" applyNumberFormat="1" applyFont="1" applyBorder="1"/>
    <xf numFmtId="0" fontId="29" fillId="0" borderId="0" xfId="0" applyFont="1" applyAlignment="1">
      <alignment horizontal="center"/>
    </xf>
    <xf numFmtId="164" fontId="29" fillId="0" borderId="0" xfId="18" applyNumberFormat="1" applyFont="1"/>
    <xf numFmtId="167" fontId="29" fillId="0" borderId="0" xfId="16" applyNumberFormat="1" applyFont="1"/>
    <xf numFmtId="0" fontId="19" fillId="0" borderId="0" xfId="0" applyFont="1"/>
    <xf numFmtId="0" fontId="19" fillId="0" borderId="0" xfId="0" applyFont="1" applyAlignment="1">
      <alignment horizontal="center"/>
    </xf>
    <xf numFmtId="0" fontId="33" fillId="0" borderId="17" xfId="0" applyFont="1" applyFill="1" applyBorder="1" applyAlignment="1">
      <alignment horizontal="center"/>
    </xf>
    <xf numFmtId="167" fontId="29" fillId="0" borderId="18" xfId="16" applyNumberFormat="1" applyFont="1" applyBorder="1"/>
    <xf numFmtId="167" fontId="29" fillId="0" borderId="19" xfId="16" applyNumberFormat="1" applyFont="1" applyBorder="1"/>
    <xf numFmtId="0" fontId="29" fillId="0" borderId="6" xfId="0" applyFont="1" applyFill="1" applyBorder="1"/>
    <xf numFmtId="164" fontId="29" fillId="0" borderId="6" xfId="18" applyNumberFormat="1" applyFont="1" applyFill="1" applyBorder="1"/>
    <xf numFmtId="164" fontId="29" fillId="0" borderId="0" xfId="18" applyNumberFormat="1" applyFont="1" applyFill="1" applyBorder="1"/>
    <xf numFmtId="164" fontId="29" fillId="0" borderId="7" xfId="18" applyNumberFormat="1" applyFont="1" applyFill="1" applyBorder="1"/>
    <xf numFmtId="0" fontId="21" fillId="0" borderId="0" xfId="0" applyNumberFormat="1" applyFont="1" applyFill="1" applyBorder="1" applyAlignment="1">
      <alignment horizontal="left"/>
    </xf>
    <xf numFmtId="0" fontId="3" fillId="0" borderId="0" xfId="0" applyNumberFormat="1" applyFont="1" applyFill="1" applyBorder="1" applyAlignment="1">
      <alignment horizontal="left"/>
    </xf>
    <xf numFmtId="0" fontId="0" fillId="0" borderId="0" xfId="0" applyFill="1" applyBorder="1" applyAlignment="1">
      <alignment horizontal="center"/>
    </xf>
    <xf numFmtId="0" fontId="0" fillId="0" borderId="0" xfId="0" applyFill="1" applyBorder="1"/>
    <xf numFmtId="164" fontId="0" fillId="0" borderId="0" xfId="18" applyNumberFormat="1" applyFont="1" applyFill="1" applyBorder="1"/>
    <xf numFmtId="0" fontId="29" fillId="0" borderId="15" xfId="0" applyFont="1" applyBorder="1"/>
    <xf numFmtId="0" fontId="29" fillId="0" borderId="7" xfId="0" applyFont="1" applyFill="1" applyBorder="1"/>
    <xf numFmtId="0" fontId="49" fillId="0" borderId="0" xfId="0" applyFont="1" applyAlignment="1">
      <alignment horizontal="center"/>
    </xf>
    <xf numFmtId="0" fontId="49" fillId="0" borderId="0" xfId="0" applyFont="1"/>
    <xf numFmtId="0" fontId="50" fillId="0" borderId="0" xfId="0" applyFont="1" applyAlignment="1">
      <alignment horizontal="left"/>
    </xf>
    <xf numFmtId="16" fontId="49" fillId="0" borderId="0" xfId="0" applyNumberFormat="1" applyFont="1" applyAlignment="1">
      <alignment horizontal="center"/>
    </xf>
    <xf numFmtId="164" fontId="49" fillId="0" borderId="0" xfId="18" applyNumberFormat="1" applyFont="1"/>
    <xf numFmtId="167" fontId="49" fillId="0" borderId="0" xfId="16" applyNumberFormat="1" applyFont="1"/>
    <xf numFmtId="0" fontId="49" fillId="0" borderId="0" xfId="0" applyFont="1" applyAlignment="1">
      <alignment horizontal="left"/>
    </xf>
    <xf numFmtId="164" fontId="49" fillId="2" borderId="0" xfId="18" applyNumberFormat="1" applyFont="1" applyFill="1"/>
    <xf numFmtId="164" fontId="49" fillId="0" borderId="0" xfId="0" applyNumberFormat="1" applyFont="1"/>
    <xf numFmtId="174" fontId="49" fillId="0" borderId="0" xfId="15" applyNumberFormat="1" applyFont="1"/>
    <xf numFmtId="167" fontId="49" fillId="0" borderId="0" xfId="0" applyNumberFormat="1" applyFont="1"/>
    <xf numFmtId="167" fontId="49" fillId="0" borderId="0" xfId="16" applyNumberFormat="1" applyFont="1" applyAlignment="1">
      <alignment horizontal="left"/>
    </xf>
    <xf numFmtId="164" fontId="49" fillId="0" borderId="0" xfId="0" applyNumberFormat="1" applyFont="1" applyAlignment="1">
      <alignment horizontal="left"/>
    </xf>
    <xf numFmtId="164" fontId="49" fillId="0" borderId="0" xfId="0" applyNumberFormat="1" applyFont="1" applyAlignment="1">
      <alignment horizontal="center"/>
    </xf>
    <xf numFmtId="174" fontId="49" fillId="0" borderId="0" xfId="0" applyNumberFormat="1" applyFont="1"/>
    <xf numFmtId="169" fontId="49" fillId="0" borderId="0" xfId="15" applyNumberFormat="1" applyFont="1"/>
    <xf numFmtId="167" fontId="49" fillId="0" borderId="0" xfId="0" applyNumberFormat="1" applyFont="1" applyAlignment="1">
      <alignment horizontal="center"/>
    </xf>
    <xf numFmtId="0" fontId="51" fillId="3" borderId="0" xfId="0" applyFont="1" applyFill="1"/>
    <xf numFmtId="0" fontId="52" fillId="0" borderId="0" xfId="0" applyNumberFormat="1" applyFont="1" applyFill="1" applyBorder="1" applyAlignment="1">
      <alignment horizontal="center"/>
    </xf>
    <xf numFmtId="0" fontId="19" fillId="0" borderId="7" xfId="0" applyFont="1" applyBorder="1" applyAlignment="1">
      <alignment horizontal="center"/>
    </xf>
    <xf numFmtId="164" fontId="49" fillId="0" borderId="0" xfId="18" applyNumberFormat="1" applyFont="1" applyFill="1"/>
    <xf numFmtId="167" fontId="49" fillId="0" borderId="0" xfId="16" applyNumberFormat="1" applyFont="1" applyFill="1" applyAlignment="1">
      <alignment horizontal="left"/>
    </xf>
    <xf numFmtId="0" fontId="49" fillId="0" borderId="0" xfId="0" applyFont="1" applyFill="1"/>
    <xf numFmtId="174" fontId="49" fillId="0" borderId="0" xfId="15" applyNumberFormat="1" applyFont="1" applyFill="1"/>
    <xf numFmtId="164" fontId="49" fillId="0" borderId="0" xfId="0" applyNumberFormat="1" applyFont="1" applyFill="1"/>
    <xf numFmtId="0" fontId="49" fillId="0" borderId="0" xfId="0" applyFont="1" applyBorder="1" applyAlignment="1">
      <alignment horizontal="center"/>
    </xf>
    <xf numFmtId="0" fontId="49" fillId="0" borderId="0" xfId="0" applyFont="1" applyBorder="1"/>
    <xf numFmtId="0" fontId="49" fillId="0" borderId="0" xfId="0" applyNumberFormat="1" applyFont="1" applyAlignment="1">
      <alignment horizontal="left"/>
    </xf>
    <xf numFmtId="0" fontId="49" fillId="0" borderId="0" xfId="16" applyNumberFormat="1" applyFont="1" applyFill="1" applyAlignment="1">
      <alignment horizontal="left"/>
    </xf>
    <xf numFmtId="0" fontId="42" fillId="0" borderId="0" xfId="0" applyFont="1" applyAlignment="1">
      <alignment horizontal="center"/>
    </xf>
    <xf numFmtId="0" fontId="29" fillId="0" borderId="0" xfId="0" applyFont="1" applyAlignment="1">
      <alignment horizontal="right"/>
    </xf>
    <xf numFmtId="0" fontId="22" fillId="7" borderId="8" xfId="0" applyFont="1" applyFill="1" applyBorder="1" applyAlignment="1">
      <alignment horizontal="left"/>
    </xf>
    <xf numFmtId="0" fontId="3" fillId="7" borderId="10" xfId="0" applyFont="1" applyFill="1" applyBorder="1" applyAlignment="1">
      <alignment horizontal="center" wrapText="1"/>
    </xf>
    <xf numFmtId="0" fontId="22" fillId="7" borderId="16" xfId="0" applyFont="1" applyFill="1" applyBorder="1" applyAlignment="1">
      <alignment horizontal="left"/>
    </xf>
    <xf numFmtId="0" fontId="13" fillId="0" borderId="0" xfId="0" applyFont="1" applyAlignment="1">
      <alignment horizontal="center"/>
    </xf>
    <xf numFmtId="0" fontId="0" fillId="7" borderId="0" xfId="0" applyFill="1"/>
    <xf numFmtId="165" fontId="5" fillId="0" borderId="3" xfId="20" applyFont="1" applyFill="1" applyBorder="1" applyAlignment="1">
      <alignment vertical="center"/>
      <protection/>
    </xf>
    <xf numFmtId="0" fontId="5" fillId="0" borderId="3" xfId="0" applyFont="1" applyFill="1" applyBorder="1" applyAlignment="1">
      <alignment/>
    </xf>
    <xf numFmtId="0" fontId="5" fillId="0" borderId="0" xfId="0" applyFont="1" applyFill="1"/>
    <xf numFmtId="0" fontId="0" fillId="0" borderId="0" xfId="0" applyFill="1" applyAlignment="1">
      <alignment wrapText="1"/>
    </xf>
    <xf numFmtId="37" fontId="0" fillId="0" borderId="0" xfId="0" applyNumberFormat="1"/>
    <xf numFmtId="174" fontId="0" fillId="2" borderId="0" xfId="0" applyNumberFormat="1" applyFill="1"/>
    <xf numFmtId="37" fontId="0" fillId="2" borderId="0" xfId="0" applyNumberFormat="1" applyFill="1"/>
    <xf numFmtId="37" fontId="0" fillId="0" borderId="0" xfId="0" applyNumberFormat="1" applyFill="1"/>
    <xf numFmtId="164" fontId="0" fillId="0" borderId="0" xfId="18" applyNumberFormat="1" applyFill="1" applyAlignment="1">
      <alignment horizontal="right"/>
    </xf>
    <xf numFmtId="164" fontId="0" fillId="2" borderId="0" xfId="18" applyNumberFormat="1" applyFill="1" applyAlignment="1">
      <alignment horizontal="right"/>
    </xf>
    <xf numFmtId="37" fontId="0" fillId="2" borderId="0" xfId="0" applyNumberFormat="1" applyFill="1" applyAlignment="1">
      <alignment horizontal="right" wrapText="1"/>
    </xf>
    <xf numFmtId="37" fontId="0" fillId="0" borderId="0" xfId="0" applyNumberFormat="1" applyAlignment="1">
      <alignment horizontal="right" wrapText="1"/>
    </xf>
    <xf numFmtId="174" fontId="0" fillId="2" borderId="0" xfId="0" applyNumberFormat="1" applyFill="1" applyAlignment="1">
      <alignment horizontal="center" wrapText="1"/>
    </xf>
    <xf numFmtId="0" fontId="4" fillId="0" borderId="0" xfId="0" applyFont="1" applyFill="1"/>
    <xf numFmtId="37" fontId="0" fillId="0" borderId="20" xfId="0" applyNumberFormat="1" applyBorder="1" applyAlignment="1">
      <alignment horizontal="right"/>
    </xf>
    <xf numFmtId="0" fontId="31" fillId="0" borderId="0" xfId="0" applyFont="1" applyAlignment="1">
      <alignment horizontal="right"/>
    </xf>
    <xf numFmtId="0" fontId="2" fillId="0" borderId="0" xfId="0" applyFont="1" applyAlignment="1">
      <alignment/>
    </xf>
    <xf numFmtId="0" fontId="0" fillId="0" borderId="0" xfId="0" applyAlignment="1">
      <alignment horizontal="left"/>
    </xf>
    <xf numFmtId="0" fontId="4" fillId="0" borderId="0" xfId="0" applyFont="1"/>
    <xf numFmtId="0" fontId="4" fillId="0" borderId="0" xfId="0" applyFont="1" applyAlignment="1">
      <alignment/>
    </xf>
    <xf numFmtId="0" fontId="0" fillId="0" borderId="0" xfId="0" applyAlignment="1">
      <alignment horizontal="left" vertical="center"/>
    </xf>
    <xf numFmtId="0" fontId="54" fillId="0" borderId="0" xfId="0" applyFont="1" applyAlignment="1">
      <alignment/>
    </xf>
    <xf numFmtId="0" fontId="55" fillId="0" borderId="0" xfId="0" applyFont="1" applyAlignment="1">
      <alignment vertical="center" wrapText="1"/>
    </xf>
    <xf numFmtId="0" fontId="56" fillId="0" borderId="0" xfId="0" applyFont="1"/>
    <xf numFmtId="0" fontId="0" fillId="0" borderId="0" xfId="0" applyFont="1" applyFill="1" applyAlignment="1">
      <alignment/>
    </xf>
    <xf numFmtId="0" fontId="0" fillId="0" borderId="0" xfId="0" applyFont="1"/>
    <xf numFmtId="0" fontId="0" fillId="0" borderId="0" xfId="0" applyFont="1" applyAlignment="1">
      <alignment/>
    </xf>
    <xf numFmtId="164" fontId="0" fillId="0" borderId="0" xfId="18" applyNumberFormat="1" applyFont="1" applyAlignment="1">
      <alignment/>
    </xf>
    <xf numFmtId="164" fontId="0" fillId="2" borderId="0" xfId="18" applyNumberFormat="1" applyFill="1" applyAlignment="1">
      <alignment/>
    </xf>
    <xf numFmtId="164" fontId="0" fillId="0" borderId="0" xfId="18" applyNumberFormat="1" applyFill="1" applyBorder="1" applyAlignment="1">
      <alignment wrapText="1"/>
    </xf>
    <xf numFmtId="164" fontId="0" fillId="0" borderId="0" xfId="18" applyNumberFormat="1" applyFont="1" applyAlignment="1">
      <alignment vertical="center" wrapText="1"/>
    </xf>
    <xf numFmtId="164" fontId="0" fillId="2" borderId="0" xfId="18" applyNumberFormat="1" applyFill="1" applyAlignment="1">
      <alignment wrapText="1"/>
    </xf>
    <xf numFmtId="164" fontId="0" fillId="2" borderId="0" xfId="18" applyNumberFormat="1" applyFill="1" applyAlignment="1">
      <alignment vertical="center" wrapText="1"/>
    </xf>
    <xf numFmtId="164" fontId="0" fillId="2" borderId="0" xfId="18" applyNumberFormat="1" applyFont="1" applyFill="1" applyBorder="1" applyAlignment="1">
      <alignment/>
    </xf>
    <xf numFmtId="164" fontId="0" fillId="2" borderId="0" xfId="18" applyNumberFormat="1" applyFont="1" applyFill="1" applyAlignment="1">
      <alignment/>
    </xf>
    <xf numFmtId="164" fontId="0" fillId="0" borderId="0" xfId="18" applyNumberFormat="1" applyFont="1" applyFill="1" applyAlignment="1">
      <alignment/>
    </xf>
    <xf numFmtId="164" fontId="0" fillId="0" borderId="0" xfId="18" applyNumberFormat="1" applyFont="1" applyFill="1" applyBorder="1" applyAlignment="1">
      <alignment/>
    </xf>
    <xf numFmtId="164" fontId="0" fillId="0" borderId="0" xfId="18" applyNumberFormat="1" applyFont="1" applyBorder="1" applyAlignment="1">
      <alignment/>
    </xf>
    <xf numFmtId="3" fontId="29" fillId="0" borderId="0" xfId="0" applyNumberFormat="1" applyFont="1" applyBorder="1" applyAlignment="1">
      <alignment horizontal="center"/>
    </xf>
    <xf numFmtId="0" fontId="29" fillId="0" borderId="0" xfId="0" applyFont="1" applyBorder="1" applyAlignment="1">
      <alignment horizontal="left" wrapText="1"/>
    </xf>
    <xf numFmtId="0" fontId="29" fillId="0" borderId="0" xfId="0" applyFont="1" applyBorder="1" applyAlignment="1">
      <alignment wrapText="1"/>
    </xf>
    <xf numFmtId="10" fontId="29" fillId="0" borderId="8" xfId="15" applyNumberFormat="1" applyFont="1" applyBorder="1" applyAlignment="1">
      <alignment horizontal="center"/>
    </xf>
    <xf numFmtId="164" fontId="33" fillId="0" borderId="8" xfId="18" applyNumberFormat="1" applyFont="1" applyBorder="1" applyAlignment="1">
      <alignment horizontal="center"/>
    </xf>
    <xf numFmtId="164" fontId="0" fillId="0" borderId="0" xfId="18" applyNumberFormat="1" applyFont="1" applyBorder="1" applyAlignment="1">
      <alignment/>
    </xf>
    <xf numFmtId="0" fontId="7" fillId="0" borderId="3" xfId="0" applyFont="1" applyBorder="1" applyAlignment="1">
      <alignment horizontal="center"/>
    </xf>
    <xf numFmtId="164" fontId="19" fillId="0" borderId="0" xfId="0" applyNumberFormat="1" applyFont="1" applyFill="1" applyBorder="1" applyAlignment="1">
      <alignment horizontal="center"/>
    </xf>
    <xf numFmtId="164" fontId="0" fillId="2" borderId="0" xfId="18" applyNumberFormat="1" applyFont="1" applyFill="1"/>
    <xf numFmtId="164" fontId="49" fillId="2" borderId="0" xfId="18" applyNumberFormat="1" applyFont="1" applyFill="1" quotePrefix="1"/>
    <xf numFmtId="0" fontId="46" fillId="0" borderId="0" xfId="0" applyFont="1" applyFill="1" applyBorder="1" applyAlignment="1">
      <alignment horizontal="center"/>
    </xf>
    <xf numFmtId="0" fontId="2" fillId="0" borderId="0" xfId="0" applyFont="1"/>
    <xf numFmtId="0" fontId="57" fillId="6" borderId="14" xfId="0" applyFont="1" applyFill="1" applyBorder="1" applyAlignment="1">
      <alignment horizontal="center" wrapText="1"/>
    </xf>
    <xf numFmtId="3" fontId="19" fillId="0" borderId="7" xfId="0" applyNumberFormat="1" applyFont="1" applyFill="1" applyBorder="1" applyAlignment="1">
      <alignment horizontal="center"/>
    </xf>
    <xf numFmtId="0" fontId="5" fillId="3" borderId="0" xfId="0" applyFont="1" applyFill="1" applyBorder="1" applyAlignment="1">
      <alignment horizontal="center" wrapText="1"/>
    </xf>
    <xf numFmtId="0" fontId="5" fillId="0" borderId="0" xfId="0" applyFont="1" applyFill="1" applyBorder="1" applyAlignment="1">
      <alignment horizontal="center" wrapText="1"/>
    </xf>
    <xf numFmtId="0" fontId="5" fillId="3" borderId="0" xfId="0" applyFont="1" applyFill="1"/>
    <xf numFmtId="3" fontId="7" fillId="0" borderId="0" xfId="0" applyNumberFormat="1" applyFont="1" applyFill="1" applyAlignment="1">
      <alignment horizontal="right"/>
    </xf>
    <xf numFmtId="3" fontId="5" fillId="0" borderId="0" xfId="0" applyNumberFormat="1" applyFont="1" applyBorder="1" applyAlignment="1">
      <alignment horizontal="right"/>
    </xf>
    <xf numFmtId="37" fontId="3" fillId="0" borderId="0" xfId="0" applyNumberFormat="1" applyFont="1" applyBorder="1" applyAlignment="1">
      <alignment horizontal="right"/>
    </xf>
    <xf numFmtId="43" fontId="5" fillId="0" borderId="0" xfId="18" applyFont="1"/>
    <xf numFmtId="176" fontId="5" fillId="0" borderId="0" xfId="15" applyNumberFormat="1" applyFont="1"/>
    <xf numFmtId="43" fontId="5" fillId="0" borderId="0" xfId="0" applyNumberFormat="1" applyFont="1"/>
    <xf numFmtId="0" fontId="5" fillId="7" borderId="14" xfId="0" applyFont="1" applyFill="1" applyBorder="1" applyAlignment="1">
      <alignment/>
    </xf>
    <xf numFmtId="0" fontId="5" fillId="7" borderId="14" xfId="0" applyFont="1" applyFill="1" applyBorder="1" applyAlignment="1">
      <alignment horizontal="center"/>
    </xf>
    <xf numFmtId="0" fontId="5" fillId="7" borderId="15" xfId="0" applyFont="1" applyFill="1" applyBorder="1"/>
    <xf numFmtId="0" fontId="3" fillId="7" borderId="9" xfId="0" applyFont="1" applyFill="1" applyBorder="1" applyAlignment="1">
      <alignment/>
    </xf>
    <xf numFmtId="0" fontId="3" fillId="7" borderId="9" xfId="0" applyNumberFormat="1" applyFont="1" applyFill="1" applyBorder="1" applyAlignment="1">
      <alignment horizontal="center"/>
    </xf>
    <xf numFmtId="0" fontId="3" fillId="0" borderId="7" xfId="0" applyFont="1" applyBorder="1"/>
    <xf numFmtId="0" fontId="3" fillId="0" borderId="0" xfId="0" applyFont="1" applyFill="1" applyBorder="1" applyAlignment="1">
      <alignment/>
    </xf>
    <xf numFmtId="0" fontId="3" fillId="0" borderId="0" xfId="0" applyNumberFormat="1" applyFont="1" applyFill="1" applyBorder="1" applyAlignment="1">
      <alignment horizontal="center"/>
    </xf>
    <xf numFmtId="0" fontId="5" fillId="3" borderId="0" xfId="0" applyFont="1" applyFill="1" applyBorder="1" applyAlignment="1">
      <alignment/>
    </xf>
    <xf numFmtId="0" fontId="3" fillId="3" borderId="0" xfId="0" applyNumberFormat="1" applyFont="1" applyFill="1" applyBorder="1" applyAlignment="1">
      <alignment horizontal="center"/>
    </xf>
    <xf numFmtId="0" fontId="5" fillId="3" borderId="0" xfId="0" applyFont="1" applyFill="1" applyBorder="1"/>
    <xf numFmtId="0" fontId="5" fillId="0" borderId="2" xfId="0" applyFont="1" applyFill="1" applyBorder="1" applyAlignment="1">
      <alignment/>
    </xf>
    <xf numFmtId="0" fontId="5" fillId="0" borderId="2" xfId="0" applyFont="1" applyBorder="1" applyAlignment="1">
      <alignment/>
    </xf>
    <xf numFmtId="0" fontId="5" fillId="0" borderId="1" xfId="0" applyFont="1" applyBorder="1"/>
    <xf numFmtId="0" fontId="5" fillId="0" borderId="1" xfId="0" applyFont="1" applyBorder="1" applyAlignment="1">
      <alignment horizontal="center"/>
    </xf>
    <xf numFmtId="0" fontId="5" fillId="0" borderId="2" xfId="0" applyFont="1" applyBorder="1"/>
    <xf numFmtId="0" fontId="5" fillId="0" borderId="2" xfId="0" applyFont="1" applyBorder="1" applyAlignment="1">
      <alignment horizontal="center"/>
    </xf>
    <xf numFmtId="0" fontId="5" fillId="0" borderId="3" xfId="0" applyFont="1" applyBorder="1" applyAlignment="1">
      <alignment horizontal="center"/>
    </xf>
    <xf numFmtId="0" fontId="5" fillId="0" borderId="3" xfId="0" applyFont="1" applyFill="1" applyBorder="1" applyAlignment="1">
      <alignment horizontal="center"/>
    </xf>
    <xf numFmtId="0" fontId="5" fillId="0" borderId="0" xfId="0" applyFont="1" applyFill="1" applyAlignment="1">
      <alignment horizontal="right"/>
    </xf>
    <xf numFmtId="0" fontId="5" fillId="0" borderId="0" xfId="0" applyFont="1" applyFill="1" applyAlignment="1">
      <alignment horizontal="left"/>
    </xf>
    <xf numFmtId="0" fontId="3" fillId="0" borderId="1" xfId="0" applyNumberFormat="1" applyFont="1" applyFill="1" applyBorder="1" applyAlignment="1">
      <alignment horizontal="left"/>
    </xf>
    <xf numFmtId="0" fontId="5" fillId="0" borderId="0" xfId="0" applyNumberFormat="1" applyFont="1" applyFill="1" applyAlignment="1">
      <alignment horizontal="right"/>
    </xf>
    <xf numFmtId="0" fontId="3" fillId="0" borderId="0" xfId="0" applyNumberFormat="1" applyFont="1" applyFill="1" applyAlignment="1">
      <alignment horizontal="left"/>
    </xf>
    <xf numFmtId="3" fontId="7" fillId="0" borderId="0" xfId="0" applyNumberFormat="1" applyFont="1" applyAlignment="1">
      <alignment horizontal="right"/>
    </xf>
    <xf numFmtId="0" fontId="58" fillId="0" borderId="0" xfId="0" applyNumberFormat="1" applyFont="1" applyFill="1" applyAlignment="1">
      <alignment horizontal="left"/>
    </xf>
    <xf numFmtId="0" fontId="5" fillId="0" borderId="0" xfId="0" applyNumberFormat="1" applyFont="1" applyBorder="1" applyAlignment="1">
      <alignment horizontal="center"/>
    </xf>
    <xf numFmtId="0" fontId="5" fillId="0" borderId="1" xfId="0" applyNumberFormat="1" applyFont="1" applyBorder="1" applyAlignment="1">
      <alignment horizontal="center"/>
    </xf>
    <xf numFmtId="3" fontId="7" fillId="0" borderId="1" xfId="0" applyNumberFormat="1" applyFont="1" applyBorder="1" applyAlignment="1">
      <alignment horizontal="right"/>
    </xf>
    <xf numFmtId="0" fontId="5" fillId="0" borderId="3" xfId="0" applyFont="1" applyFill="1" applyBorder="1" applyAlignment="1">
      <alignment horizontal="left"/>
    </xf>
    <xf numFmtId="0" fontId="5" fillId="0" borderId="3" xfId="0" applyNumberFormat="1" applyFont="1" applyFill="1" applyBorder="1" applyAlignment="1">
      <alignment horizontal="center"/>
    </xf>
    <xf numFmtId="3" fontId="7" fillId="0" borderId="3" xfId="0" applyNumberFormat="1" applyFont="1" applyBorder="1" applyAlignment="1">
      <alignment horizontal="right"/>
    </xf>
    <xf numFmtId="0" fontId="3" fillId="0" borderId="1" xfId="0" applyFont="1" applyFill="1" applyBorder="1"/>
    <xf numFmtId="0" fontId="3" fillId="0" borderId="1" xfId="0" applyNumberFormat="1" applyFont="1" applyBorder="1" applyAlignment="1">
      <alignment horizontal="center"/>
    </xf>
    <xf numFmtId="3" fontId="59" fillId="0" borderId="1" xfId="0" applyNumberFormat="1" applyFont="1" applyBorder="1" applyAlignment="1">
      <alignment horizontal="right"/>
    </xf>
    <xf numFmtId="0" fontId="3" fillId="0" borderId="0" xfId="0" applyNumberFormat="1" applyFont="1" applyFill="1" applyAlignment="1">
      <alignment horizontal="right"/>
    </xf>
    <xf numFmtId="0" fontId="3" fillId="0" borderId="1" xfId="0" applyFont="1" applyBorder="1" applyAlignment="1">
      <alignment horizontal="left"/>
    </xf>
    <xf numFmtId="0" fontId="3" fillId="0" borderId="1" xfId="0" applyFont="1" applyBorder="1" applyAlignment="1">
      <alignment horizontal="center"/>
    </xf>
    <xf numFmtId="0" fontId="3" fillId="0" borderId="0" xfId="0" applyFont="1" applyBorder="1"/>
    <xf numFmtId="0" fontId="5" fillId="0" borderId="3" xfId="0" applyFont="1" applyBorder="1"/>
    <xf numFmtId="0" fontId="5" fillId="0" borderId="3" xfId="0" applyFont="1" applyFill="1" applyBorder="1"/>
    <xf numFmtId="0" fontId="18" fillId="3" borderId="0" xfId="0" applyFont="1" applyFill="1" applyAlignment="1">
      <alignment horizontal="left"/>
    </xf>
    <xf numFmtId="0" fontId="18" fillId="3" borderId="0" xfId="0" applyFont="1" applyFill="1" applyAlignment="1">
      <alignment/>
    </xf>
    <xf numFmtId="0" fontId="3" fillId="3" borderId="0" xfId="0" applyNumberFormat="1" applyFont="1" applyFill="1" applyAlignment="1">
      <alignment horizontal="left"/>
    </xf>
    <xf numFmtId="0" fontId="5" fillId="3" borderId="0" xfId="0" applyFont="1" applyFill="1" applyAlignment="1">
      <alignment/>
    </xf>
    <xf numFmtId="0" fontId="3" fillId="3" borderId="0" xfId="0" applyNumberFormat="1" applyFont="1" applyFill="1" applyAlignment="1">
      <alignment horizontal="center"/>
    </xf>
    <xf numFmtId="0" fontId="5" fillId="0" borderId="1" xfId="0" applyFont="1" applyFill="1" applyBorder="1" applyAlignment="1">
      <alignment/>
    </xf>
    <xf numFmtId="0" fontId="5" fillId="0" borderId="1" xfId="0" applyNumberFormat="1" applyFont="1" applyFill="1" applyBorder="1" applyAlignment="1">
      <alignment horizontal="left"/>
    </xf>
    <xf numFmtId="0" fontId="5" fillId="0" borderId="0" xfId="0" applyNumberFormat="1" applyFont="1" applyFill="1" applyBorder="1" applyAlignment="1">
      <alignment horizontal="left"/>
    </xf>
    <xf numFmtId="0" fontId="5" fillId="0" borderId="0" xfId="0" applyFont="1" applyAlignment="1">
      <alignment horizontal="right"/>
    </xf>
    <xf numFmtId="0" fontId="5" fillId="0" borderId="0" xfId="0" applyNumberFormat="1" applyFont="1" applyAlignment="1">
      <alignment horizontal="right"/>
    </xf>
    <xf numFmtId="0" fontId="3" fillId="0" borderId="2" xfId="0" applyNumberFormat="1" applyFont="1" applyBorder="1" applyAlignment="1">
      <alignment horizontal="left"/>
    </xf>
    <xf numFmtId="0" fontId="3" fillId="0" borderId="2" xfId="0" applyNumberFormat="1" applyFont="1" applyBorder="1" applyAlignment="1">
      <alignment horizontal="center"/>
    </xf>
    <xf numFmtId="0" fontId="3" fillId="0" borderId="2" xfId="0" applyFont="1" applyBorder="1" applyAlignment="1">
      <alignment horizontal="right"/>
    </xf>
    <xf numFmtId="0" fontId="5" fillId="0" borderId="0" xfId="0" applyNumberFormat="1" applyFont="1" applyBorder="1"/>
    <xf numFmtId="0" fontId="5" fillId="0" borderId="3" xfId="0" applyNumberFormat="1" applyFont="1" applyBorder="1" applyAlignment="1">
      <alignment horizontal="center"/>
    </xf>
    <xf numFmtId="0" fontId="5" fillId="0" borderId="0" xfId="0" applyNumberFormat="1" applyFont="1" applyFill="1"/>
    <xf numFmtId="3" fontId="7" fillId="0" borderId="0" xfId="0" applyNumberFormat="1" applyFont="1" applyBorder="1" applyAlignment="1">
      <alignment horizontal="right"/>
    </xf>
    <xf numFmtId="0" fontId="52" fillId="0" borderId="5" xfId="0" applyNumberFormat="1" applyFont="1" applyBorder="1" applyAlignment="1">
      <alignment horizontal="center"/>
    </xf>
    <xf numFmtId="0" fontId="13" fillId="0" borderId="5" xfId="0" applyNumberFormat="1" applyFont="1" applyFill="1" applyBorder="1" applyAlignment="1">
      <alignment/>
    </xf>
    <xf numFmtId="0" fontId="13" fillId="0" borderId="5" xfId="0" applyFont="1" applyFill="1" applyBorder="1" applyAlignment="1">
      <alignment/>
    </xf>
    <xf numFmtId="3" fontId="13" fillId="0" borderId="5" xfId="0" applyNumberFormat="1" applyFont="1" applyBorder="1" applyAlignment="1">
      <alignment horizontal="center"/>
    </xf>
    <xf numFmtId="0" fontId="52" fillId="0" borderId="5" xfId="0" applyFont="1" applyBorder="1" applyAlignment="1">
      <alignment/>
    </xf>
    <xf numFmtId="0" fontId="52" fillId="0" borderId="0" xfId="0" applyNumberFormat="1" applyFont="1" applyBorder="1" applyAlignment="1">
      <alignment horizontal="center"/>
    </xf>
    <xf numFmtId="0" fontId="13" fillId="0" borderId="0" xfId="0" applyNumberFormat="1" applyFont="1" applyFill="1" applyBorder="1" applyAlignment="1">
      <alignment/>
    </xf>
    <xf numFmtId="0" fontId="13" fillId="0" borderId="0" xfId="0" applyFont="1" applyFill="1" applyBorder="1" applyAlignment="1">
      <alignment/>
    </xf>
    <xf numFmtId="3" fontId="13" fillId="0" borderId="0" xfId="0" applyNumberFormat="1" applyFont="1" applyBorder="1" applyAlignment="1">
      <alignment horizontal="center"/>
    </xf>
    <xf numFmtId="0" fontId="52" fillId="0" borderId="0" xfId="0" applyFont="1" applyBorder="1" applyAlignment="1">
      <alignment/>
    </xf>
    <xf numFmtId="0" fontId="13" fillId="0" borderId="3" xfId="0" applyFont="1" applyFill="1" applyBorder="1" applyAlignment="1">
      <alignment/>
    </xf>
    <xf numFmtId="3" fontId="13" fillId="0" borderId="0" xfId="0" applyNumberFormat="1" applyFont="1" applyFill="1" applyBorder="1" applyAlignment="1">
      <alignment horizontal="center"/>
    </xf>
    <xf numFmtId="3" fontId="13" fillId="0" borderId="3" xfId="0" applyNumberFormat="1" applyFont="1" applyBorder="1" applyAlignment="1">
      <alignment horizontal="center"/>
    </xf>
    <xf numFmtId="0" fontId="60" fillId="0" borderId="0" xfId="0" applyFont="1" applyFill="1" applyAlignment="1">
      <alignment/>
    </xf>
    <xf numFmtId="0" fontId="8" fillId="0" borderId="0" xfId="0" applyFont="1" applyFill="1" applyBorder="1" applyAlignment="1">
      <alignment horizontal="center"/>
    </xf>
    <xf numFmtId="37" fontId="5" fillId="0" borderId="0" xfId="0" applyNumberFormat="1" applyFont="1" applyBorder="1" applyAlignment="1">
      <alignment horizontal="left"/>
    </xf>
    <xf numFmtId="0" fontId="8" fillId="0" borderId="0" xfId="0" applyFont="1" applyBorder="1" applyAlignment="1">
      <alignment horizontal="center"/>
    </xf>
    <xf numFmtId="37" fontId="5" fillId="0" borderId="0" xfId="0" applyNumberFormat="1" applyFont="1" applyFill="1" applyBorder="1" applyAlignment="1">
      <alignment horizontal="left"/>
    </xf>
    <xf numFmtId="171" fontId="5" fillId="0" borderId="0" xfId="21" applyFont="1" applyFill="1" applyAlignment="1" applyProtection="1">
      <alignment/>
      <protection locked="0"/>
    </xf>
    <xf numFmtId="0" fontId="5" fillId="3" borderId="0" xfId="0" applyNumberFormat="1" applyFont="1" applyFill="1" applyAlignment="1">
      <alignment horizontal="center"/>
    </xf>
    <xf numFmtId="3" fontId="3" fillId="0" borderId="0" xfId="0" applyNumberFormat="1" applyFont="1" applyAlignment="1">
      <alignment horizontal="center"/>
    </xf>
    <xf numFmtId="164" fontId="0" fillId="0" borderId="0" xfId="18" applyNumberFormat="1"/>
    <xf numFmtId="164" fontId="0" fillId="0" borderId="0" xfId="18" applyNumberFormat="1" applyFill="1"/>
    <xf numFmtId="174" fontId="0" fillId="0" borderId="0" xfId="15" applyNumberFormat="1"/>
    <xf numFmtId="0" fontId="10" fillId="0" borderId="0" xfId="0" applyFont="1" applyFill="1" applyAlignment="1">
      <alignment/>
    </xf>
    <xf numFmtId="0" fontId="0" fillId="0" borderId="0" xfId="0" applyFill="1" applyAlignment="1">
      <alignment/>
    </xf>
    <xf numFmtId="0" fontId="29" fillId="0" borderId="16" xfId="0" applyFont="1" applyFill="1" applyBorder="1"/>
    <xf numFmtId="0" fontId="29" fillId="0" borderId="14" xfId="0" applyFont="1" applyBorder="1"/>
    <xf numFmtId="0" fontId="29" fillId="2" borderId="6" xfId="0" applyFont="1" applyFill="1" applyBorder="1" applyAlignment="1">
      <alignment horizontal="center"/>
    </xf>
    <xf numFmtId="0" fontId="0" fillId="0" borderId="0" xfId="0" applyBorder="1" applyAlignment="1">
      <alignment horizontal="center"/>
    </xf>
    <xf numFmtId="0" fontId="0" fillId="0" borderId="7" xfId="0" applyBorder="1" applyAlignment="1">
      <alignment horizontal="center"/>
    </xf>
    <xf numFmtId="0" fontId="33" fillId="2" borderId="6" xfId="0" applyFont="1" applyFill="1" applyBorder="1" applyAlignment="1">
      <alignment horizontal="center"/>
    </xf>
    <xf numFmtId="0" fontId="29" fillId="0" borderId="0" xfId="0" applyFont="1" applyBorder="1" applyAlignment="1">
      <alignment horizontal="center" wrapText="1"/>
    </xf>
    <xf numFmtId="164" fontId="29" fillId="2" borderId="6" xfId="18" applyNumberFormat="1" applyFont="1" applyFill="1" applyBorder="1"/>
    <xf numFmtId="0" fontId="33" fillId="0" borderId="0" xfId="0" applyFont="1" applyFill="1" applyBorder="1" applyAlignment="1">
      <alignment horizontal="center"/>
    </xf>
    <xf numFmtId="0" fontId="33" fillId="0" borderId="7" xfId="0" applyFont="1" applyFill="1" applyBorder="1" applyAlignment="1">
      <alignment horizontal="center"/>
    </xf>
    <xf numFmtId="164" fontId="0" fillId="0" borderId="0" xfId="18" applyNumberFormat="1" applyFill="1" applyBorder="1"/>
    <xf numFmtId="0" fontId="53" fillId="0" borderId="0" xfId="0" applyFont="1" applyFill="1" applyBorder="1"/>
    <xf numFmtId="3" fontId="29" fillId="0" borderId="0" xfId="0" applyNumberFormat="1" applyFont="1" applyFill="1" applyBorder="1" applyAlignment="1">
      <alignment horizontal="center"/>
    </xf>
    <xf numFmtId="3" fontId="3" fillId="0" borderId="5" xfId="0" applyNumberFormat="1" applyFont="1" applyBorder="1" applyAlignment="1">
      <alignment/>
    </xf>
    <xf numFmtId="37" fontId="0" fillId="0" borderId="0" xfId="0" applyNumberFormat="1" applyAlignment="1">
      <alignment horizontal="right"/>
    </xf>
    <xf numFmtId="0" fontId="2" fillId="0" borderId="0" xfId="0" applyFont="1" applyFill="1"/>
    <xf numFmtId="164" fontId="0" fillId="0" borderId="3" xfId="0" applyNumberFormat="1" applyBorder="1" applyAlignment="1">
      <alignment horizontal="right"/>
    </xf>
    <xf numFmtId="166" fontId="5" fillId="0" borderId="0" xfId="0" applyNumberFormat="1" applyFont="1" applyFill="1" applyAlignment="1">
      <alignment/>
    </xf>
    <xf numFmtId="173" fontId="5" fillId="0" borderId="0" xfId="18" applyNumberFormat="1" applyFont="1" applyFill="1" applyBorder="1" applyAlignment="1">
      <alignment/>
    </xf>
    <xf numFmtId="166" fontId="5" fillId="0" borderId="3" xfId="0" applyNumberFormat="1" applyFont="1" applyFill="1" applyBorder="1" applyAlignment="1">
      <alignment/>
    </xf>
    <xf numFmtId="166" fontId="3" fillId="0" borderId="0" xfId="0" applyNumberFormat="1" applyFont="1" applyFill="1" applyAlignment="1">
      <alignment/>
    </xf>
    <xf numFmtId="3" fontId="3" fillId="0" borderId="2" xfId="0" applyNumberFormat="1" applyFont="1" applyFill="1" applyBorder="1" applyAlignment="1">
      <alignment/>
    </xf>
    <xf numFmtId="174" fontId="3" fillId="0" borderId="0" xfId="15" applyNumberFormat="1" applyFont="1" applyFill="1" applyAlignment="1">
      <alignment/>
    </xf>
    <xf numFmtId="172" fontId="5" fillId="0" borderId="0" xfId="0" applyNumberFormat="1" applyFont="1" applyFill="1" applyAlignment="1">
      <alignment/>
    </xf>
    <xf numFmtId="10" fontId="11" fillId="0" borderId="0" xfId="0" applyNumberFormat="1" applyFont="1" applyFill="1"/>
    <xf numFmtId="0" fontId="0" fillId="0" borderId="0" xfId="0" applyFont="1" applyAlignment="1">
      <alignment horizontal="center"/>
    </xf>
    <xf numFmtId="0" fontId="0" fillId="0" borderId="0" xfId="0" applyAlignment="1">
      <alignment horizontal="center" vertical="top"/>
    </xf>
    <xf numFmtId="0" fontId="0" fillId="0" borderId="0" xfId="0" applyFont="1" applyAlignment="1">
      <alignment horizontal="left" wrapText="1"/>
    </xf>
    <xf numFmtId="164" fontId="0" fillId="2" borderId="3" xfId="18" applyNumberFormat="1" applyFont="1" applyFill="1" applyBorder="1" applyAlignment="1">
      <alignment/>
    </xf>
    <xf numFmtId="0" fontId="61" fillId="0" borderId="0" xfId="0" applyFont="1"/>
    <xf numFmtId="0" fontId="0" fillId="0" borderId="0" xfId="0" applyFont="1" applyFill="1" applyAlignment="1">
      <alignment wrapText="1"/>
    </xf>
    <xf numFmtId="0" fontId="0" fillId="0" borderId="0" xfId="0" applyFont="1" applyFill="1" applyAlignment="1">
      <alignment vertical="center" wrapText="1"/>
    </xf>
    <xf numFmtId="0" fontId="0" fillId="0" borderId="0" xfId="0" applyFont="1" applyFill="1" applyAlignment="1">
      <alignment/>
    </xf>
    <xf numFmtId="0" fontId="0" fillId="0" borderId="0" xfId="0" applyFill="1" applyAlignment="1">
      <alignment horizontal="center" vertical="top"/>
    </xf>
    <xf numFmtId="0" fontId="0" fillId="0" borderId="0" xfId="0" applyFont="1" applyFill="1" applyAlignment="1">
      <alignment horizontal="center" vertical="top"/>
    </xf>
    <xf numFmtId="164" fontId="0" fillId="0" borderId="0" xfId="18" applyNumberFormat="1" applyFill="1" applyAlignment="1">
      <alignment/>
    </xf>
    <xf numFmtId="164" fontId="19" fillId="0" borderId="0" xfId="18" applyNumberFormat="1" applyFont="1" applyFill="1" applyAlignment="1">
      <alignment vertical="center" wrapText="1"/>
    </xf>
    <xf numFmtId="164" fontId="0" fillId="2" borderId="0" xfId="18" applyNumberFormat="1" applyFont="1" applyFill="1" applyAlignment="1">
      <alignment/>
    </xf>
    <xf numFmtId="0" fontId="49" fillId="0" borderId="0" xfId="0" applyFont="1" applyAlignment="1">
      <alignment/>
    </xf>
    <xf numFmtId="0" fontId="49" fillId="0" borderId="0" xfId="0" applyFont="1" applyAlignment="1">
      <alignment horizontal="center" vertical="top"/>
    </xf>
    <xf numFmtId="0" fontId="52" fillId="0" borderId="3" xfId="0" applyFont="1" applyBorder="1" applyAlignment="1">
      <alignment/>
    </xf>
    <xf numFmtId="43" fontId="29" fillId="2" borderId="6" xfId="18" applyNumberFormat="1" applyFont="1" applyFill="1" applyBorder="1"/>
    <xf numFmtId="0" fontId="0" fillId="0" borderId="7" xfId="0" applyBorder="1" applyAlignment="1">
      <alignment wrapText="1"/>
    </xf>
    <xf numFmtId="37" fontId="3" fillId="0" borderId="0" xfId="0" applyNumberFormat="1" applyFont="1" applyBorder="1" applyAlignment="1">
      <alignment horizontal="center"/>
    </xf>
    <xf numFmtId="0" fontId="3" fillId="0" borderId="2" xfId="0" applyFont="1" applyFill="1" applyBorder="1"/>
    <xf numFmtId="3" fontId="5" fillId="0" borderId="2" xfId="0" applyNumberFormat="1" applyFont="1" applyFill="1" applyBorder="1" applyAlignment="1">
      <alignment/>
    </xf>
    <xf numFmtId="0" fontId="17" fillId="0" borderId="0" xfId="0" applyFont="1" applyFill="1" applyBorder="1" applyAlignment="1">
      <alignment horizontal="center"/>
    </xf>
    <xf numFmtId="0" fontId="5" fillId="0" borderId="0" xfId="0" applyFont="1" applyFill="1" applyAlignment="1">
      <alignment horizontal="center"/>
    </xf>
    <xf numFmtId="0" fontId="9" fillId="0" borderId="0" xfId="0" applyNumberFormat="1" applyFont="1" applyFill="1" applyAlignment="1">
      <alignment horizontal="center"/>
    </xf>
    <xf numFmtId="0" fontId="27" fillId="0" borderId="0" xfId="0" applyFont="1" applyFill="1" applyAlignment="1">
      <alignment horizontal="left"/>
    </xf>
    <xf numFmtId="0" fontId="13" fillId="0" borderId="4" xfId="0" applyNumberFormat="1" applyFont="1" applyFill="1" applyBorder="1" applyAlignment="1">
      <alignment horizontal="center"/>
    </xf>
    <xf numFmtId="0" fontId="0" fillId="0" borderId="8" xfId="0" applyFill="1" applyBorder="1"/>
    <xf numFmtId="0" fontId="0" fillId="0" borderId="9" xfId="0" applyFill="1" applyBorder="1"/>
    <xf numFmtId="0" fontId="0" fillId="0" borderId="10" xfId="0" applyFill="1" applyBorder="1"/>
    <xf numFmtId="0" fontId="29" fillId="0" borderId="9" xfId="0" applyFont="1" applyFill="1" applyBorder="1"/>
    <xf numFmtId="0" fontId="8" fillId="6" borderId="14" xfId="0" applyFont="1" applyFill="1" applyBorder="1" applyAlignment="1">
      <alignment horizontal="center" wrapText="1"/>
    </xf>
    <xf numFmtId="0" fontId="33" fillId="0" borderId="14" xfId="0" applyFont="1" applyBorder="1" applyAlignment="1">
      <alignment horizontal="center" wrapText="1"/>
    </xf>
    <xf numFmtId="0" fontId="62" fillId="0" borderId="0" xfId="0" applyFont="1"/>
    <xf numFmtId="0" fontId="49" fillId="8" borderId="0" xfId="0" applyFont="1" applyFill="1"/>
    <xf numFmtId="0" fontId="2" fillId="0" borderId="0" xfId="0" applyFont="1" applyAlignment="1">
      <alignment horizontal="centerContinuous"/>
    </xf>
    <xf numFmtId="0" fontId="0" fillId="0" borderId="0" xfId="0" applyAlignment="1">
      <alignment horizontal="centerContinuous"/>
    </xf>
    <xf numFmtId="0" fontId="54" fillId="0" borderId="0" xfId="0" applyFont="1"/>
    <xf numFmtId="0" fontId="54" fillId="0" borderId="0" xfId="0" applyFont="1" applyAlignment="1">
      <alignment horizontal="center"/>
    </xf>
    <xf numFmtId="0" fontId="0" fillId="0" borderId="0" xfId="0" applyAlignment="1" quotePrefix="1">
      <alignment horizontal="center"/>
    </xf>
    <xf numFmtId="6" fontId="0" fillId="0" borderId="0" xfId="0" applyNumberFormat="1"/>
    <xf numFmtId="6" fontId="0" fillId="0" borderId="3" xfId="0" applyNumberFormat="1" applyBorder="1"/>
    <xf numFmtId="0" fontId="2" fillId="0" borderId="0" xfId="0" applyFont="1" applyAlignment="1">
      <alignment horizontal="right"/>
    </xf>
    <xf numFmtId="6" fontId="2" fillId="0" borderId="20" xfId="0" applyNumberFormat="1" applyFont="1" applyBorder="1"/>
    <xf numFmtId="17" fontId="0" fillId="0" borderId="0" xfId="0" applyNumberFormat="1" applyAlignment="1" quotePrefix="1">
      <alignment horizontal="center"/>
    </xf>
    <xf numFmtId="6" fontId="63" fillId="0" borderId="3" xfId="0" applyNumberFormat="1" applyFont="1" applyBorder="1"/>
    <xf numFmtId="17" fontId="4" fillId="0" borderId="0" xfId="0" applyNumberFormat="1" applyFont="1" applyAlignment="1" quotePrefix="1">
      <alignment horizontal="center"/>
    </xf>
    <xf numFmtId="0" fontId="64" fillId="0" borderId="0" xfId="0" applyFont="1" applyAlignment="1">
      <alignment horizontal="right"/>
    </xf>
    <xf numFmtId="6" fontId="63" fillId="0" borderId="0" xfId="0" applyNumberFormat="1" applyFont="1" applyBorder="1"/>
    <xf numFmtId="6" fontId="4" fillId="0" borderId="0" xfId="0" applyNumberFormat="1" applyFont="1" applyBorder="1"/>
    <xf numFmtId="17" fontId="63" fillId="0" borderId="0" xfId="0" applyNumberFormat="1" applyFont="1" applyAlignment="1" quotePrefix="1">
      <alignment horizontal="center"/>
    </xf>
    <xf numFmtId="0" fontId="63" fillId="0" borderId="0" xfId="0" applyFont="1"/>
    <xf numFmtId="6" fontId="63" fillId="0" borderId="0" xfId="0" applyNumberFormat="1" applyFont="1"/>
    <xf numFmtId="0" fontId="0" fillId="8" borderId="0" xfId="0" applyFill="1"/>
    <xf numFmtId="6" fontId="0" fillId="8" borderId="0" xfId="0" applyNumberFormat="1" applyFill="1"/>
    <xf numFmtId="164" fontId="4" fillId="2" borderId="0" xfId="18" applyNumberFormat="1" applyFont="1" applyFill="1" applyBorder="1" applyAlignment="1">
      <alignment/>
    </xf>
    <xf numFmtId="43" fontId="0" fillId="0" borderId="0" xfId="18" applyNumberFormat="1" applyFill="1" applyAlignment="1">
      <alignment horizontal="right"/>
    </xf>
    <xf numFmtId="0" fontId="47" fillId="0" borderId="0" xfId="0" applyFont="1" applyFill="1"/>
    <xf numFmtId="0" fontId="47" fillId="0" borderId="0" xfId="0" applyFont="1" applyFill="1" applyAlignment="1">
      <alignment/>
    </xf>
    <xf numFmtId="3" fontId="66" fillId="0" borderId="0" xfId="0" applyNumberFormat="1" applyFont="1" applyFill="1" applyBorder="1" applyAlignment="1">
      <alignment horizontal="center"/>
    </xf>
    <xf numFmtId="0" fontId="29" fillId="0" borderId="0" xfId="0" applyFont="1" applyFill="1" applyBorder="1" applyAlignment="1">
      <alignment horizontal="left" wrapText="1"/>
    </xf>
    <xf numFmtId="0" fontId="29" fillId="0" borderId="7" xfId="0" applyFont="1" applyFill="1" applyBorder="1" applyAlignment="1">
      <alignment horizontal="left" wrapText="1"/>
    </xf>
    <xf numFmtId="37" fontId="3" fillId="0" borderId="0" xfId="0" applyNumberFormat="1" applyFont="1" applyFill="1" applyBorder="1" applyAlignment="1">
      <alignment horizontal="right"/>
    </xf>
    <xf numFmtId="0" fontId="5" fillId="0" borderId="0" xfId="0" applyNumberFormat="1" applyFont="1" applyFill="1" applyAlignment="1">
      <alignment/>
    </xf>
    <xf numFmtId="3" fontId="5" fillId="0" borderId="0" xfId="0" applyNumberFormat="1" applyFont="1" applyFill="1" applyAlignment="1">
      <alignment/>
    </xf>
    <xf numFmtId="164" fontId="4" fillId="2" borderId="0" xfId="18" applyNumberFormat="1" applyFont="1" applyFill="1"/>
    <xf numFmtId="3" fontId="5" fillId="2" borderId="0" xfId="0" applyNumberFormat="1" applyFont="1" applyFill="1" applyAlignment="1">
      <alignment/>
    </xf>
    <xf numFmtId="0" fontId="28" fillId="0" borderId="0" xfId="0" applyFont="1" applyBorder="1" applyAlignment="1">
      <alignment horizontal="center"/>
    </xf>
    <xf numFmtId="0" fontId="67" fillId="0" borderId="0" xfId="0" applyFont="1"/>
    <xf numFmtId="3" fontId="68" fillId="0" borderId="0" xfId="0" applyNumberFormat="1" applyFont="1" applyBorder="1" applyAlignment="1">
      <alignment horizontal="center"/>
    </xf>
    <xf numFmtId="0" fontId="68" fillId="0" borderId="6" xfId="0" applyFont="1" applyFill="1" applyBorder="1" applyAlignment="1">
      <alignment horizontal="right"/>
    </xf>
    <xf numFmtId="0" fontId="68" fillId="0" borderId="0" xfId="0" applyFont="1" applyFill="1" applyBorder="1"/>
    <xf numFmtId="0" fontId="68" fillId="7" borderId="6" xfId="0" applyFont="1" applyFill="1" applyBorder="1" applyAlignment="1">
      <alignment horizontal="center"/>
    </xf>
    <xf numFmtId="0" fontId="68" fillId="7" borderId="0" xfId="0" applyFont="1" applyFill="1" applyBorder="1" applyAlignment="1">
      <alignment horizontal="center"/>
    </xf>
    <xf numFmtId="0" fontId="68" fillId="0" borderId="6" xfId="0" applyFont="1" applyFill="1" applyBorder="1"/>
    <xf numFmtId="0" fontId="69" fillId="3" borderId="0" xfId="0" applyFont="1" applyFill="1" applyBorder="1" applyAlignment="1">
      <alignment horizontal="center"/>
    </xf>
    <xf numFmtId="3" fontId="5" fillId="0" borderId="0" xfId="0" applyNumberFormat="1" applyFont="1" applyAlignment="1">
      <alignment/>
    </xf>
    <xf numFmtId="3" fontId="5" fillId="2" borderId="3" xfId="0" applyNumberFormat="1" applyFont="1" applyFill="1" applyBorder="1" applyAlignment="1">
      <alignment/>
    </xf>
    <xf numFmtId="3" fontId="5" fillId="2" borderId="0" xfId="0" applyNumberFormat="1" applyFont="1" applyFill="1" applyBorder="1" applyAlignment="1">
      <alignment/>
    </xf>
    <xf numFmtId="0" fontId="71" fillId="0" borderId="0" xfId="0" applyFont="1" applyFill="1"/>
    <xf numFmtId="3" fontId="71" fillId="0" borderId="0" xfId="0" applyNumberFormat="1" applyFont="1" applyAlignment="1">
      <alignment/>
    </xf>
    <xf numFmtId="174" fontId="70" fillId="0" borderId="0" xfId="15" applyNumberFormat="1" applyFont="1" applyAlignment="1">
      <alignment/>
    </xf>
    <xf numFmtId="0" fontId="71" fillId="0" borderId="0" xfId="0" applyFont="1"/>
    <xf numFmtId="3" fontId="71" fillId="0" borderId="0" xfId="0" applyNumberFormat="1" applyFont="1" applyFill="1" applyAlignment="1">
      <alignment/>
    </xf>
    <xf numFmtId="3" fontId="71" fillId="0" borderId="0" xfId="0" applyNumberFormat="1" applyFont="1"/>
    <xf numFmtId="0" fontId="71" fillId="3" borderId="0" xfId="0" applyFont="1" applyFill="1" applyBorder="1" applyAlignment="1">
      <alignment horizontal="center" wrapText="1"/>
    </xf>
    <xf numFmtId="0" fontId="71" fillId="0" borderId="0" xfId="0" applyFont="1" applyFill="1" applyBorder="1" applyAlignment="1">
      <alignment horizontal="center" wrapText="1"/>
    </xf>
    <xf numFmtId="3" fontId="71" fillId="0" borderId="0" xfId="0" applyNumberFormat="1" applyFont="1" applyBorder="1" applyAlignment="1">
      <alignment/>
    </xf>
    <xf numFmtId="0" fontId="71" fillId="3" borderId="0" xfId="0" applyFont="1" applyFill="1"/>
    <xf numFmtId="10" fontId="71" fillId="0" borderId="0" xfId="0" applyNumberFormat="1" applyFont="1" applyFill="1" applyAlignment="1">
      <alignment horizontal="right"/>
    </xf>
    <xf numFmtId="3" fontId="71" fillId="0" borderId="0" xfId="0" applyNumberFormat="1" applyFont="1" applyFill="1" applyBorder="1" applyAlignment="1">
      <alignment horizontal="right"/>
    </xf>
    <xf numFmtId="174" fontId="71" fillId="0" borderId="0" xfId="0" applyNumberFormat="1" applyFont="1" applyAlignment="1">
      <alignment horizontal="right"/>
    </xf>
    <xf numFmtId="3" fontId="71" fillId="0" borderId="0" xfId="0" applyNumberFormat="1" applyFont="1" applyFill="1" applyAlignment="1">
      <alignment horizontal="right"/>
    </xf>
    <xf numFmtId="3" fontId="70" fillId="0" borderId="0" xfId="0" applyNumberFormat="1" applyFont="1" applyBorder="1" applyAlignment="1">
      <alignment horizontal="right"/>
    </xf>
    <xf numFmtId="3" fontId="71" fillId="0" borderId="0" xfId="0" applyNumberFormat="1" applyFont="1" applyFill="1" applyBorder="1" applyAlignment="1">
      <alignment/>
    </xf>
    <xf numFmtId="174" fontId="71" fillId="0" borderId="0" xfId="0" applyNumberFormat="1" applyFont="1" applyFill="1" applyAlignment="1">
      <alignment horizontal="right"/>
    </xf>
    <xf numFmtId="3" fontId="71" fillId="0" borderId="0" xfId="0" applyNumberFormat="1" applyFont="1" applyAlignment="1">
      <alignment horizontal="right"/>
    </xf>
    <xf numFmtId="3" fontId="71" fillId="0" borderId="0" xfId="0" applyNumberFormat="1" applyFont="1" applyBorder="1" applyAlignment="1">
      <alignment horizontal="right"/>
    </xf>
    <xf numFmtId="3" fontId="71" fillId="0" borderId="0" xfId="0" applyNumberFormat="1" applyFont="1" applyAlignment="1">
      <alignment horizontal="center"/>
    </xf>
    <xf numFmtId="166" fontId="71" fillId="0" borderId="0" xfId="0" applyNumberFormat="1" applyFont="1" applyAlignment="1">
      <alignment/>
    </xf>
    <xf numFmtId="0" fontId="71" fillId="0" borderId="0" xfId="0" applyFont="1" applyAlignment="1">
      <alignment/>
    </xf>
    <xf numFmtId="166" fontId="70" fillId="0" borderId="0" xfId="0" applyNumberFormat="1" applyFont="1" applyAlignment="1">
      <alignment/>
    </xf>
    <xf numFmtId="10" fontId="71" fillId="0" borderId="0" xfId="15" applyNumberFormat="1" applyFont="1" applyAlignment="1">
      <alignment/>
    </xf>
    <xf numFmtId="10" fontId="70" fillId="0" borderId="0" xfId="0" applyNumberFormat="1" applyFont="1" applyFill="1" applyAlignment="1">
      <alignment horizontal="right"/>
    </xf>
    <xf numFmtId="175" fontId="71" fillId="0" borderId="0" xfId="15" applyNumberFormat="1" applyFont="1" applyFill="1" applyAlignment="1">
      <alignment horizontal="right"/>
    </xf>
    <xf numFmtId="3" fontId="72" fillId="0" borderId="0" xfId="0" applyNumberFormat="1" applyFont="1" applyBorder="1"/>
    <xf numFmtId="3" fontId="68" fillId="0" borderId="6" xfId="0" applyNumberFormat="1" applyFont="1" applyBorder="1" applyAlignment="1">
      <alignment horizontal="center"/>
    </xf>
    <xf numFmtId="0" fontId="68" fillId="7" borderId="0" xfId="0" applyFont="1" applyFill="1" applyBorder="1"/>
    <xf numFmtId="3" fontId="68" fillId="7" borderId="0" xfId="0" applyNumberFormat="1" applyFont="1" applyFill="1" applyBorder="1" applyAlignment="1">
      <alignment horizontal="center"/>
    </xf>
    <xf numFmtId="37" fontId="0" fillId="2" borderId="0" xfId="0" applyNumberFormat="1" applyFont="1" applyFill="1" applyAlignment="1">
      <alignment horizontal="right" wrapText="1"/>
    </xf>
    <xf numFmtId="164" fontId="0" fillId="2" borderId="0" xfId="18" applyNumberFormat="1" applyFont="1" applyFill="1" applyAlignment="1">
      <alignment horizontal="right"/>
    </xf>
    <xf numFmtId="0" fontId="0" fillId="2" borderId="0" xfId="0" applyFont="1" applyFill="1" applyAlignment="1">
      <alignment horizontal="left" wrapText="1"/>
    </xf>
    <xf numFmtId="0" fontId="0" fillId="2" borderId="0" xfId="0" applyFont="1" applyFill="1"/>
    <xf numFmtId="3" fontId="5" fillId="2" borderId="1" xfId="0" applyNumberFormat="1" applyFont="1" applyFill="1" applyBorder="1" applyAlignment="1">
      <alignment/>
    </xf>
    <xf numFmtId="3" fontId="5" fillId="0" borderId="1" xfId="0" applyNumberFormat="1" applyFont="1" applyBorder="1" applyAlignment="1">
      <alignment/>
    </xf>
    <xf numFmtId="174" fontId="3" fillId="0" borderId="2" xfId="15" applyNumberFormat="1" applyFont="1" applyBorder="1" applyAlignment="1">
      <alignment/>
    </xf>
    <xf numFmtId="3" fontId="5" fillId="0" borderId="1" xfId="0" applyNumberFormat="1" applyFont="1" applyFill="1" applyBorder="1" applyAlignment="1">
      <alignment/>
    </xf>
    <xf numFmtId="3" fontId="5" fillId="0" borderId="0" xfId="0" applyNumberFormat="1" applyFont="1"/>
    <xf numFmtId="3" fontId="3" fillId="0" borderId="1" xfId="0" applyNumberFormat="1" applyFont="1" applyFill="1" applyBorder="1" applyAlignment="1">
      <alignment/>
    </xf>
    <xf numFmtId="3" fontId="3" fillId="0" borderId="1" xfId="0" applyNumberFormat="1" applyFont="1" applyBorder="1" applyAlignment="1">
      <alignment/>
    </xf>
    <xf numFmtId="175" fontId="5" fillId="0" borderId="0" xfId="15" applyNumberFormat="1" applyFont="1" applyAlignment="1">
      <alignment/>
    </xf>
    <xf numFmtId="3" fontId="3" fillId="0" borderId="2" xfId="0" applyNumberFormat="1" applyFont="1" applyBorder="1"/>
    <xf numFmtId="3" fontId="5" fillId="0" borderId="3" xfId="0" applyNumberFormat="1" applyFont="1" applyFill="1" applyBorder="1" applyAlignment="1">
      <alignment/>
    </xf>
    <xf numFmtId="3" fontId="5" fillId="0" borderId="0" xfId="0" applyNumberFormat="1" applyFont="1" applyBorder="1" applyAlignment="1">
      <alignment/>
    </xf>
    <xf numFmtId="175" fontId="5" fillId="0" borderId="0" xfId="15" applyNumberFormat="1" applyFont="1" applyBorder="1" applyAlignment="1">
      <alignment/>
    </xf>
    <xf numFmtId="10" fontId="5" fillId="0" borderId="0" xfId="0" applyNumberFormat="1" applyFont="1" applyFill="1" applyAlignment="1">
      <alignment horizontal="right"/>
    </xf>
    <xf numFmtId="3" fontId="3" fillId="0" borderId="1" xfId="0" applyNumberFormat="1" applyFont="1" applyFill="1" applyBorder="1" applyAlignment="1">
      <alignment horizontal="right"/>
    </xf>
    <xf numFmtId="3" fontId="3" fillId="0" borderId="1" xfId="0" applyNumberFormat="1" applyFont="1" applyBorder="1" applyAlignment="1">
      <alignment horizontal="right"/>
    </xf>
    <xf numFmtId="3" fontId="5" fillId="0" borderId="1" xfId="0" applyNumberFormat="1" applyFont="1" applyBorder="1" applyAlignment="1">
      <alignment horizontal="right"/>
    </xf>
    <xf numFmtId="3" fontId="3" fillId="0" borderId="1" xfId="0" applyNumberFormat="1" applyFont="1" applyBorder="1"/>
    <xf numFmtId="3" fontId="5" fillId="0" borderId="0" xfId="0" applyNumberFormat="1" applyFont="1" applyFill="1" applyAlignment="1">
      <alignment horizontal="right"/>
    </xf>
    <xf numFmtId="172" fontId="5" fillId="0" borderId="0" xfId="15" applyNumberFormat="1" applyFont="1" applyAlignment="1">
      <alignment horizontal="right"/>
    </xf>
    <xf numFmtId="3" fontId="5" fillId="2" borderId="0" xfId="0" applyNumberFormat="1" applyFont="1" applyFill="1" applyAlignment="1">
      <alignment horizontal="right"/>
    </xf>
    <xf numFmtId="174" fontId="5" fillId="0" borderId="0" xfId="0" applyNumberFormat="1" applyFont="1" applyAlignment="1">
      <alignment horizontal="right"/>
    </xf>
    <xf numFmtId="3" fontId="3" fillId="0" borderId="0" xfId="0" applyNumberFormat="1" applyFont="1" applyFill="1" applyAlignment="1">
      <alignment horizontal="right"/>
    </xf>
    <xf numFmtId="3" fontId="5" fillId="0" borderId="14" xfId="0" applyNumberFormat="1" applyFont="1" applyFill="1" applyBorder="1" applyAlignment="1">
      <alignment horizontal="right"/>
    </xf>
    <xf numFmtId="10" fontId="5" fillId="0" borderId="0" xfId="0" applyNumberFormat="1" applyFont="1" applyAlignment="1">
      <alignment horizontal="right"/>
    </xf>
    <xf numFmtId="174" fontId="5" fillId="0" borderId="3" xfId="0" applyNumberFormat="1" applyFont="1" applyBorder="1" applyAlignment="1">
      <alignment horizontal="right"/>
    </xf>
    <xf numFmtId="3" fontId="3" fillId="0" borderId="0" xfId="0" applyNumberFormat="1" applyFont="1" applyBorder="1" applyAlignment="1">
      <alignment horizontal="right"/>
    </xf>
    <xf numFmtId="3" fontId="3" fillId="0" borderId="2" xfId="0" applyNumberFormat="1" applyFont="1" applyBorder="1" applyAlignment="1">
      <alignment horizontal="right"/>
    </xf>
    <xf numFmtId="164" fontId="3" fillId="2" borderId="0" xfId="18" applyNumberFormat="1" applyFont="1" applyFill="1"/>
    <xf numFmtId="172" fontId="5" fillId="0" borderId="0" xfId="0" applyNumberFormat="1" applyFont="1" applyAlignment="1">
      <alignment/>
    </xf>
    <xf numFmtId="166" fontId="5" fillId="0" borderId="0" xfId="0" applyNumberFormat="1" applyFont="1" applyAlignment="1">
      <alignment/>
    </xf>
    <xf numFmtId="168" fontId="5" fillId="2" borderId="0" xfId="0" applyNumberFormat="1" applyFont="1" applyFill="1" applyBorder="1" applyAlignment="1">
      <alignment/>
    </xf>
    <xf numFmtId="166" fontId="5" fillId="0" borderId="3" xfId="0" applyNumberFormat="1" applyFont="1" applyBorder="1" applyAlignment="1">
      <alignment/>
    </xf>
    <xf numFmtId="166" fontId="3" fillId="0" borderId="0" xfId="0" applyNumberFormat="1" applyFont="1" applyAlignment="1">
      <alignment/>
    </xf>
    <xf numFmtId="10" fontId="5" fillId="2" borderId="0" xfId="0" applyNumberFormat="1" applyFont="1" applyFill="1"/>
    <xf numFmtId="10" fontId="5" fillId="0" borderId="0" xfId="0" applyNumberFormat="1" applyFont="1" applyFill="1"/>
    <xf numFmtId="164" fontId="3" fillId="0" borderId="0" xfId="18" applyNumberFormat="1" applyFont="1" applyFill="1" applyAlignment="1">
      <alignment/>
    </xf>
    <xf numFmtId="3" fontId="13" fillId="0" borderId="5" xfId="0" applyNumberFormat="1" applyFont="1" applyBorder="1"/>
    <xf numFmtId="3" fontId="5" fillId="0" borderId="0" xfId="0" applyNumberFormat="1" applyFont="1" applyFill="1" applyBorder="1"/>
    <xf numFmtId="10" fontId="5" fillId="0" borderId="0" xfId="15" applyNumberFormat="1" applyFont="1" applyFill="1" applyBorder="1"/>
    <xf numFmtId="3" fontId="5" fillId="0" borderId="3" xfId="0" applyNumberFormat="1" applyFont="1" applyFill="1" applyBorder="1"/>
    <xf numFmtId="3" fontId="3" fillId="0" borderId="0" xfId="0" applyNumberFormat="1" applyFont="1" applyFill="1" applyBorder="1"/>
    <xf numFmtId="3" fontId="5" fillId="2" borderId="0" xfId="0" applyNumberFormat="1" applyFont="1" applyFill="1" applyBorder="1"/>
    <xf numFmtId="164" fontId="3" fillId="0" borderId="0" xfId="18" applyNumberFormat="1" applyFont="1" applyAlignment="1">
      <alignment/>
    </xf>
    <xf numFmtId="164" fontId="3" fillId="2" borderId="0" xfId="18" applyNumberFormat="1" applyFont="1" applyFill="1" applyAlignment="1">
      <alignment/>
    </xf>
    <xf numFmtId="164" fontId="0" fillId="2" borderId="0" xfId="18" applyNumberFormat="1" applyFont="1" applyFill="1"/>
    <xf numFmtId="164" fontId="68" fillId="0" borderId="9" xfId="18" applyNumberFormat="1" applyFont="1" applyFill="1" applyBorder="1" applyAlignment="1">
      <alignment horizontal="center"/>
    </xf>
    <xf numFmtId="3" fontId="29" fillId="0" borderId="0" xfId="18" applyNumberFormat="1" applyFont="1" applyBorder="1" applyAlignment="1">
      <alignment horizontal="center"/>
    </xf>
    <xf numFmtId="0" fontId="29" fillId="0" borderId="9" xfId="0" applyFont="1" applyFill="1" applyBorder="1" applyAlignment="1">
      <alignment horizontal="center"/>
    </xf>
    <xf numFmtId="3" fontId="29" fillId="0" borderId="8" xfId="0" applyNumberFormat="1" applyFont="1" applyFill="1" applyBorder="1" applyAlignment="1">
      <alignment horizontal="center"/>
    </xf>
    <xf numFmtId="3" fontId="29" fillId="0" borderId="9" xfId="0" applyNumberFormat="1" applyFont="1" applyFill="1" applyBorder="1" applyAlignment="1">
      <alignment horizontal="center"/>
    </xf>
    <xf numFmtId="164" fontId="73" fillId="2" borderId="0" xfId="18" applyNumberFormat="1" applyFont="1" applyFill="1"/>
    <xf numFmtId="0" fontId="5" fillId="0" borderId="0" xfId="0" applyNumberFormat="1" applyFont="1" applyAlignment="1">
      <alignment/>
    </xf>
    <xf numFmtId="38" fontId="29" fillId="0" borderId="0" xfId="0" applyNumberFormat="1" applyFont="1" applyFill="1" applyBorder="1" applyAlignment="1">
      <alignment horizontal="center"/>
    </xf>
    <xf numFmtId="0" fontId="29" fillId="0" borderId="8" xfId="0" applyFont="1" applyFill="1" applyBorder="1" applyAlignment="1">
      <alignment horizontal="center"/>
    </xf>
    <xf numFmtId="174" fontId="0" fillId="2" borderId="0" xfId="0" applyNumberFormat="1" applyFont="1" applyFill="1" applyAlignment="1">
      <alignment horizontal="center" wrapText="1"/>
    </xf>
    <xf numFmtId="3" fontId="29" fillId="0" borderId="6" xfId="0" applyNumberFormat="1" applyFont="1" applyBorder="1" applyAlignment="1">
      <alignment horizontal="center"/>
    </xf>
    <xf numFmtId="0" fontId="5" fillId="0" borderId="0" xfId="0" applyFont="1" applyFill="1" applyBorder="1"/>
    <xf numFmtId="3" fontId="15" fillId="0" borderId="1" xfId="0" applyNumberFormat="1" applyFont="1" applyFill="1" applyBorder="1" applyAlignment="1">
      <alignment horizontal="right"/>
    </xf>
    <xf numFmtId="0" fontId="29" fillId="0" borderId="7" xfId="0" applyFont="1" applyFill="1" applyBorder="1" applyAlignment="1">
      <alignment horizontal="left" wrapText="1"/>
    </xf>
    <xf numFmtId="0" fontId="19" fillId="0" borderId="7" xfId="0" applyFont="1" applyFill="1" applyBorder="1" applyAlignment="1">
      <alignment horizontal="center"/>
    </xf>
    <xf numFmtId="3" fontId="37" fillId="0" borderId="7" xfId="0" applyNumberFormat="1" applyFont="1" applyFill="1" applyBorder="1" applyAlignment="1">
      <alignment horizontal="center"/>
    </xf>
    <xf numFmtId="3" fontId="19" fillId="0" borderId="10" xfId="0" applyNumberFormat="1" applyFont="1" applyFill="1" applyBorder="1" applyAlignment="1">
      <alignment horizontal="center"/>
    </xf>
    <xf numFmtId="0" fontId="19" fillId="0" borderId="9" xfId="0" applyFont="1" applyBorder="1" applyAlignment="1">
      <alignment horizontal="center"/>
    </xf>
    <xf numFmtId="0" fontId="19" fillId="0" borderId="10" xfId="0" applyFont="1" applyFill="1" applyBorder="1" applyAlignment="1">
      <alignment horizontal="center"/>
    </xf>
    <xf numFmtId="37" fontId="73" fillId="2" borderId="0" xfId="0" applyNumberFormat="1" applyFont="1" applyFill="1" applyAlignment="1">
      <alignment horizontal="right" wrapText="1"/>
    </xf>
    <xf numFmtId="0" fontId="5" fillId="0" borderId="0" xfId="0" applyFont="1" applyFill="1" applyBorder="1" applyAlignment="1">
      <alignment horizontal="left"/>
    </xf>
    <xf numFmtId="0" fontId="0" fillId="0" borderId="0" xfId="0" applyAlignment="1">
      <alignment horizontal="center"/>
    </xf>
    <xf numFmtId="0" fontId="74" fillId="0" borderId="0" xfId="0" applyFont="1" applyFill="1"/>
    <xf numFmtId="3" fontId="29" fillId="0" borderId="0" xfId="18" applyNumberFormat="1" applyFont="1" applyFill="1" applyBorder="1" applyAlignment="1">
      <alignment horizontal="center"/>
    </xf>
    <xf numFmtId="0" fontId="13" fillId="0" borderId="0" xfId="0" applyFont="1" applyAlignment="1">
      <alignment horizontal="center"/>
    </xf>
    <xf numFmtId="164" fontId="49" fillId="0" borderId="0" xfId="18" applyNumberFormat="1" applyFont="1" applyFill="1" quotePrefix="1"/>
    <xf numFmtId="164" fontId="0" fillId="9" borderId="0" xfId="18" applyNumberFormat="1" applyFont="1" applyFill="1" applyAlignment="1">
      <alignment wrapText="1"/>
    </xf>
    <xf numFmtId="3" fontId="75" fillId="0" borderId="0" xfId="0" applyNumberFormat="1" applyFont="1" applyFill="1" applyBorder="1" applyAlignment="1">
      <alignment horizontal="center"/>
    </xf>
    <xf numFmtId="0" fontId="0" fillId="0" borderId="0" xfId="0" applyAlignment="1">
      <alignment horizontal="center"/>
    </xf>
    <xf numFmtId="164" fontId="0" fillId="0" borderId="0" xfId="0" applyNumberFormat="1"/>
    <xf numFmtId="164" fontId="78" fillId="2" borderId="0" xfId="18" applyNumberFormat="1" applyFont="1" applyFill="1"/>
    <xf numFmtId="164" fontId="50" fillId="10" borderId="0" xfId="18" applyNumberFormat="1" applyFont="1" applyFill="1" quotePrefix="1"/>
    <xf numFmtId="0" fontId="5" fillId="0" borderId="0" xfId="0" applyFont="1" applyFill="1" applyAlignment="1">
      <alignment horizontal="left"/>
    </xf>
    <xf numFmtId="0" fontId="0" fillId="0" borderId="0" xfId="0" applyAlignment="1">
      <alignment horizontal="center"/>
    </xf>
    <xf numFmtId="164" fontId="79" fillId="11" borderId="0" xfId="18" applyNumberFormat="1" applyFont="1" applyFill="1" applyBorder="1"/>
    <xf numFmtId="0" fontId="0" fillId="2" borderId="0" xfId="0" applyFont="1" applyFill="1" applyAlignment="1">
      <alignment horizontal="left" vertical="center" wrapText="1"/>
    </xf>
    <xf numFmtId="0" fontId="50" fillId="8" borderId="0" xfId="0" applyFont="1" applyFill="1"/>
    <xf numFmtId="164" fontId="50" fillId="0" borderId="0" xfId="0" applyNumberFormat="1" applyFont="1"/>
    <xf numFmtId="174" fontId="50" fillId="12" borderId="0" xfId="15" applyNumberFormat="1" applyFont="1" applyFill="1"/>
    <xf numFmtId="0" fontId="50" fillId="12" borderId="0" xfId="0" applyFont="1" applyFill="1" applyAlignment="1">
      <alignment horizontal="left"/>
    </xf>
    <xf numFmtId="0" fontId="0" fillId="0" borderId="0" xfId="0" applyAlignment="1">
      <alignment horizontal="center"/>
    </xf>
    <xf numFmtId="167" fontId="49" fillId="0" borderId="0" xfId="16" applyNumberFormat="1" applyFont="1" applyFill="1"/>
    <xf numFmtId="10" fontId="5" fillId="9" borderId="0" xfId="0" applyNumberFormat="1" applyFont="1" applyFill="1"/>
    <xf numFmtId="164" fontId="0" fillId="0" borderId="0" xfId="18" applyNumberFormat="1" applyFont="1" applyAlignment="1">
      <alignment horizontal="right"/>
    </xf>
    <xf numFmtId="43" fontId="66" fillId="0" borderId="0" xfId="18" applyFont="1" applyFill="1" applyBorder="1" applyAlignment="1">
      <alignment horizontal="center"/>
    </xf>
    <xf numFmtId="0" fontId="0" fillId="0" borderId="0" xfId="0" applyAlignment="1">
      <alignment horizontal="center"/>
    </xf>
    <xf numFmtId="0" fontId="0" fillId="0" borderId="0" xfId="0" applyAlignment="1">
      <alignment horizontal="center"/>
    </xf>
    <xf numFmtId="164" fontId="0" fillId="0" borderId="0" xfId="0" applyNumberFormat="1" applyAlignment="1">
      <alignment horizontal="right"/>
    </xf>
    <xf numFmtId="0" fontId="0" fillId="0" borderId="0" xfId="0" applyAlignment="1">
      <alignment horizontal="center"/>
    </xf>
    <xf numFmtId="0" fontId="81" fillId="0" borderId="0" xfId="0" applyFont="1"/>
    <xf numFmtId="10" fontId="0" fillId="0" borderId="0" xfId="15" applyNumberFormat="1" applyFont="1"/>
    <xf numFmtId="176" fontId="0" fillId="0" borderId="0" xfId="0" applyNumberFormat="1"/>
    <xf numFmtId="0" fontId="80" fillId="0" borderId="3" xfId="0" applyFont="1" applyBorder="1" applyAlignment="1">
      <alignment horizontal="center" wrapText="1"/>
    </xf>
    <xf numFmtId="0" fontId="0" fillId="0" borderId="0" xfId="0" applyAlignment="1">
      <alignment horizontal="center" wrapText="1"/>
    </xf>
    <xf numFmtId="164" fontId="0" fillId="0" borderId="3" xfId="0" applyNumberFormat="1" applyBorder="1"/>
    <xf numFmtId="0" fontId="80" fillId="0" borderId="0" xfId="0" applyFont="1"/>
    <xf numFmtId="0" fontId="80" fillId="0" borderId="0" xfId="0" applyFont="1" applyAlignment="1">
      <alignment horizontal="right"/>
    </xf>
    <xf numFmtId="37" fontId="80" fillId="0" borderId="0" xfId="0" applyNumberFormat="1" applyFont="1"/>
    <xf numFmtId="0" fontId="0" fillId="0" borderId="3" xfId="0" applyBorder="1"/>
    <xf numFmtId="164" fontId="80" fillId="0" borderId="0" xfId="0" applyNumberFormat="1" applyFont="1"/>
    <xf numFmtId="37" fontId="80" fillId="0" borderId="2" xfId="0" applyNumberFormat="1" applyFont="1" applyBorder="1"/>
    <xf numFmtId="0" fontId="83" fillId="0" borderId="0" xfId="0" applyFont="1"/>
    <xf numFmtId="3" fontId="7" fillId="0" borderId="0" xfId="0" applyNumberFormat="1" applyFont="1" applyFill="1" applyBorder="1" applyAlignment="1">
      <alignment horizontal="right"/>
    </xf>
    <xf numFmtId="3" fontId="3" fillId="0" borderId="0" xfId="0" applyNumberFormat="1" applyFont="1" applyFill="1" applyBorder="1" applyAlignment="1">
      <alignment horizontal="right"/>
    </xf>
    <xf numFmtId="164" fontId="0" fillId="2" borderId="0" xfId="18" applyNumberFormat="1" applyFont="1" applyFill="1" applyBorder="1" applyAlignment="1">
      <alignment/>
    </xf>
    <xf numFmtId="3" fontId="29" fillId="0" borderId="9" xfId="0" applyNumberFormat="1" applyFont="1" applyBorder="1" applyAlignment="1">
      <alignment horizontal="center"/>
    </xf>
    <xf numFmtId="3" fontId="29" fillId="0" borderId="21" xfId="0" applyNumberFormat="1" applyFont="1" applyFill="1" applyBorder="1" applyAlignment="1">
      <alignment horizontal="center"/>
    </xf>
    <xf numFmtId="0" fontId="0" fillId="0" borderId="0" xfId="0" applyAlignment="1">
      <alignment horizontal="center"/>
    </xf>
    <xf numFmtId="0" fontId="28" fillId="0" borderId="0" xfId="0" applyFont="1" applyAlignment="1">
      <alignment vertical="top" wrapText="1"/>
    </xf>
    <xf numFmtId="0" fontId="0" fillId="0" borderId="0" xfId="0" applyAlignment="1">
      <alignment vertical="top" wrapText="1"/>
    </xf>
    <xf numFmtId="0" fontId="84" fillId="0" borderId="0" xfId="0" applyFont="1" applyAlignment="1">
      <alignment horizontal="center" vertical="center" wrapText="1"/>
    </xf>
    <xf numFmtId="169" fontId="3" fillId="0" borderId="0" xfId="0" applyNumberFormat="1" applyFont="1" applyFill="1" applyBorder="1" applyAlignment="1">
      <alignment horizontal="left"/>
    </xf>
    <xf numFmtId="0" fontId="5" fillId="0" borderId="0" xfId="0" applyNumberFormat="1" applyFont="1" applyFill="1" applyBorder="1" applyAlignment="1">
      <alignment horizontal="left"/>
    </xf>
    <xf numFmtId="3" fontId="5" fillId="9" borderId="0" xfId="0" applyNumberFormat="1" applyFont="1" applyFill="1" applyAlignment="1">
      <alignment/>
    </xf>
    <xf numFmtId="3" fontId="5" fillId="9" borderId="0" xfId="0" applyNumberFormat="1" applyFont="1" applyFill="1" applyAlignment="1">
      <alignment horizontal="right"/>
    </xf>
    <xf numFmtId="37" fontId="3" fillId="9" borderId="0" xfId="0" applyNumberFormat="1" applyFont="1" applyFill="1" applyBorder="1" applyAlignment="1">
      <alignment horizontal="center"/>
    </xf>
    <xf numFmtId="0" fontId="0" fillId="0" borderId="0" xfId="0" applyAlignment="1">
      <alignment horizontal="center"/>
    </xf>
    <xf numFmtId="0" fontId="85" fillId="0" borderId="0" xfId="0" applyFont="1"/>
    <xf numFmtId="0" fontId="73" fillId="0" borderId="0" xfId="0" applyFont="1"/>
    <xf numFmtId="0" fontId="29" fillId="0" borderId="0" xfId="0" applyFont="1" applyFill="1" applyAlignment="1">
      <alignment wrapText="1"/>
    </xf>
    <xf numFmtId="0" fontId="28" fillId="0" borderId="0" xfId="24" applyFont="1">
      <alignment/>
      <protection/>
    </xf>
    <xf numFmtId="0" fontId="0" fillId="0" borderId="0" xfId="24">
      <alignment/>
      <protection/>
    </xf>
    <xf numFmtId="164" fontId="0" fillId="0" borderId="0" xfId="24" applyNumberFormat="1">
      <alignment/>
      <protection/>
    </xf>
    <xf numFmtId="0" fontId="0" fillId="0" borderId="0" xfId="24" applyAlignment="1">
      <alignment horizontal="center"/>
      <protection/>
    </xf>
    <xf numFmtId="0" fontId="28" fillId="0" borderId="0" xfId="24" applyFont="1" applyAlignment="1">
      <alignment horizontal="left"/>
      <protection/>
    </xf>
    <xf numFmtId="0" fontId="12" fillId="0" borderId="0" xfId="24" applyFont="1">
      <alignment/>
      <protection/>
    </xf>
    <xf numFmtId="164" fontId="0" fillId="9" borderId="0" xfId="18" applyNumberFormat="1" applyFont="1" applyFill="1"/>
    <xf numFmtId="164" fontId="73" fillId="9" borderId="0" xfId="18" applyNumberFormat="1" applyFont="1" applyFill="1"/>
    <xf numFmtId="37" fontId="0" fillId="9" borderId="0" xfId="0" applyNumberFormat="1" applyFont="1" applyFill="1" applyAlignment="1">
      <alignment horizontal="right" wrapText="1"/>
    </xf>
    <xf numFmtId="164" fontId="0" fillId="9" borderId="0" xfId="18" applyNumberFormat="1" applyFont="1" applyFill="1" applyAlignment="1">
      <alignment horizontal="right"/>
    </xf>
    <xf numFmtId="164" fontId="0" fillId="9" borderId="0" xfId="18" applyNumberFormat="1" applyFill="1" applyAlignment="1">
      <alignment/>
    </xf>
    <xf numFmtId="0" fontId="2" fillId="0" borderId="0" xfId="0" applyFont="1" applyFill="1" applyAlignment="1">
      <alignment/>
    </xf>
    <xf numFmtId="0" fontId="49" fillId="0" borderId="0" xfId="0" applyFont="1" applyFill="1" applyAlignment="1">
      <alignment horizontal="center" vertical="top"/>
    </xf>
    <xf numFmtId="164" fontId="0" fillId="9" borderId="0" xfId="18" applyNumberFormat="1" applyFont="1" applyFill="1" applyAlignment="1">
      <alignment horizontal="right"/>
    </xf>
    <xf numFmtId="0" fontId="0" fillId="0" borderId="0" xfId="24" applyAlignment="1">
      <alignment wrapText="1"/>
      <protection/>
    </xf>
    <xf numFmtId="0" fontId="28" fillId="0" borderId="0" xfId="24" applyFont="1" applyFill="1" applyAlignment="1">
      <alignment horizontal="left"/>
      <protection/>
    </xf>
    <xf numFmtId="43" fontId="3" fillId="0" borderId="0" xfId="18" applyFont="1" applyAlignment="1">
      <alignment/>
    </xf>
    <xf numFmtId="164" fontId="47" fillId="0" borderId="0" xfId="18" applyNumberFormat="1" applyFont="1" applyFill="1"/>
    <xf numFmtId="0" fontId="47" fillId="0" borderId="0" xfId="0" applyFont="1" applyFill="1" applyBorder="1"/>
    <xf numFmtId="0" fontId="3" fillId="2" borderId="22" xfId="0" applyFont="1" applyFill="1" applyBorder="1" applyAlignment="1">
      <alignment horizontal="center" wrapText="1"/>
    </xf>
    <xf numFmtId="0" fontId="5" fillId="0" borderId="0" xfId="0" applyFont="1" applyAlignment="1">
      <alignment horizontal="center"/>
    </xf>
    <xf numFmtId="3" fontId="5" fillId="0" borderId="0" xfId="0" applyNumberFormat="1" applyFont="1" applyFill="1" applyBorder="1" applyAlignment="1">
      <alignment horizontal="right"/>
    </xf>
    <xf numFmtId="10" fontId="5" fillId="0" borderId="3" xfId="15" applyNumberFormat="1" applyFont="1" applyFill="1" applyBorder="1" applyAlignment="1">
      <alignment horizontal="right"/>
    </xf>
    <xf numFmtId="3" fontId="5" fillId="0" borderId="0" xfId="0" applyNumberFormat="1" applyFont="1" applyFill="1" applyBorder="1" applyAlignment="1">
      <alignment wrapText="1"/>
    </xf>
    <xf numFmtId="3" fontId="5" fillId="0" borderId="0" xfId="0" applyNumberFormat="1" applyFont="1" applyFill="1" applyBorder="1" applyAlignment="1">
      <alignment/>
    </xf>
    <xf numFmtId="3" fontId="5" fillId="0" borderId="0" xfId="0" applyNumberFormat="1" applyFont="1" applyFill="1" applyBorder="1" applyAlignment="1">
      <alignment horizontal="center"/>
    </xf>
    <xf numFmtId="0" fontId="0" fillId="0" borderId="0" xfId="0" applyFont="1" applyFill="1" applyAlignment="1">
      <alignment horizontal="left"/>
    </xf>
    <xf numFmtId="0" fontId="2" fillId="0" borderId="3" xfId="0" applyFont="1" applyFill="1" applyBorder="1" applyAlignment="1">
      <alignment horizontal="center" wrapText="1"/>
    </xf>
    <xf numFmtId="0" fontId="2" fillId="0" borderId="3" xfId="0" applyFont="1" applyFill="1" applyBorder="1" applyAlignment="1">
      <alignment horizontal="center"/>
    </xf>
    <xf numFmtId="0" fontId="0" fillId="0" borderId="0" xfId="0" applyFont="1" applyFill="1"/>
    <xf numFmtId="164" fontId="0" fillId="0" borderId="0" xfId="0" applyNumberFormat="1" applyFill="1"/>
    <xf numFmtId="10" fontId="0" fillId="0" borderId="3" xfId="15" applyNumberFormat="1" applyFont="1" applyFill="1" applyBorder="1"/>
    <xf numFmtId="0" fontId="0" fillId="0" borderId="3" xfId="0" applyFill="1" applyBorder="1"/>
    <xf numFmtId="164" fontId="29" fillId="0" borderId="9" xfId="18" applyNumberFormat="1" applyFont="1" applyFill="1" applyBorder="1" applyAlignment="1">
      <alignment horizontal="center"/>
    </xf>
    <xf numFmtId="0" fontId="5" fillId="0" borderId="0" xfId="0" applyNumberFormat="1" applyFont="1" applyFill="1" applyBorder="1" applyAlignment="1">
      <alignment horizontal="center" vertical="top"/>
    </xf>
    <xf numFmtId="0" fontId="13" fillId="0" borderId="0" xfId="0" applyNumberFormat="1" applyFont="1" applyFill="1" applyBorder="1" applyAlignment="1">
      <alignment horizontal="left" wrapText="1"/>
    </xf>
    <xf numFmtId="0" fontId="22" fillId="0" borderId="0" xfId="0" applyFont="1" applyAlignment="1">
      <alignment horizontal="center"/>
    </xf>
    <xf numFmtId="0" fontId="5" fillId="0" borderId="0" xfId="0" applyFont="1" applyAlignment="1">
      <alignment horizontal="left" vertical="top" wrapText="1"/>
    </xf>
    <xf numFmtId="0" fontId="13" fillId="0" borderId="0" xfId="0" applyFont="1" applyAlignment="1">
      <alignment horizontal="center"/>
    </xf>
    <xf numFmtId="0" fontId="52" fillId="0" borderId="0" xfId="0" applyFont="1" applyAlignment="1">
      <alignment/>
    </xf>
    <xf numFmtId="0" fontId="26" fillId="0" borderId="0" xfId="0" applyFont="1" applyAlignment="1">
      <alignment horizontal="center"/>
    </xf>
    <xf numFmtId="0" fontId="28" fillId="0" borderId="0" xfId="24" applyFont="1" applyAlignment="1">
      <alignment horizontal="left" wrapText="1"/>
      <protection/>
    </xf>
    <xf numFmtId="0" fontId="0" fillId="0" borderId="0" xfId="24">
      <alignment/>
      <protection/>
    </xf>
    <xf numFmtId="0" fontId="28" fillId="0" borderId="0" xfId="0" applyFont="1" applyAlignment="1">
      <alignment wrapText="1"/>
    </xf>
    <xf numFmtId="0" fontId="0" fillId="0" borderId="0" xfId="0" applyAlignment="1">
      <alignment wrapText="1"/>
    </xf>
    <xf numFmtId="0" fontId="28" fillId="0" borderId="0" xfId="0" applyFont="1" applyFill="1" applyBorder="1" applyAlignment="1">
      <alignment horizontal="left" wrapText="1"/>
    </xf>
    <xf numFmtId="0" fontId="0" fillId="0" borderId="0" xfId="0" applyAlignment="1">
      <alignment/>
    </xf>
    <xf numFmtId="0" fontId="0" fillId="0" borderId="0" xfId="0" applyFont="1" applyAlignment="1">
      <alignment horizontal="center"/>
    </xf>
    <xf numFmtId="0" fontId="5" fillId="0" borderId="0" xfId="0" applyFont="1" applyAlignment="1">
      <alignment horizontal="center"/>
    </xf>
    <xf numFmtId="0" fontId="42" fillId="0" borderId="0" xfId="0" applyFont="1" applyAlignment="1">
      <alignment horizontal="center"/>
    </xf>
    <xf numFmtId="0" fontId="29" fillId="0" borderId="0" xfId="0" applyFont="1" applyFill="1" applyBorder="1" applyAlignment="1">
      <alignment horizontal="left" wrapText="1"/>
    </xf>
    <xf numFmtId="0" fontId="29" fillId="0" borderId="7" xfId="0" applyFont="1" applyFill="1" applyBorder="1" applyAlignment="1">
      <alignment horizontal="left" wrapText="1"/>
    </xf>
    <xf numFmtId="0" fontId="28" fillId="6" borderId="14" xfId="0" applyFont="1" applyFill="1" applyBorder="1" applyAlignment="1">
      <alignment horizontal="center" wrapText="1"/>
    </xf>
    <xf numFmtId="0" fontId="35" fillId="6" borderId="14" xfId="0" applyFont="1" applyFill="1" applyBorder="1" applyAlignment="1">
      <alignment horizontal="center" wrapText="1"/>
    </xf>
    <xf numFmtId="0" fontId="35" fillId="6" borderId="15" xfId="0" applyFont="1" applyFill="1" applyBorder="1" applyAlignment="1">
      <alignment horizontal="center" wrapText="1"/>
    </xf>
    <xf numFmtId="0" fontId="33" fillId="0" borderId="0" xfId="0" applyFont="1" applyFill="1" applyBorder="1" applyAlignment="1">
      <alignment horizontal="center" wrapText="1"/>
    </xf>
    <xf numFmtId="0" fontId="29" fillId="0" borderId="0" xfId="0" applyFont="1" applyFill="1" applyBorder="1" applyAlignment="1">
      <alignment horizontal="center" wrapText="1"/>
    </xf>
    <xf numFmtId="0" fontId="29" fillId="0" borderId="7" xfId="0" applyFont="1" applyFill="1" applyBorder="1" applyAlignment="1">
      <alignment horizontal="center" wrapText="1"/>
    </xf>
    <xf numFmtId="3" fontId="29" fillId="0" borderId="0" xfId="0" applyNumberFormat="1" applyFont="1" applyBorder="1" applyAlignment="1">
      <alignment horizontal="left" wrapText="1"/>
    </xf>
    <xf numFmtId="0" fontId="29" fillId="0" borderId="9" xfId="0" applyFont="1" applyFill="1" applyBorder="1" applyAlignment="1">
      <alignment horizontal="left" wrapText="1"/>
    </xf>
    <xf numFmtId="0" fontId="29" fillId="0" borderId="10" xfId="0" applyFont="1" applyFill="1" applyBorder="1" applyAlignment="1">
      <alignment horizontal="left" wrapText="1"/>
    </xf>
    <xf numFmtId="164" fontId="29" fillId="0" borderId="9" xfId="0" applyNumberFormat="1" applyFont="1" applyFill="1" applyBorder="1" applyAlignment="1">
      <alignment horizontal="center" wrapText="1"/>
    </xf>
    <xf numFmtId="0" fontId="29" fillId="0" borderId="9" xfId="0" applyFont="1" applyFill="1" applyBorder="1" applyAlignment="1">
      <alignment horizontal="center" wrapText="1"/>
    </xf>
    <xf numFmtId="0" fontId="29" fillId="0" borderId="10" xfId="0" applyFont="1" applyFill="1" applyBorder="1" applyAlignment="1">
      <alignment horizontal="center" wrapText="1"/>
    </xf>
    <xf numFmtId="0" fontId="29" fillId="0" borderId="0" xfId="0" applyFont="1" applyFill="1" applyBorder="1" applyAlignment="1">
      <alignment horizontal="left" wrapText="1"/>
    </xf>
    <xf numFmtId="0" fontId="29" fillId="0" borderId="7" xfId="0" applyFont="1" applyFill="1" applyBorder="1" applyAlignment="1">
      <alignment horizontal="left" wrapText="1"/>
    </xf>
    <xf numFmtId="164" fontId="36" fillId="0" borderId="8" xfId="18" applyNumberFormat="1" applyFont="1" applyFill="1" applyBorder="1" applyAlignment="1">
      <alignment horizontal="center"/>
    </xf>
    <xf numFmtId="164" fontId="0" fillId="0" borderId="9" xfId="18" applyNumberFormat="1" applyFont="1" applyFill="1" applyBorder="1" applyAlignment="1">
      <alignment horizontal="center"/>
    </xf>
    <xf numFmtId="164" fontId="36" fillId="0" borderId="9" xfId="18" applyNumberFormat="1" applyFont="1" applyFill="1" applyBorder="1" applyAlignment="1">
      <alignment horizontal="center"/>
    </xf>
    <xf numFmtId="2" fontId="36" fillId="0" borderId="0" xfId="0" applyNumberFormat="1" applyFont="1" applyFill="1" applyBorder="1" applyAlignment="1">
      <alignment horizontal="center"/>
    </xf>
    <xf numFmtId="2" fontId="0" fillId="0" borderId="0" xfId="0" applyNumberFormat="1" applyFont="1" applyFill="1" applyBorder="1" applyAlignment="1">
      <alignment horizontal="center"/>
    </xf>
    <xf numFmtId="2" fontId="36" fillId="0" borderId="6" xfId="0" applyNumberFormat="1" applyFont="1" applyFill="1" applyBorder="1" applyAlignment="1">
      <alignment horizontal="center"/>
    </xf>
    <xf numFmtId="0" fontId="0" fillId="0" borderId="0" xfId="0" applyFont="1" applyFill="1" applyBorder="1" applyAlignment="1">
      <alignment horizontal="center"/>
    </xf>
    <xf numFmtId="0" fontId="33" fillId="0" borderId="9" xfId="0" applyFont="1" applyFill="1" applyBorder="1" applyAlignment="1">
      <alignment horizontal="center" wrapText="1"/>
    </xf>
    <xf numFmtId="164" fontId="36" fillId="0" borderId="6" xfId="18" applyNumberFormat="1" applyFont="1" applyFill="1" applyBorder="1" applyAlignment="1">
      <alignment horizontal="center"/>
    </xf>
    <xf numFmtId="164" fontId="0" fillId="0" borderId="0" xfId="18" applyNumberFormat="1" applyFont="1" applyFill="1" applyBorder="1" applyAlignment="1">
      <alignment horizontal="center"/>
    </xf>
    <xf numFmtId="164" fontId="36" fillId="0" borderId="0" xfId="18" applyNumberFormat="1" applyFont="1" applyFill="1" applyBorder="1" applyAlignment="1">
      <alignment horizontal="center"/>
    </xf>
    <xf numFmtId="0" fontId="20" fillId="6" borderId="16" xfId="0" applyFont="1" applyFill="1" applyBorder="1" applyAlignment="1">
      <alignment horizontal="center"/>
    </xf>
    <xf numFmtId="0" fontId="0" fillId="0" borderId="14" xfId="0" applyBorder="1" applyAlignment="1">
      <alignment horizontal="center"/>
    </xf>
    <xf numFmtId="0" fontId="20" fillId="6" borderId="14" xfId="0" applyFont="1" applyFill="1" applyBorder="1" applyAlignment="1">
      <alignment horizontal="center"/>
    </xf>
    <xf numFmtId="0" fontId="46" fillId="6" borderId="16" xfId="0" applyFont="1" applyFill="1" applyBorder="1" applyAlignment="1">
      <alignment horizontal="center"/>
    </xf>
    <xf numFmtId="0" fontId="46" fillId="6" borderId="14" xfId="0" applyFont="1" applyFill="1" applyBorder="1" applyAlignment="1">
      <alignment horizontal="center"/>
    </xf>
    <xf numFmtId="0" fontId="46" fillId="6" borderId="15" xfId="0" applyFont="1" applyFill="1" applyBorder="1" applyAlignment="1">
      <alignment horizontal="center"/>
    </xf>
    <xf numFmtId="0" fontId="29" fillId="0" borderId="14" xfId="0" applyFont="1" applyBorder="1" applyAlignment="1">
      <alignment horizontal="center" wrapText="1"/>
    </xf>
    <xf numFmtId="0" fontId="29" fillId="0" borderId="15" xfId="0" applyFont="1" applyBorder="1" applyAlignment="1">
      <alignment horizontal="center" wrapText="1"/>
    </xf>
    <xf numFmtId="164" fontId="29" fillId="0" borderId="9" xfId="18" applyNumberFormat="1" applyFont="1" applyFill="1" applyBorder="1" applyAlignment="1">
      <alignment horizontal="center" wrapText="1"/>
    </xf>
    <xf numFmtId="164" fontId="29" fillId="0" borderId="10" xfId="18" applyNumberFormat="1" applyFont="1" applyFill="1" applyBorder="1" applyAlignment="1">
      <alignment horizontal="center" wrapText="1"/>
    </xf>
    <xf numFmtId="0" fontId="29" fillId="0" borderId="0" xfId="0" applyFont="1" applyAlignment="1">
      <alignment horizontal="center" wrapText="1"/>
    </xf>
    <xf numFmtId="0" fontId="29" fillId="0" borderId="7" xfId="0" applyFont="1" applyBorder="1" applyAlignment="1">
      <alignment horizontal="center" wrapText="1"/>
    </xf>
    <xf numFmtId="0" fontId="29" fillId="0" borderId="9" xfId="0" applyFont="1" applyBorder="1" applyAlignment="1">
      <alignment horizontal="center" wrapText="1"/>
    </xf>
    <xf numFmtId="0" fontId="29" fillId="0" borderId="10" xfId="0" applyFont="1" applyBorder="1" applyAlignment="1">
      <alignment horizontal="center" wrapText="1"/>
    </xf>
    <xf numFmtId="0" fontId="46" fillId="6" borderId="16" xfId="0" applyFont="1" applyFill="1" applyBorder="1" applyAlignment="1">
      <alignment horizontal="center" wrapText="1"/>
    </xf>
    <xf numFmtId="0" fontId="46" fillId="6" borderId="14" xfId="0" applyFont="1" applyFill="1" applyBorder="1" applyAlignment="1">
      <alignment horizontal="center" wrapText="1"/>
    </xf>
    <xf numFmtId="0" fontId="46" fillId="6" borderId="15" xfId="0" applyFont="1" applyFill="1" applyBorder="1" applyAlignment="1">
      <alignment horizontal="center" wrapText="1"/>
    </xf>
    <xf numFmtId="0" fontId="28" fillId="0" borderId="0" xfId="0" applyFont="1" applyFill="1" applyBorder="1" applyAlignment="1">
      <alignment horizontal="center" wrapText="1"/>
    </xf>
    <xf numFmtId="0" fontId="49" fillId="0" borderId="0" xfId="0" applyFont="1" applyAlignment="1">
      <alignment horizontal="left" vertical="top" wrapText="1"/>
    </xf>
    <xf numFmtId="0" fontId="13" fillId="0" borderId="0" xfId="0" applyFont="1" applyAlignment="1">
      <alignment/>
    </xf>
    <xf numFmtId="0" fontId="3" fillId="0" borderId="0" xfId="0" applyFont="1" applyAlignment="1">
      <alignment horizontal="center"/>
    </xf>
    <xf numFmtId="0" fontId="33" fillId="0" borderId="16" xfId="0" applyFont="1" applyBorder="1" applyAlignment="1">
      <alignment horizontal="center"/>
    </xf>
    <xf numFmtId="0" fontId="0" fillId="0" borderId="15" xfId="0" applyBorder="1" applyAlignment="1">
      <alignment horizontal="center"/>
    </xf>
    <xf numFmtId="0" fontId="0" fillId="0" borderId="0" xfId="0" applyAlignment="1">
      <alignment horizontal="center"/>
    </xf>
    <xf numFmtId="0" fontId="2" fillId="0" borderId="0" xfId="0" applyFont="1" applyAlignment="1">
      <alignment horizontal="center"/>
    </xf>
  </cellXfs>
  <cellStyles count="11">
    <cellStyle name="Normal" xfId="0" builtinId="0"/>
    <cellStyle name="Percent" xfId="15" builtinId="5"/>
    <cellStyle name="Currency" xfId="16" builtinId="4"/>
    <cellStyle name="Currency [0]" xfId="17" builtinId="7"/>
    <cellStyle name="Comma" xfId="18" builtinId="3"/>
    <cellStyle name="Comma [0]" xfId="19" builtinId="6"/>
    <cellStyle name="Normal_1995 FCWS" xfId="20"/>
    <cellStyle name="Normal_FN1 Ratebase Draft SPP template (6-11-04) v2" xfId="21"/>
    <cellStyle name="Normal 2" xfId="22"/>
    <cellStyle name="Comma 2" xfId="23"/>
    <cellStyle name="Normal 10 10 2" xfId="24"/>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1.xml" /><Relationship Id="rId5" Type="http://schemas.openxmlformats.org/officeDocument/2006/relationships/worksheet" Target="worksheets/sheet3.xml" /><Relationship Id="rId7" Type="http://schemas.openxmlformats.org/officeDocument/2006/relationships/worksheet" Target="worksheets/sheet5.xml" /><Relationship Id="rId9" Type="http://schemas.openxmlformats.org/officeDocument/2006/relationships/worksheet" Target="worksheets/sheet7.xml" /><Relationship Id="rId2" Type="http://schemas.openxmlformats.org/officeDocument/2006/relationships/styles" Target="styles.xml" /><Relationship Id="rId14" Type="http://schemas.openxmlformats.org/officeDocument/2006/relationships/worksheet" Target="worksheets/sheet12.xml" /><Relationship Id="rId15" Type="http://schemas.openxmlformats.org/officeDocument/2006/relationships/sharedStrings" Target="sharedStrings.xml" /><Relationship Id="rId16" Type="http://schemas.openxmlformats.org/officeDocument/2006/relationships/customXml" Target="../customXml/item1.xml" /><Relationship Id="rId17" Type="http://schemas.openxmlformats.org/officeDocument/2006/relationships/calcChain" Target="calcChain.xml" /><Relationship Id="rId10" Type="http://schemas.openxmlformats.org/officeDocument/2006/relationships/worksheet" Target="worksheets/sheet8.xml" /><Relationship Id="rId11" Type="http://schemas.openxmlformats.org/officeDocument/2006/relationships/worksheet" Target="worksheets/sheet9.xml" /><Relationship Id="rId12" Type="http://schemas.openxmlformats.org/officeDocument/2006/relationships/worksheet" Target="worksheets/sheet10.xml" /><Relationship Id="rId1" Type="http://schemas.openxmlformats.org/officeDocument/2006/relationships/theme" Target="theme/theme1.xml" /><Relationship Id="rId4" Type="http://schemas.openxmlformats.org/officeDocument/2006/relationships/worksheet" Target="worksheets/sheet2.xml" /><Relationship Id="rId6" Type="http://schemas.openxmlformats.org/officeDocument/2006/relationships/worksheet" Target="worksheets/sheet4.xml" /><Relationship Id="rId8" Type="http://schemas.openxmlformats.org/officeDocument/2006/relationships/worksheet" Target="worksheets/sheet6.xml" /><Relationship Id="rId13" Type="http://schemas.openxmlformats.org/officeDocument/2006/relationships/worksheet" Target="worksheets/sheet11.xml" /></Relationships>
</file>

<file path=xl/drawings/_rels/drawing1.xml.rels><?xml version="1.0" encoding="UTF-8" standalone="yes"?><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2</xdr:col>
      <xdr:colOff>145676</xdr:colOff>
      <xdr:row>322</xdr:row>
      <xdr:rowOff>100853</xdr:rowOff>
    </xdr:from>
    <xdr:to>
      <xdr:col>5</xdr:col>
      <xdr:colOff>82962</xdr:colOff>
      <xdr:row>335</xdr:row>
      <xdr:rowOff>168887</xdr:rowOff>
    </xdr:to>
    <xdr:pic>
      <xdr:nvPicPr>
        <xdr:cNvPr id="5" name="Picture 4"/>
        <xdr:cNvPicPr>
          <a:picLocks noChangeArrowheads="1" noChangeAspect="1"/>
        </xdr:cNvPicPr>
      </xdr:nvPicPr>
      <xdr:blipFill>
        <a:blip r:embed="rId1">
          <a:extLst>
            <a:ext uri="{28A0092B-C50C-407E-A947-70E740481C1C}">
              <a14:useLocalDpi xmlns:a14="http://schemas.microsoft.com/office/drawing/2010/main"/>
            </a:ext>
          </a:extLst>
        </a:blip>
        <a:stretch>
          <a:fillRect/>
        </a:stretch>
      </xdr:blipFill>
      <xdr:spPr bwMode="auto">
        <a:xfrm>
          <a:off x="1019175" y="81962625"/>
          <a:ext cx="8810625" cy="3286125"/>
        </a:xfrm>
        <a:prstGeom prst="rect"/>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 Id="rId3" Type="http://schemas.openxmlformats.org/officeDocument/2006/relationships/customProperty" Target="../customProperty1.bin"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customProperty" Target="../customProperty10.bin" /></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customProperty" Target="../customProperty11.bin" /></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customProperty" Target="../customProperty12.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customProperty" Target="../customProperty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customProperty" Target="../customProperty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customProperty" Target="../customProperty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customProperty" Target="../customProperty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customProperty" Target="../customProperty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customProperty" Target="../customProperty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customProperty" Target="../customProperty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customProperty" Target="../customProperty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sheetPr codeName="Sheet34"/>
  <dimension ref="A1:Z2209"/>
  <sheetViews>
    <sheetView zoomScalePageLayoutView="80" workbookViewId="0" topLeftCell="A333">
      <selection pane="topLeft" activeCell="C348" sqref="C348"/>
    </sheetView>
  </sheetViews>
  <sheetFormatPr defaultColWidth="9.18428571428571" defaultRowHeight="20"/>
  <cols>
    <col min="1" max="1" width="7.42857142857143" style="63" customWidth="1"/>
    <col min="2" max="2" width="5.71428571428571" style="30" customWidth="1"/>
    <col min="3" max="3" width="77.8571428571429" style="30" customWidth="1"/>
    <col min="4" max="4" width="19.1428571428571" style="30" customWidth="1"/>
    <col min="5" max="5" width="36.1428571428571" style="80" customWidth="1"/>
    <col min="6" max="6" width="44.1428571428571" style="53" customWidth="1"/>
    <col min="7" max="7" width="2.71428571428571" style="53" customWidth="1"/>
    <col min="8" max="8" width="23.2857142857143" style="53" customWidth="1"/>
    <col min="9" max="9" width="5.14285714285714" style="738" bestFit="1" customWidth="1"/>
    <col min="10" max="10" width="30.7142857142857" bestFit="1" customWidth="1"/>
    <col min="12" max="12" width="22.8571428571429" bestFit="1" customWidth="1"/>
    <col min="13" max="13" width="23.7142857142857" customWidth="1"/>
    <col min="27" max="16384" width="9.14285714285714" style="53"/>
  </cols>
  <sheetData>
    <row r="1" spans="1:8" ht="20">
      <c r="A1" s="199"/>
      <c r="B1" s="8"/>
      <c r="C1" s="8"/>
      <c r="D1" s="8"/>
      <c r="E1" s="81"/>
      <c r="F1" s="514"/>
      <c r="G1" s="34"/>
      <c r="H1" s="34"/>
    </row>
    <row r="2" spans="1:8" ht="23.25" customHeight="1">
      <c r="A2" s="955" t="s">
        <v>568</v>
      </c>
      <c r="B2" s="955"/>
      <c r="C2" s="955"/>
      <c r="D2" s="955"/>
      <c r="E2" s="955"/>
      <c r="F2" s="955"/>
      <c r="G2" s="955"/>
      <c r="H2" s="955"/>
    </row>
    <row r="3" spans="1:8" ht="25.5" customHeight="1" thickBot="1">
      <c r="A3" s="200"/>
      <c r="B3" s="8"/>
      <c r="C3" s="8"/>
      <c r="D3" s="8"/>
      <c r="E3" s="81"/>
      <c r="F3" s="34"/>
      <c r="G3" s="34"/>
      <c r="H3" s="34"/>
    </row>
    <row r="4" spans="1:8" ht="27.75" customHeight="1" thickBot="1">
      <c r="A4" s="509" t="s">
        <v>451</v>
      </c>
      <c r="B4" s="573"/>
      <c r="C4" s="573"/>
      <c r="D4" s="573"/>
      <c r="E4" s="574"/>
      <c r="F4" s="575"/>
      <c r="G4" s="34"/>
      <c r="H4" s="863"/>
    </row>
    <row r="5" spans="1:26" s="64" customFormat="1" ht="42" customHeight="1" thickBot="1">
      <c r="A5" s="507" t="s">
        <v>469</v>
      </c>
      <c r="B5" s="576"/>
      <c r="C5" s="576"/>
      <c r="D5" s="576"/>
      <c r="E5" s="577" t="s">
        <v>192</v>
      </c>
      <c r="F5" s="508" t="s">
        <v>678</v>
      </c>
      <c r="G5" s="578"/>
      <c r="H5" s="938" t="s">
        <v>805</v>
      </c>
      <c r="I5" s="738"/>
      <c r="J5"/>
      <c r="K5"/>
      <c r="L5"/>
      <c r="M5"/>
      <c r="N5"/>
      <c r="O5"/>
      <c r="P5"/>
      <c r="Q5"/>
      <c r="R5"/>
      <c r="S5"/>
      <c r="T5"/>
      <c r="U5"/>
      <c r="V5"/>
      <c r="W5"/>
      <c r="X5"/>
      <c r="Y5"/>
      <c r="Z5"/>
    </row>
    <row r="6" spans="1:26" s="212" customFormat="1" ht="23.25" customHeight="1">
      <c r="A6" s="210"/>
      <c r="B6" s="579"/>
      <c r="C6" s="579"/>
      <c r="D6" s="579"/>
      <c r="E6" s="580"/>
      <c r="F6" s="211"/>
      <c r="G6" s="161"/>
      <c r="H6" s="211"/>
      <c r="I6" s="738"/>
      <c r="J6"/>
      <c r="K6"/>
      <c r="L6"/>
      <c r="M6"/>
      <c r="N6"/>
      <c r="O6"/>
      <c r="P6"/>
      <c r="Q6"/>
      <c r="R6"/>
      <c r="S6"/>
      <c r="T6"/>
      <c r="U6"/>
      <c r="V6"/>
      <c r="W6"/>
      <c r="X6"/>
      <c r="Y6"/>
      <c r="Z6"/>
    </row>
    <row r="7" spans="1:26" s="57" customFormat="1" ht="20">
      <c r="A7" s="79" t="s">
        <v>108</v>
      </c>
      <c r="B7" s="78"/>
      <c r="C7" s="581"/>
      <c r="D7" s="581"/>
      <c r="E7" s="582"/>
      <c r="F7" s="583"/>
      <c r="G7" s="583"/>
      <c r="H7" s="564"/>
      <c r="I7" s="738"/>
      <c r="J7"/>
      <c r="K7"/>
      <c r="L7"/>
      <c r="M7"/>
      <c r="N7"/>
      <c r="O7"/>
      <c r="P7"/>
      <c r="Q7"/>
      <c r="R7"/>
      <c r="S7"/>
      <c r="T7"/>
      <c r="U7"/>
      <c r="V7"/>
      <c r="W7"/>
      <c r="X7"/>
      <c r="Y7"/>
      <c r="Z7"/>
    </row>
    <row r="8" spans="1:26" s="57" customFormat="1" ht="20">
      <c r="A8" s="410"/>
      <c r="B8" s="35"/>
      <c r="C8" s="35"/>
      <c r="D8" s="35"/>
      <c r="E8" s="580"/>
      <c r="F8" s="61"/>
      <c r="G8" s="61"/>
      <c r="H8" s="565"/>
      <c r="I8" s="738"/>
      <c r="J8"/>
      <c r="K8"/>
      <c r="L8"/>
      <c r="M8"/>
      <c r="N8"/>
      <c r="O8"/>
      <c r="P8"/>
      <c r="Q8"/>
      <c r="R8"/>
      <c r="S8"/>
      <c r="T8"/>
      <c r="U8"/>
      <c r="V8"/>
      <c r="W8"/>
      <c r="X8"/>
      <c r="Y8"/>
      <c r="Z8"/>
    </row>
    <row r="9" spans="1:8" ht="20">
      <c r="A9" s="48"/>
      <c r="B9" s="22" t="s">
        <v>115</v>
      </c>
      <c r="C9" s="25"/>
      <c r="D9" s="8"/>
      <c r="E9" s="18"/>
      <c r="F9" s="9"/>
      <c r="G9" s="5"/>
      <c r="H9" s="5"/>
    </row>
    <row r="10" spans="1:8" ht="20">
      <c r="A10" s="27">
        <v>1</v>
      </c>
      <c r="B10" s="27"/>
      <c r="C10" s="61" t="s">
        <v>67</v>
      </c>
      <c r="D10" s="157"/>
      <c r="E10" s="85"/>
      <c r="F10" s="850" t="s">
        <v>679</v>
      </c>
      <c r="G10" s="8"/>
      <c r="H10" s="747">
        <v>1461620</v>
      </c>
    </row>
    <row r="11" spans="1:8" ht="20">
      <c r="A11" s="85"/>
      <c r="B11" s="25"/>
      <c r="C11" s="25"/>
      <c r="D11" s="8"/>
      <c r="E11" s="81"/>
      <c r="F11" s="514"/>
      <c r="G11" s="34"/>
      <c r="H11" s="760"/>
    </row>
    <row r="12" spans="1:8" ht="20">
      <c r="A12" s="27">
        <f>+A10+1</f>
        <v>2</v>
      </c>
      <c r="B12" s="27"/>
      <c r="C12" s="61" t="s">
        <v>68</v>
      </c>
      <c r="D12" s="61"/>
      <c r="E12" s="138"/>
      <c r="F12" s="850" t="s">
        <v>479</v>
      </c>
      <c r="G12" s="8"/>
      <c r="H12" s="794">
        <f>+'ATT 5 -AA-BL Support'!H285</f>
        <v>9186464</v>
      </c>
    </row>
    <row r="13" spans="1:8" ht="20">
      <c r="A13" s="27">
        <f>+A12+1</f>
        <v>3</v>
      </c>
      <c r="B13" s="27"/>
      <c r="C13" s="61" t="s">
        <v>109</v>
      </c>
      <c r="D13" s="61"/>
      <c r="E13" s="81"/>
      <c r="F13" s="831" t="s">
        <v>479</v>
      </c>
      <c r="G13" s="8"/>
      <c r="H13" s="747">
        <f>+'ATT 5 -AA-BL Support'!H286</f>
        <v>3194048</v>
      </c>
    </row>
    <row r="14" spans="1:8" ht="20">
      <c r="A14" s="27">
        <f>+A13+1</f>
        <v>4</v>
      </c>
      <c r="B14" s="27"/>
      <c r="C14" s="50" t="s">
        <v>173</v>
      </c>
      <c r="D14" s="33"/>
      <c r="E14" s="129"/>
      <c r="F14" s="59" t="str">
        <f>"(Line "&amp;A12&amp;" - "&amp;A13&amp;")"</f>
        <v>(Line 2 - 3)</v>
      </c>
      <c r="G14" s="89"/>
      <c r="H14" s="795">
        <f>+H12-H13</f>
        <v>5992416</v>
      </c>
    </row>
    <row r="15" spans="1:8" ht="20">
      <c r="A15" s="27"/>
      <c r="B15" s="27"/>
      <c r="C15" s="24"/>
      <c r="D15" s="8"/>
      <c r="E15" s="18"/>
      <c r="F15" s="25"/>
      <c r="G15" s="8"/>
      <c r="H15" s="757"/>
    </row>
    <row r="16" spans="1:8" ht="20.5" thickBot="1">
      <c r="A16" s="27">
        <v>5</v>
      </c>
      <c r="B16" s="42" t="s">
        <v>151</v>
      </c>
      <c r="C16" s="42"/>
      <c r="D16" s="584"/>
      <c r="E16" s="130"/>
      <c r="F16" s="702" t="str">
        <f>"(Line "&amp;A10&amp;" / "&amp;A14&amp;")"</f>
        <v>(Line 1 / 4)</v>
      </c>
      <c r="G16" s="585"/>
      <c r="H16" s="796">
        <f>+H10/H14</f>
        <v>0.24391163764331447</v>
      </c>
    </row>
    <row r="17" spans="1:8" ht="20.5" thickTop="1">
      <c r="A17" s="27"/>
      <c r="B17" s="27"/>
      <c r="C17" s="22"/>
      <c r="D17" s="25"/>
      <c r="E17" s="26"/>
      <c r="F17" s="25"/>
      <c r="G17" s="8"/>
      <c r="H17" s="762"/>
    </row>
    <row r="18" spans="1:8" ht="20">
      <c r="A18" s="85"/>
      <c r="B18" s="22" t="s">
        <v>168</v>
      </c>
      <c r="C18" s="25"/>
      <c r="D18" s="34"/>
      <c r="E18" s="81"/>
      <c r="F18" s="514"/>
      <c r="G18" s="34"/>
      <c r="H18" s="763"/>
    </row>
    <row r="19" spans="1:8" ht="20">
      <c r="A19" s="27">
        <f>+A16+1</f>
        <v>6</v>
      </c>
      <c r="B19" s="514"/>
      <c r="C19" s="850" t="s">
        <v>842</v>
      </c>
      <c r="D19" s="25"/>
      <c r="E19" s="147" t="s">
        <v>239</v>
      </c>
      <c r="F19" s="61" t="s">
        <v>584</v>
      </c>
      <c r="G19" s="34"/>
      <c r="H19" s="794">
        <f>242990938-884123</f>
        <v>242106815</v>
      </c>
    </row>
    <row r="20" spans="1:8" ht="20">
      <c r="A20" s="27">
        <f>+A19+1</f>
        <v>7</v>
      </c>
      <c r="B20" s="514"/>
      <c r="C20" s="61" t="s">
        <v>110</v>
      </c>
      <c r="D20" s="25"/>
      <c r="E20" s="147"/>
      <c r="F20" s="92" t="str">
        <f>"(Line "&amp;A$46&amp;")"</f>
        <v>(Line 24)</v>
      </c>
      <c r="G20" s="34"/>
      <c r="H20" s="745">
        <f>+H46</f>
        <v>24107768</v>
      </c>
    </row>
    <row r="21" spans="1:8" ht="20">
      <c r="A21" s="27">
        <f>+A20+1</f>
        <v>8</v>
      </c>
      <c r="B21" s="514"/>
      <c r="C21" s="51" t="s">
        <v>114</v>
      </c>
      <c r="D21" s="619"/>
      <c r="E21" s="133"/>
      <c r="F21" s="59" t="str">
        <f>"(Sum Lines "&amp;A19&amp;" &amp; "&amp;A20&amp;")"</f>
        <v>(Sum Lines 6 &amp; 7)</v>
      </c>
      <c r="G21" s="586"/>
      <c r="H21" s="797">
        <f>SUM(H19:H20)</f>
        <v>266214583</v>
      </c>
    </row>
    <row r="22" spans="1:8" ht="20">
      <c r="A22" s="85"/>
      <c r="B22" s="514"/>
      <c r="C22" s="61"/>
      <c r="D22" s="25"/>
      <c r="E22" s="132"/>
      <c r="F22" s="61"/>
      <c r="G22" s="34"/>
      <c r="H22" s="764"/>
    </row>
    <row r="23" spans="1:8" ht="20">
      <c r="A23" s="27">
        <f>+A21+1</f>
        <v>9</v>
      </c>
      <c r="B23" s="514"/>
      <c r="C23" s="850" t="s">
        <v>843</v>
      </c>
      <c r="D23" s="25"/>
      <c r="E23" s="147"/>
      <c r="F23" s="61" t="s">
        <v>460</v>
      </c>
      <c r="G23" s="34"/>
      <c r="H23" s="747">
        <f>84406212-79007</f>
        <v>84327205</v>
      </c>
    </row>
    <row r="24" spans="1:8" ht="20">
      <c r="A24" s="27">
        <f>+A23+1</f>
        <v>10</v>
      </c>
      <c r="B24" s="514"/>
      <c r="C24" s="61" t="s">
        <v>193</v>
      </c>
      <c r="D24" s="25"/>
      <c r="E24" s="147" t="str">
        <f>"(Note "&amp;B$292&amp;")"</f>
        <v>(Note A)</v>
      </c>
      <c r="F24" s="9" t="s">
        <v>456</v>
      </c>
      <c r="G24" s="34"/>
      <c r="H24" s="912">
        <v>0</v>
      </c>
    </row>
    <row r="25" spans="1:8" ht="20">
      <c r="A25" s="27">
        <f>+A24+1</f>
        <v>11</v>
      </c>
      <c r="B25" s="514"/>
      <c r="C25" s="61" t="s">
        <v>165</v>
      </c>
      <c r="D25" s="25"/>
      <c r="E25" s="147" t="str">
        <f>"(Note "&amp;B$292&amp;")"</f>
        <v>(Note A)</v>
      </c>
      <c r="F25" s="745" t="s">
        <v>479</v>
      </c>
      <c r="G25" s="34"/>
      <c r="H25" s="794">
        <f>+'ATT 5 -AA-BL Support'!H288</f>
        <v>0</v>
      </c>
    </row>
    <row r="26" spans="1:8" ht="20">
      <c r="A26" s="27">
        <f>+A25+1</f>
        <v>12</v>
      </c>
      <c r="B26" s="25"/>
      <c r="C26" s="35" t="s">
        <v>194</v>
      </c>
      <c r="D26" s="8"/>
      <c r="E26" s="147" t="str">
        <f>"(Note "&amp;B$292&amp;")"</f>
        <v>(Note A)</v>
      </c>
      <c r="F26" s="9" t="str">
        <f>F25</f>
        <v>Attachment 5</v>
      </c>
      <c r="G26" s="34"/>
      <c r="H26" s="747">
        <f>+'ATT 5 -AA-BL Support'!H290</f>
        <v>6026037</v>
      </c>
    </row>
    <row r="27" spans="1:8" ht="20">
      <c r="A27" s="27">
        <f>+A26+1</f>
        <v>13</v>
      </c>
      <c r="B27" s="25"/>
      <c r="C27" s="51" t="s">
        <v>113</v>
      </c>
      <c r="D27" s="89"/>
      <c r="E27" s="587"/>
      <c r="F27" s="59" t="str">
        <f>"(Sum Lines "&amp;A23&amp;" to "&amp;A26&amp;")"</f>
        <v>(Sum Lines 9 to 12)</v>
      </c>
      <c r="G27" s="586"/>
      <c r="H27" s="797">
        <f>SUM(H23:H26)</f>
        <v>90353242</v>
      </c>
    </row>
    <row r="28" spans="1:8" ht="17.25" customHeight="1">
      <c r="A28" s="85"/>
      <c r="B28" s="25"/>
      <c r="C28" s="35"/>
      <c r="D28" s="8"/>
      <c r="E28" s="81"/>
      <c r="F28" s="5"/>
      <c r="G28" s="34"/>
      <c r="H28" s="765"/>
    </row>
    <row r="29" spans="1:8" ht="20">
      <c r="A29" s="27">
        <f>+A27+1</f>
        <v>14</v>
      </c>
      <c r="B29" s="514"/>
      <c r="C29" s="51" t="s">
        <v>161</v>
      </c>
      <c r="D29" s="586"/>
      <c r="E29" s="587"/>
      <c r="F29" s="33" t="str">
        <f>"(Line "&amp;A21&amp;" - Line "&amp;A27&amp;")"</f>
        <v>(Line 8 - Line 13)</v>
      </c>
      <c r="G29" s="586"/>
      <c r="H29" s="795">
        <f>+H21-H27</f>
        <v>175861341</v>
      </c>
    </row>
    <row r="30" spans="1:8" ht="20">
      <c r="A30" s="85"/>
      <c r="B30" s="514"/>
      <c r="C30" s="514"/>
      <c r="D30" s="34"/>
      <c r="E30" s="81"/>
      <c r="F30" s="34"/>
      <c r="G30" s="34"/>
      <c r="H30" s="763"/>
    </row>
    <row r="31" spans="1:8" ht="20">
      <c r="A31" s="27">
        <f>+A29+1</f>
        <v>15</v>
      </c>
      <c r="B31" s="514"/>
      <c r="C31" s="514" t="s">
        <v>111</v>
      </c>
      <c r="D31" s="34"/>
      <c r="E31" s="81"/>
      <c r="F31" s="90" t="str">
        <f>"(Line "&amp;A53&amp;" - Line "&amp;A51&amp;")"</f>
        <v>(Line 29 - Line 28)</v>
      </c>
      <c r="G31" s="34"/>
      <c r="H31" s="798">
        <f>+H53-H51</f>
        <v>69896479.071302131</v>
      </c>
    </row>
    <row r="32" spans="1:8" ht="20.5" thickBot="1">
      <c r="A32" s="27">
        <f>+A31+1</f>
        <v>16</v>
      </c>
      <c r="B32" s="701" t="s">
        <v>53</v>
      </c>
      <c r="C32" s="701"/>
      <c r="D32" s="588"/>
      <c r="E32" s="589"/>
      <c r="F32" s="43" t="str">
        <f>"(Line "&amp;A31&amp;" / Line "&amp;A21&amp;")"</f>
        <v>(Line 15 / Line 8)</v>
      </c>
      <c r="G32" s="588"/>
      <c r="H32" s="796">
        <f>+H31/(H21)</f>
        <v>0.26255691286191535</v>
      </c>
    </row>
    <row r="33" spans="1:8" ht="20.5" thickTop="1">
      <c r="A33" s="85"/>
      <c r="B33" s="25"/>
      <c r="C33" s="25"/>
      <c r="D33" s="8"/>
      <c r="E33" s="81"/>
      <c r="F33" s="34"/>
      <c r="G33" s="34"/>
      <c r="H33" s="763"/>
    </row>
    <row r="34" spans="1:26" s="34" customFormat="1" ht="20">
      <c r="A34" s="27">
        <f>+A32+1</f>
        <v>17</v>
      </c>
      <c r="B34" s="27"/>
      <c r="C34" s="24" t="s">
        <v>112</v>
      </c>
      <c r="D34" s="25"/>
      <c r="E34" s="26"/>
      <c r="F34" s="90" t="str">
        <f>"(Line "&amp;A69&amp;" - Line "&amp;A51&amp;")"</f>
        <v>(Line 39 - Line 28)</v>
      </c>
      <c r="G34" s="8"/>
      <c r="H34" s="798">
        <f>+H69-H51</f>
        <v>48836806.718691096</v>
      </c>
      <c r="I34" s="738"/>
      <c r="J34"/>
      <c r="K34"/>
      <c r="L34"/>
      <c r="M34"/>
      <c r="N34"/>
      <c r="O34"/>
      <c r="P34"/>
      <c r="Q34"/>
      <c r="R34"/>
      <c r="S34"/>
      <c r="T34"/>
      <c r="U34"/>
      <c r="V34"/>
      <c r="W34"/>
      <c r="X34"/>
      <c r="Y34"/>
      <c r="Z34"/>
    </row>
    <row r="35" spans="1:8" ht="20.5" thickBot="1">
      <c r="A35" s="27">
        <f>+A34+1</f>
        <v>18</v>
      </c>
      <c r="B35" s="701" t="s">
        <v>162</v>
      </c>
      <c r="C35" s="701"/>
      <c r="D35" s="588"/>
      <c r="E35" s="589"/>
      <c r="F35" s="43" t="str">
        <f>"(Line "&amp;A34&amp;" / Line "&amp;A29&amp;")"</f>
        <v>(Line 17 / Line 14)</v>
      </c>
      <c r="G35" s="588"/>
      <c r="H35" s="796">
        <f>+H34/H29</f>
        <v>0.27770063870200501</v>
      </c>
    </row>
    <row r="36" spans="1:8" ht="20.5" thickTop="1">
      <c r="A36" s="119"/>
      <c r="B36" s="27"/>
      <c r="C36" s="22"/>
      <c r="D36" s="25"/>
      <c r="E36" s="26"/>
      <c r="F36" s="8"/>
      <c r="G36" s="8"/>
      <c r="H36" s="762"/>
    </row>
    <row r="37" spans="1:26" s="57" customFormat="1" ht="20">
      <c r="A37" s="78" t="s">
        <v>160</v>
      </c>
      <c r="B37" s="78"/>
      <c r="C37" s="581"/>
      <c r="D37" s="581"/>
      <c r="E37" s="582"/>
      <c r="F37" s="583"/>
      <c r="G37" s="583"/>
      <c r="H37" s="766"/>
      <c r="I37" s="738"/>
      <c r="J37"/>
      <c r="K37"/>
      <c r="L37"/>
      <c r="M37"/>
      <c r="N37"/>
      <c r="O37"/>
      <c r="P37"/>
      <c r="Q37"/>
      <c r="R37"/>
      <c r="S37"/>
      <c r="T37"/>
      <c r="U37"/>
      <c r="V37"/>
      <c r="W37"/>
      <c r="X37"/>
      <c r="Y37"/>
      <c r="Z37"/>
    </row>
    <row r="38" spans="1:26" s="57" customFormat="1" ht="20">
      <c r="A38" s="703"/>
      <c r="B38" s="95"/>
      <c r="C38" s="35"/>
      <c r="D38" s="35"/>
      <c r="E38" s="580"/>
      <c r="F38" s="61"/>
      <c r="G38" s="61"/>
      <c r="H38" s="767"/>
      <c r="I38" s="738"/>
      <c r="J38"/>
      <c r="K38"/>
      <c r="L38"/>
      <c r="M38"/>
      <c r="N38"/>
      <c r="O38"/>
      <c r="P38"/>
      <c r="Q38"/>
      <c r="R38"/>
      <c r="S38"/>
      <c r="T38"/>
      <c r="U38"/>
      <c r="V38"/>
      <c r="W38"/>
      <c r="X38"/>
      <c r="Y38"/>
      <c r="Z38"/>
    </row>
    <row r="39" spans="1:8" ht="20">
      <c r="A39" s="85"/>
      <c r="B39" s="22" t="s">
        <v>121</v>
      </c>
      <c r="C39" s="8"/>
      <c r="D39" s="8"/>
      <c r="E39" s="26"/>
      <c r="F39" s="9"/>
      <c r="G39" s="48"/>
      <c r="H39" s="761"/>
    </row>
    <row r="40" spans="1:8" ht="20">
      <c r="A40" s="27">
        <f>+A35+1</f>
        <v>19</v>
      </c>
      <c r="B40" s="6"/>
      <c r="C40" s="744" t="s">
        <v>844</v>
      </c>
      <c r="D40" s="25"/>
      <c r="E40" s="147" t="s">
        <v>239</v>
      </c>
      <c r="F40" s="410" t="s">
        <v>83</v>
      </c>
      <c r="G40" s="8"/>
      <c r="H40" s="794">
        <f>61376903-172296</f>
        <v>61204607</v>
      </c>
    </row>
    <row r="41" spans="1:8" ht="20">
      <c r="A41" s="27">
        <f>+A40+1</f>
        <v>20</v>
      </c>
      <c r="B41" s="6"/>
      <c r="C41" s="3" t="s">
        <v>24</v>
      </c>
      <c r="D41" s="8"/>
      <c r="E41" s="26" t="s">
        <v>25</v>
      </c>
      <c r="F41" s="410" t="s">
        <v>483</v>
      </c>
      <c r="G41" s="8"/>
      <c r="H41" s="747">
        <v>0</v>
      </c>
    </row>
    <row r="42" spans="1:8" ht="20">
      <c r="A42" s="27">
        <f>+A41+1</f>
        <v>21</v>
      </c>
      <c r="B42" s="6"/>
      <c r="C42" s="127" t="s">
        <v>404</v>
      </c>
      <c r="D42" s="208"/>
      <c r="E42" s="590"/>
      <c r="F42" s="602" t="s">
        <v>483</v>
      </c>
      <c r="G42" s="208"/>
      <c r="H42" s="747">
        <f>+'ATT 6 - Est and True-up WS'!H75</f>
        <v>1461456.7083333333</v>
      </c>
    </row>
    <row r="43" spans="1:8" ht="20">
      <c r="A43" s="27">
        <f>+A42+1</f>
        <v>22</v>
      </c>
      <c r="B43" s="6"/>
      <c r="C43" s="12" t="s">
        <v>403</v>
      </c>
      <c r="D43" s="8"/>
      <c r="E43" s="147"/>
      <c r="F43" s="45" t="str">
        <f>"(Line "&amp;A40&amp;" - Line "&amp;A41&amp;" + Line "&amp;A42&amp;")"</f>
        <v>(Line 19 - Line 20 + Line 21)</v>
      </c>
      <c r="G43" s="8"/>
      <c r="H43" s="800">
        <f>+H40-H41+H42</f>
        <v>62666063.708333336</v>
      </c>
    </row>
    <row r="44" spans="1:26" s="57" customFormat="1" ht="20">
      <c r="A44" s="27"/>
      <c r="B44" s="27"/>
      <c r="C44" s="24"/>
      <c r="D44" s="25"/>
      <c r="E44" s="85"/>
      <c r="F44" s="9"/>
      <c r="G44" s="25"/>
      <c r="H44" s="764"/>
      <c r="I44" s="738"/>
      <c r="J44"/>
      <c r="K44"/>
      <c r="L44"/>
      <c r="M44"/>
      <c r="N44"/>
      <c r="O44"/>
      <c r="P44"/>
      <c r="Q44"/>
      <c r="R44"/>
      <c r="S44"/>
      <c r="T44"/>
      <c r="U44"/>
      <c r="V44"/>
      <c r="W44"/>
      <c r="X44"/>
      <c r="Y44"/>
      <c r="Z44"/>
    </row>
    <row r="45" spans="1:8" ht="20">
      <c r="A45" s="27">
        <f>+A43+1</f>
        <v>23</v>
      </c>
      <c r="B45" s="6"/>
      <c r="C45" s="3" t="s">
        <v>154</v>
      </c>
      <c r="D45" s="8"/>
      <c r="E45" s="81"/>
      <c r="F45" s="9" t="s">
        <v>585</v>
      </c>
      <c r="G45" s="8"/>
      <c r="H45" s="747">
        <f>8038+5527779</f>
        <v>5535817</v>
      </c>
    </row>
    <row r="46" spans="1:8" ht="20">
      <c r="A46" s="27">
        <f>+A45+1</f>
        <v>24</v>
      </c>
      <c r="B46" s="6"/>
      <c r="C46" s="3" t="s">
        <v>117</v>
      </c>
      <c r="D46" s="8"/>
      <c r="E46" s="147" t="str">
        <f>"(Notes "&amp;B$292&amp;" &amp; "&amp;B$293&amp;")"</f>
        <v>(Notes A &amp; B)</v>
      </c>
      <c r="F46" s="602" t="s">
        <v>479</v>
      </c>
      <c r="G46" s="8"/>
      <c r="H46" s="758">
        <f>'ATT 5 -AA-BL Support'!H292</f>
        <v>24107768</v>
      </c>
    </row>
    <row r="47" spans="1:8" ht="20">
      <c r="A47" s="27">
        <f>+A46+1</f>
        <v>25</v>
      </c>
      <c r="B47" s="6"/>
      <c r="C47" s="39" t="s">
        <v>156</v>
      </c>
      <c r="D47" s="89"/>
      <c r="E47" s="587"/>
      <c r="F47" s="45" t="str">
        <f>"(Line "&amp;A45&amp;" + Line "&amp;A46&amp;")"</f>
        <v>(Line 23 + Line 24)</v>
      </c>
      <c r="G47" s="89"/>
      <c r="H47" s="795">
        <f>SUM(H45:H46)</f>
        <v>29643585</v>
      </c>
    </row>
    <row r="48" spans="1:8" ht="20">
      <c r="A48" s="27">
        <f>+A47+1</f>
        <v>26</v>
      </c>
      <c r="B48" s="6"/>
      <c r="C48" s="3" t="s">
        <v>169</v>
      </c>
      <c r="D48" s="24"/>
      <c r="E48" s="26"/>
      <c r="F48" s="92" t="str">
        <f>"(Line "&amp;A$16&amp;")"</f>
        <v>(Line 5)</v>
      </c>
      <c r="G48" s="21"/>
      <c r="H48" s="801">
        <f>+H16</f>
        <v>0.24391163764331447</v>
      </c>
    </row>
    <row r="49" spans="1:8" ht="20">
      <c r="A49" s="27">
        <f>+A48+1</f>
        <v>27</v>
      </c>
      <c r="B49" s="34"/>
      <c r="C49" s="41" t="s">
        <v>119</v>
      </c>
      <c r="D49" s="51"/>
      <c r="E49" s="129"/>
      <c r="F49" s="45" t="str">
        <f>"(Line "&amp;A47&amp;" * Line "&amp;A48&amp;")"</f>
        <v>(Line 25 * Line 26)</v>
      </c>
      <c r="G49" s="586"/>
      <c r="H49" s="800">
        <f>+H48*H47</f>
        <v>7230415.3629687922</v>
      </c>
    </row>
    <row r="50" spans="1:8" ht="20">
      <c r="A50" s="85"/>
      <c r="B50" s="34"/>
      <c r="C50" s="22"/>
      <c r="D50" s="514"/>
      <c r="E50" s="591"/>
      <c r="F50" s="514"/>
      <c r="G50" s="34"/>
      <c r="H50" s="768"/>
    </row>
    <row r="51" spans="1:8" ht="20">
      <c r="A51" s="27">
        <f>+A49+1</f>
        <v>28</v>
      </c>
      <c r="B51" s="6"/>
      <c r="C51" s="41" t="s">
        <v>273</v>
      </c>
      <c r="D51" s="152"/>
      <c r="E51" s="147" t="str">
        <f>"(Note "&amp;B$296&amp;")"</f>
        <v>(Note C)</v>
      </c>
      <c r="F51" s="59" t="s">
        <v>479</v>
      </c>
      <c r="G51" s="89"/>
      <c r="H51" s="794">
        <f>+'ATT 5 -AA-BL Support'!H316</f>
        <v>0</v>
      </c>
    </row>
    <row r="52" spans="1:8" ht="20">
      <c r="A52" s="85"/>
      <c r="B52" s="34"/>
      <c r="C52" s="22"/>
      <c r="D52" s="514"/>
      <c r="E52" s="85"/>
      <c r="F52" s="514"/>
      <c r="G52" s="34"/>
      <c r="H52" s="768"/>
    </row>
    <row r="53" spans="1:26" s="1" customFormat="1" ht="20.5" thickBot="1">
      <c r="A53" s="27">
        <f>+A51+1</f>
        <v>29</v>
      </c>
      <c r="B53" s="47" t="s">
        <v>116</v>
      </c>
      <c r="C53" s="47"/>
      <c r="D53" s="47"/>
      <c r="E53" s="135"/>
      <c r="F53" s="678" t="str">
        <f>"(Line "&amp;A43&amp;" + Line "&amp;A49&amp;" + Line "&amp;A51&amp;")"</f>
        <v>(Line 22 + Line 27 + Line 28)</v>
      </c>
      <c r="G53" s="47"/>
      <c r="H53" s="802">
        <f>SUM(H43,H49,H51)</f>
        <v>69896479.071302131</v>
      </c>
      <c r="I53" s="738"/>
      <c r="J53"/>
      <c r="K53"/>
      <c r="L53"/>
      <c r="M53"/>
      <c r="N53"/>
      <c r="O53"/>
      <c r="P53"/>
      <c r="Q53"/>
      <c r="R53"/>
      <c r="S53"/>
      <c r="T53"/>
      <c r="U53"/>
      <c r="V53"/>
      <c r="W53"/>
      <c r="X53"/>
      <c r="Y53"/>
      <c r="Z53"/>
    </row>
    <row r="54" spans="1:8" ht="20.5" thickTop="1">
      <c r="A54" s="85"/>
      <c r="B54" s="34"/>
      <c r="C54" s="34"/>
      <c r="D54" s="34"/>
      <c r="E54" s="81"/>
      <c r="F54" s="514"/>
      <c r="G54" s="34"/>
      <c r="H54" s="763"/>
    </row>
    <row r="55" spans="1:8" ht="20">
      <c r="A55" s="27"/>
      <c r="B55" s="22" t="s">
        <v>105</v>
      </c>
      <c r="C55" s="22"/>
      <c r="D55" s="9"/>
      <c r="E55" s="18"/>
      <c r="F55" s="9"/>
      <c r="G55" s="13"/>
      <c r="H55" s="761"/>
    </row>
    <row r="56" spans="1:8" ht="20">
      <c r="A56" s="85"/>
      <c r="B56" s="25"/>
      <c r="C56" s="25"/>
      <c r="D56" s="25"/>
      <c r="E56" s="81"/>
      <c r="F56" s="9"/>
      <c r="G56" s="5"/>
      <c r="H56" s="761"/>
    </row>
    <row r="57" spans="1:8" ht="20">
      <c r="A57" s="27">
        <f>+A53+1</f>
        <v>30</v>
      </c>
      <c r="B57" s="6"/>
      <c r="C57" s="3" t="s">
        <v>183</v>
      </c>
      <c r="D57" s="8"/>
      <c r="E57" s="147" t="str">
        <f>"(Note "&amp;B$296&amp;")"</f>
        <v>(Note C)</v>
      </c>
      <c r="F57" s="410" t="s">
        <v>479</v>
      </c>
      <c r="G57" s="8"/>
      <c r="H57" s="794">
        <f>'ATT 5 -AA-BL Support'!H317</f>
        <v>18888289</v>
      </c>
    </row>
    <row r="58" spans="1:26" s="57" customFormat="1" ht="20">
      <c r="A58" s="27"/>
      <c r="B58" s="27"/>
      <c r="C58" s="25"/>
      <c r="D58" s="24"/>
      <c r="E58" s="85"/>
      <c r="F58" s="9"/>
      <c r="G58" s="25"/>
      <c r="H58" s="764"/>
      <c r="I58" s="738"/>
      <c r="J58"/>
      <c r="K58"/>
      <c r="L58"/>
      <c r="M58"/>
      <c r="N58"/>
      <c r="O58"/>
      <c r="P58"/>
      <c r="Q58"/>
      <c r="R58"/>
      <c r="S58"/>
      <c r="T58"/>
      <c r="U58"/>
      <c r="V58"/>
      <c r="W58"/>
      <c r="X58"/>
      <c r="Y58"/>
      <c r="Z58"/>
    </row>
    <row r="59" spans="1:8" ht="20">
      <c r="A59" s="27">
        <f>+A57+1</f>
        <v>31</v>
      </c>
      <c r="B59" s="6"/>
      <c r="C59" s="3" t="s">
        <v>222</v>
      </c>
      <c r="D59" s="8"/>
      <c r="E59" s="81"/>
      <c r="F59" s="45" t="str">
        <f>F57</f>
        <v>Attachment 5</v>
      </c>
      <c r="G59" s="8"/>
      <c r="H59" s="759">
        <f>'ATT 5 -AA-BL Support'!H289</f>
        <v>2876299</v>
      </c>
    </row>
    <row r="60" spans="1:8" ht="20">
      <c r="A60" s="27">
        <f t="shared" si="0" ref="A60:A65">=+A59+1</f>
        <v>32</v>
      </c>
      <c r="B60" s="6"/>
      <c r="C60" s="3" t="str">
        <f>+C24</f>
        <v>Accumulated Intangible Amortization</v>
      </c>
      <c r="D60" s="8"/>
      <c r="E60" s="81"/>
      <c r="F60" s="23" t="str">
        <f>"(Line "&amp;A$24&amp;")"</f>
        <v>(Line 10)</v>
      </c>
      <c r="G60" s="8"/>
      <c r="H60" s="745">
        <f>+H24</f>
        <v>0</v>
      </c>
    </row>
    <row r="61" spans="1:8" ht="20">
      <c r="A61" s="27">
        <f t="shared" si="0"/>
        <v>33</v>
      </c>
      <c r="B61" s="6"/>
      <c r="C61" s="3" t="str">
        <f>+C25</f>
        <v>Accumulated Common Amortization - Electric</v>
      </c>
      <c r="D61" s="8"/>
      <c r="E61" s="147"/>
      <c r="F61" s="23" t="str">
        <f>"(Line "&amp;A$25&amp;")"</f>
        <v>(Line 11)</v>
      </c>
      <c r="G61" s="8"/>
      <c r="H61" s="745">
        <f>+H25</f>
        <v>0</v>
      </c>
    </row>
    <row r="62" spans="1:8" ht="20">
      <c r="A62" s="27">
        <f t="shared" si="0"/>
        <v>34</v>
      </c>
      <c r="B62" s="6"/>
      <c r="C62" s="127" t="s">
        <v>118</v>
      </c>
      <c r="D62" s="208"/>
      <c r="E62" s="154"/>
      <c r="F62" s="90" t="str">
        <f>"(Line "&amp;A$26&amp;")"</f>
        <v>(Line 12)</v>
      </c>
      <c r="G62" s="208"/>
      <c r="H62" s="803">
        <f>+H26</f>
        <v>6026037</v>
      </c>
    </row>
    <row r="63" spans="1:8" ht="20">
      <c r="A63" s="27">
        <f t="shared" si="0"/>
        <v>35</v>
      </c>
      <c r="B63" s="6"/>
      <c r="C63" s="145" t="s">
        <v>113</v>
      </c>
      <c r="D63" s="37"/>
      <c r="E63" s="19"/>
      <c r="F63" s="23" t="str">
        <f>"(Sum Lines "&amp;A59&amp;" to "&amp;A62&amp;")"</f>
        <v>(Sum Lines 31 to 34)</v>
      </c>
      <c r="G63" s="23"/>
      <c r="H63" s="804">
        <f>SUM(H59:H62)</f>
        <v>8902336</v>
      </c>
    </row>
    <row r="64" spans="1:8" ht="20">
      <c r="A64" s="27">
        <f t="shared" si="0"/>
        <v>36</v>
      </c>
      <c r="B64" s="6"/>
      <c r="C64" s="145" t="str">
        <f>+C48</f>
        <v>Wage &amp; Salary Allocation Factor</v>
      </c>
      <c r="D64" s="37"/>
      <c r="E64" s="19"/>
      <c r="F64" s="90" t="str">
        <f>"(Line "&amp;A$16&amp;")"</f>
        <v>(Line 5)</v>
      </c>
      <c r="G64" s="23"/>
      <c r="H64" s="805">
        <f>+H16</f>
        <v>0.24391163764331447</v>
      </c>
    </row>
    <row r="65" spans="1:8" ht="20">
      <c r="A65" s="27">
        <f t="shared" si="0"/>
        <v>37</v>
      </c>
      <c r="B65" s="34"/>
      <c r="C65" s="77" t="s">
        <v>143</v>
      </c>
      <c r="D65" s="586"/>
      <c r="E65" s="587"/>
      <c r="F65" s="23" t="str">
        <f>"(Line "&amp;A63&amp;" * Line "&amp;A64&amp;")"</f>
        <v>(Line 35 * Line 36)</v>
      </c>
      <c r="G65" s="586"/>
      <c r="H65" s="800">
        <f>+H64*H63</f>
        <v>2171383.3526110337</v>
      </c>
    </row>
    <row r="66" spans="1:8" ht="20">
      <c r="A66" s="85"/>
      <c r="B66" s="34"/>
      <c r="C66" s="34"/>
      <c r="D66" s="34"/>
      <c r="E66" s="81"/>
      <c r="F66" s="34"/>
      <c r="G66" s="34"/>
      <c r="H66" s="763"/>
    </row>
    <row r="67" spans="1:8" ht="20.5" thickBot="1">
      <c r="A67" s="27">
        <f>+A65+1</f>
        <v>38</v>
      </c>
      <c r="B67" s="47" t="s">
        <v>157</v>
      </c>
      <c r="C67" s="47"/>
      <c r="D67" s="47"/>
      <c r="E67" s="135"/>
      <c r="F67" s="44" t="str">
        <f>"(Line "&amp;A57&amp;" + Line "&amp;A65&amp;")"</f>
        <v>(Line 30 + Line 37)</v>
      </c>
      <c r="G67" s="47"/>
      <c r="H67" s="802">
        <f>+H65+H57</f>
        <v>21059672.352611035</v>
      </c>
    </row>
    <row r="68" spans="1:8" ht="20.5" thickTop="1">
      <c r="A68" s="85"/>
      <c r="B68" s="34"/>
      <c r="C68" s="34"/>
      <c r="D68" s="34"/>
      <c r="E68" s="81"/>
      <c r="F68" s="34"/>
      <c r="G68" s="34"/>
      <c r="H68" s="763"/>
    </row>
    <row r="69" spans="1:8" ht="20.5" thickBot="1">
      <c r="A69" s="27">
        <f>+A67+1</f>
        <v>39</v>
      </c>
      <c r="B69" s="47" t="s">
        <v>158</v>
      </c>
      <c r="C69" s="47"/>
      <c r="D69" s="47"/>
      <c r="E69" s="135"/>
      <c r="F69" s="44" t="str">
        <f>"(Line "&amp;A53&amp;" - Line "&amp;A67&amp;")"</f>
        <v>(Line 29 - Line 38)</v>
      </c>
      <c r="G69" s="47"/>
      <c r="H69" s="802">
        <f>+H53-H67</f>
        <v>48836806.718691096</v>
      </c>
    </row>
    <row r="70" spans="1:8" ht="20.5" thickTop="1">
      <c r="A70" s="81"/>
      <c r="B70" s="34"/>
      <c r="C70" s="34"/>
      <c r="D70" s="34"/>
      <c r="E70" s="81"/>
      <c r="F70" s="34"/>
      <c r="G70" s="34"/>
      <c r="H70" s="763"/>
    </row>
    <row r="71" spans="1:8" ht="20">
      <c r="A71" s="79" t="s">
        <v>120</v>
      </c>
      <c r="B71" s="581"/>
      <c r="C71" s="581"/>
      <c r="D71" s="581"/>
      <c r="E71" s="582"/>
      <c r="F71" s="583"/>
      <c r="G71" s="583"/>
      <c r="H71" s="769"/>
    </row>
    <row r="72" spans="1:8" ht="20">
      <c r="A72" s="182"/>
      <c r="B72" s="183"/>
      <c r="C72" s="183"/>
      <c r="D72" s="183"/>
      <c r="E72" s="81"/>
      <c r="F72" s="34"/>
      <c r="G72" s="34"/>
      <c r="H72" s="763"/>
    </row>
    <row r="73" spans="1:8" ht="20">
      <c r="A73" s="85"/>
      <c r="B73" s="470" t="s">
        <v>236</v>
      </c>
      <c r="C73" s="8"/>
      <c r="D73" s="514"/>
      <c r="E73" s="592"/>
      <c r="F73" s="34"/>
      <c r="G73" s="34"/>
      <c r="H73" s="761"/>
    </row>
    <row r="74" spans="1:8" ht="20">
      <c r="A74" s="85">
        <f>+A69+1</f>
        <v>40</v>
      </c>
      <c r="B74" s="470"/>
      <c r="C74" s="8" t="s">
        <v>268</v>
      </c>
      <c r="D74" s="514"/>
      <c r="E74" s="147" t="s">
        <v>802</v>
      </c>
      <c r="F74" s="593" t="s">
        <v>480</v>
      </c>
      <c r="G74" s="34"/>
      <c r="H74" s="759">
        <f>+'ATT 1 - ADIT'!G16</f>
        <v>-9989200.0464938134</v>
      </c>
    </row>
    <row r="75" spans="1:26" s="56" customFormat="1" ht="20">
      <c r="A75" s="27">
        <f>+A74+1</f>
        <v>41</v>
      </c>
      <c r="B75" s="514"/>
      <c r="C75" s="8" t="s">
        <v>207</v>
      </c>
      <c r="D75" s="207"/>
      <c r="E75" s="147" t="str">
        <f>"(Notes "&amp;B$292&amp;" &amp; "&amp;B$301&amp;")"</f>
        <v>(Notes A &amp; I)</v>
      </c>
      <c r="F75" s="410" t="s">
        <v>479</v>
      </c>
      <c r="G75" s="25"/>
      <c r="H75" s="759">
        <f>'ATT 5 -AA-BL Support'!H297</f>
        <v>0</v>
      </c>
      <c r="I75" s="739"/>
      <c r="J75"/>
      <c r="K75"/>
      <c r="L75"/>
      <c r="M75"/>
      <c r="N75"/>
      <c r="O75"/>
      <c r="P75"/>
      <c r="Q75"/>
      <c r="R75"/>
      <c r="S75"/>
      <c r="T75"/>
      <c r="U75"/>
      <c r="V75"/>
      <c r="W75"/>
      <c r="X75"/>
      <c r="Y75"/>
      <c r="Z75"/>
    </row>
    <row r="76" spans="1:8" ht="20">
      <c r="A76" s="27">
        <f>+A75+1</f>
        <v>42</v>
      </c>
      <c r="B76" s="514"/>
      <c r="C76" s="8" t="s">
        <v>122</v>
      </c>
      <c r="D76" s="514"/>
      <c r="E76" s="85"/>
      <c r="F76" s="92" t="str">
        <f>"(Line "&amp;A35&amp;")"</f>
        <v>(Line 18)</v>
      </c>
      <c r="G76" s="34"/>
      <c r="H76" s="806">
        <f>+H$35</f>
        <v>0.27770063870200501</v>
      </c>
    </row>
    <row r="77" spans="1:26" s="57" customFormat="1" ht="20">
      <c r="A77" s="27">
        <f>+A76+1</f>
        <v>43</v>
      </c>
      <c r="B77" s="514"/>
      <c r="C77" s="594" t="s">
        <v>144</v>
      </c>
      <c r="D77" s="51"/>
      <c r="E77" s="133"/>
      <c r="F77" s="45" t="str">
        <f>"(Line "&amp;A75&amp;" * Line "&amp;A76&amp;") + Line "&amp;A74</f>
        <v>(Line 41 * Line 42) + Line 40</v>
      </c>
      <c r="G77" s="51"/>
      <c r="H77" s="807">
        <f>+H74+H75*H76</f>
        <v>-9989200.0464938134</v>
      </c>
      <c r="I77" s="738"/>
      <c r="J77"/>
      <c r="K77"/>
      <c r="L77"/>
      <c r="M77"/>
      <c r="N77"/>
      <c r="O77"/>
      <c r="P77"/>
      <c r="Q77"/>
      <c r="R77"/>
      <c r="S77"/>
      <c r="T77"/>
      <c r="U77"/>
      <c r="V77"/>
      <c r="W77"/>
      <c r="X77"/>
      <c r="Y77"/>
      <c r="Z77"/>
    </row>
    <row r="78" spans="1:8" ht="20">
      <c r="A78" s="85"/>
      <c r="B78" s="514"/>
      <c r="C78" s="470"/>
      <c r="D78" s="61"/>
      <c r="E78" s="132"/>
      <c r="F78" s="61"/>
      <c r="G78" s="38"/>
      <c r="H78" s="771"/>
    </row>
    <row r="79" spans="1:8" ht="20">
      <c r="A79" s="27"/>
      <c r="B79" s="595"/>
      <c r="C79" s="25"/>
      <c r="D79" s="8"/>
      <c r="E79" s="81"/>
      <c r="F79" s="568"/>
      <c r="G79" s="568"/>
      <c r="H79" s="763"/>
    </row>
    <row r="80" spans="1:8" ht="20">
      <c r="A80" s="27"/>
      <c r="B80" s="596" t="s">
        <v>106</v>
      </c>
      <c r="C80" s="119"/>
      <c r="D80" s="8"/>
      <c r="E80" s="81"/>
      <c r="F80" s="597"/>
      <c r="G80" s="597"/>
      <c r="H80" s="763"/>
    </row>
    <row r="81" spans="1:8" ht="20">
      <c r="A81" s="27">
        <f>+A77+1</f>
        <v>44</v>
      </c>
      <c r="B81" s="598"/>
      <c r="C81" s="119" t="s">
        <v>181</v>
      </c>
      <c r="D81" s="131"/>
      <c r="E81" s="147" t="str">
        <f>"(Note "&amp;B$292&amp;")"</f>
        <v>(Note A)</v>
      </c>
      <c r="F81" s="410" t="s">
        <v>479</v>
      </c>
      <c r="G81" s="597"/>
      <c r="H81" s="759">
        <f>+'ATT 5 -AA-BL Support'!H299</f>
        <v>1108856</v>
      </c>
    </row>
    <row r="82" spans="1:8" ht="20">
      <c r="A82" s="27">
        <f>+A81+1</f>
        <v>45</v>
      </c>
      <c r="B82" s="595"/>
      <c r="C82" s="146" t="s">
        <v>122</v>
      </c>
      <c r="D82" s="410"/>
      <c r="E82" s="599"/>
      <c r="F82" s="90" t="str">
        <f>"(Line "&amp;A$35&amp;")"</f>
        <v>(Line 18)</v>
      </c>
      <c r="G82" s="597"/>
      <c r="H82" s="817">
        <f>+H35</f>
        <v>0.27770063870200501</v>
      </c>
    </row>
    <row r="83" spans="1:8" ht="20">
      <c r="A83" s="27">
        <f>+A82+1</f>
        <v>46</v>
      </c>
      <c r="B83" s="595"/>
      <c r="C83" s="159" t="s">
        <v>84</v>
      </c>
      <c r="D83" s="89"/>
      <c r="E83" s="600"/>
      <c r="F83" s="23" t="str">
        <f>"(Line "&amp;A81&amp;" * Line "&amp;A82&amp;")"</f>
        <v>(Line 44 * Line 45)</v>
      </c>
      <c r="G83" s="601"/>
      <c r="H83" s="808">
        <f>+H81*H82</f>
        <v>307930.01942855044</v>
      </c>
    </row>
    <row r="84" spans="1:8" ht="20">
      <c r="A84" s="27"/>
      <c r="B84" s="595"/>
      <c r="C84" s="119"/>
      <c r="D84" s="8"/>
      <c r="E84" s="6"/>
      <c r="F84" s="597"/>
      <c r="G84" s="597"/>
      <c r="H84" s="772"/>
    </row>
    <row r="85" spans="1:8" ht="20">
      <c r="A85" s="27"/>
      <c r="B85" s="596" t="s">
        <v>101</v>
      </c>
      <c r="C85" s="514"/>
      <c r="D85" s="514"/>
      <c r="E85" s="128"/>
      <c r="F85" s="567"/>
      <c r="G85" s="597"/>
      <c r="H85" s="772"/>
    </row>
    <row r="86" spans="1:8" ht="20">
      <c r="A86" s="85">
        <f>+A83+1</f>
        <v>47</v>
      </c>
      <c r="B86" s="514"/>
      <c r="C86" s="514" t="s">
        <v>124</v>
      </c>
      <c r="D86" s="25"/>
      <c r="E86" s="147" t="str">
        <f>"(Note "&amp;B$292&amp;")"</f>
        <v>(Note A)</v>
      </c>
      <c r="F86" s="410" t="s">
        <v>479</v>
      </c>
      <c r="G86" s="34"/>
      <c r="H86" s="759">
        <f>'ATT 5 -AA-BL Support'!H301</f>
        <v>813240</v>
      </c>
    </row>
    <row r="87" spans="1:26" s="57" customFormat="1" ht="20">
      <c r="A87" s="27">
        <f>+A86+1</f>
        <v>48</v>
      </c>
      <c r="B87" s="595"/>
      <c r="C87" s="613" t="s">
        <v>169</v>
      </c>
      <c r="D87" s="602"/>
      <c r="E87" s="603"/>
      <c r="F87" s="90" t="str">
        <f>"(Line "&amp;A$16&amp;")"</f>
        <v>(Line 5)</v>
      </c>
      <c r="G87" s="604"/>
      <c r="H87" s="806">
        <f>+H16</f>
        <v>0.24391163764331447</v>
      </c>
      <c r="I87" s="738"/>
      <c r="J87"/>
      <c r="K87"/>
      <c r="L87"/>
      <c r="M87"/>
      <c r="N87"/>
      <c r="O87"/>
      <c r="P87"/>
      <c r="Q87"/>
      <c r="R87"/>
      <c r="S87"/>
      <c r="T87"/>
      <c r="U87"/>
      <c r="V87"/>
      <c r="W87"/>
      <c r="X87"/>
      <c r="Y87"/>
      <c r="Z87"/>
    </row>
    <row r="88" spans="1:8" ht="20">
      <c r="A88" s="27">
        <f>+A87+1</f>
        <v>49</v>
      </c>
      <c r="B88" s="595"/>
      <c r="C88" s="514" t="s">
        <v>182</v>
      </c>
      <c r="D88" s="25"/>
      <c r="E88" s="85"/>
      <c r="F88" s="23" t="str">
        <f>"(Line "&amp;A86&amp;" * Line "&amp;A87&amp;")"</f>
        <v>(Line 47 * Line 48)</v>
      </c>
      <c r="G88" s="597"/>
      <c r="H88" s="809">
        <f>+H86*H87</f>
        <v>198358.70019704907</v>
      </c>
    </row>
    <row r="89" spans="1:8" ht="20">
      <c r="A89" s="27">
        <f>+A88+1</f>
        <v>50</v>
      </c>
      <c r="B89" s="595"/>
      <c r="C89" s="514" t="s">
        <v>86</v>
      </c>
      <c r="D89" s="25"/>
      <c r="E89" s="27"/>
      <c r="F89" s="602" t="s">
        <v>479</v>
      </c>
      <c r="G89" s="597"/>
      <c r="H89" s="758">
        <f>+'ATT 5 -AA-BL Support'!H318</f>
        <v>388818</v>
      </c>
    </row>
    <row r="90" spans="1:8" ht="18" customHeight="1">
      <c r="A90" s="27">
        <f>+A89+1</f>
        <v>51</v>
      </c>
      <c r="B90" s="595"/>
      <c r="C90" s="605" t="s">
        <v>100</v>
      </c>
      <c r="D90" s="106"/>
      <c r="E90" s="606"/>
      <c r="F90" s="23" t="str">
        <f>"(Line "&amp;A88&amp;" + Line "&amp;A89&amp;")"</f>
        <v>(Line 49 + Line 50)</v>
      </c>
      <c r="G90" s="607"/>
      <c r="H90" s="810">
        <f>SUM(H88:H89)</f>
        <v>587176.70019704907</v>
      </c>
    </row>
    <row r="91" spans="1:8" ht="20">
      <c r="A91" s="27"/>
      <c r="B91" s="595"/>
      <c r="C91" s="119"/>
      <c r="D91" s="8"/>
      <c r="E91" s="6"/>
      <c r="F91" s="597"/>
      <c r="G91" s="597"/>
      <c r="H91" s="763"/>
    </row>
    <row r="92" spans="1:8" ht="20">
      <c r="A92" s="27"/>
      <c r="B92" s="596" t="s">
        <v>107</v>
      </c>
      <c r="C92" s="514"/>
      <c r="D92" s="8"/>
      <c r="E92" s="81"/>
      <c r="F92" s="597"/>
      <c r="G92" s="597"/>
      <c r="H92" s="763"/>
    </row>
    <row r="93" spans="1:8" ht="20">
      <c r="A93" s="27">
        <f>+A90+1</f>
        <v>52</v>
      </c>
      <c r="B93" s="595"/>
      <c r="C93" s="119" t="s">
        <v>176</v>
      </c>
      <c r="D93" s="200"/>
      <c r="E93" s="81"/>
      <c r="F93" s="23" t="str">
        <f>"(Line "&amp;A$139&amp;")"</f>
        <v>(Line 84)</v>
      </c>
      <c r="G93" s="597"/>
      <c r="H93" s="811">
        <f>+H139</f>
        <v>5241495.1131695872</v>
      </c>
    </row>
    <row r="94" spans="1:8" ht="20">
      <c r="A94" s="27">
        <f>+A93+1</f>
        <v>53</v>
      </c>
      <c r="B94" s="595"/>
      <c r="C94" s="593" t="s">
        <v>170</v>
      </c>
      <c r="D94" s="200"/>
      <c r="E94" s="81"/>
      <c r="F94" s="126" t="s">
        <v>196</v>
      </c>
      <c r="G94" s="34"/>
      <c r="H94" s="812">
        <v>0.125</v>
      </c>
    </row>
    <row r="95" spans="1:26" s="64" customFormat="1" ht="20">
      <c r="A95" s="27">
        <f>+A94+1</f>
        <v>54</v>
      </c>
      <c r="B95" s="608"/>
      <c r="C95" s="594" t="s">
        <v>85</v>
      </c>
      <c r="D95" s="609"/>
      <c r="E95" s="610"/>
      <c r="F95" s="23" t="str">
        <f>"(Line "&amp;A93&amp;" * Line "&amp;A94&amp;")"</f>
        <v>(Line 52 * Line 53)</v>
      </c>
      <c r="G95" s="36"/>
      <c r="H95" s="808">
        <f>+H93*H94</f>
        <v>655186.8891461984</v>
      </c>
      <c r="I95" s="738"/>
      <c r="J95"/>
      <c r="K95"/>
      <c r="L95"/>
      <c r="M95"/>
      <c r="N95"/>
      <c r="O95"/>
      <c r="P95"/>
      <c r="Q95"/>
      <c r="R95"/>
      <c r="S95"/>
      <c r="T95"/>
      <c r="U95"/>
      <c r="V95"/>
      <c r="W95"/>
      <c r="X95"/>
      <c r="Y95"/>
      <c r="Z95"/>
    </row>
    <row r="96" spans="1:26" s="64" customFormat="1" ht="20">
      <c r="A96" s="27"/>
      <c r="B96" s="608"/>
      <c r="C96" s="470"/>
      <c r="D96" s="415"/>
      <c r="E96" s="139"/>
      <c r="F96" s="23"/>
      <c r="G96" s="611"/>
      <c r="H96" s="774"/>
      <c r="I96" s="738"/>
      <c r="J96"/>
      <c r="K96"/>
      <c r="L96"/>
      <c r="M96"/>
      <c r="N96"/>
      <c r="O96"/>
      <c r="P96"/>
      <c r="Q96"/>
      <c r="R96"/>
      <c r="S96"/>
      <c r="T96"/>
      <c r="U96"/>
      <c r="V96"/>
      <c r="W96"/>
      <c r="X96"/>
      <c r="Y96"/>
      <c r="Z96"/>
    </row>
    <row r="97" spans="1:26" s="64" customFormat="1" ht="20">
      <c r="A97" s="159"/>
      <c r="B97" s="470" t="s">
        <v>317</v>
      </c>
      <c r="C97" s="1"/>
      <c r="D97" s="415"/>
      <c r="E97" s="1"/>
      <c r="F97" s="23"/>
      <c r="G97" s="611"/>
      <c r="H97" s="774"/>
      <c r="I97" s="738"/>
      <c r="J97"/>
      <c r="K97"/>
      <c r="L97"/>
      <c r="M97"/>
      <c r="N97"/>
      <c r="O97"/>
      <c r="P97"/>
      <c r="Q97"/>
      <c r="R97"/>
      <c r="S97"/>
      <c r="T97"/>
      <c r="U97"/>
      <c r="V97"/>
      <c r="W97"/>
      <c r="X97"/>
      <c r="Y97"/>
      <c r="Z97"/>
    </row>
    <row r="98" spans="1:8" ht="20">
      <c r="A98" s="27">
        <f>+A95+1</f>
        <v>55</v>
      </c>
      <c r="B98" s="34"/>
      <c r="C98" s="34" t="s">
        <v>318</v>
      </c>
      <c r="D98" s="34"/>
      <c r="E98" s="147" t="str">
        <f>"(Note "&amp;B$311&amp;")"</f>
        <v>(Note N)</v>
      </c>
      <c r="F98" s="34" t="s">
        <v>320</v>
      </c>
      <c r="G98" s="34"/>
      <c r="H98" s="913">
        <v>0</v>
      </c>
    </row>
    <row r="99" spans="1:8" ht="20">
      <c r="A99" s="85">
        <f>+A98+1</f>
        <v>56</v>
      </c>
      <c r="B99" s="34"/>
      <c r="C99" s="612" t="s">
        <v>408</v>
      </c>
      <c r="D99" s="612"/>
      <c r="E99" s="556" t="str">
        <f>+E98</f>
        <v>(Note N)</v>
      </c>
      <c r="F99" s="613" t="str">
        <f>+F98</f>
        <v>From PJM</v>
      </c>
      <c r="G99" s="612"/>
      <c r="H99" s="912">
        <v>0</v>
      </c>
    </row>
    <row r="100" spans="1:8" ht="20">
      <c r="A100" s="85">
        <f>+A99+1</f>
        <v>57</v>
      </c>
      <c r="B100" s="34"/>
      <c r="C100" s="34" t="s">
        <v>319</v>
      </c>
      <c r="D100" s="34"/>
      <c r="E100" s="81"/>
      <c r="F100" s="23" t="str">
        <f>"(Line "&amp;A98&amp;" - Line "&amp;A99&amp;")"</f>
        <v>(Line 55 - Line 56)</v>
      </c>
      <c r="G100" s="34"/>
      <c r="H100" s="808">
        <f>+H98+H99</f>
        <v>0</v>
      </c>
    </row>
    <row r="101" spans="1:8" ht="20">
      <c r="A101" s="85"/>
      <c r="B101" s="34"/>
      <c r="C101" s="34"/>
      <c r="D101" s="34"/>
      <c r="E101" s="81"/>
      <c r="F101" s="34"/>
      <c r="G101" s="34"/>
      <c r="H101" s="763"/>
    </row>
    <row r="102" spans="1:8" ht="20.5" thickBot="1">
      <c r="A102" s="85">
        <f>+A100+1</f>
        <v>58</v>
      </c>
      <c r="B102" s="47" t="s">
        <v>171</v>
      </c>
      <c r="C102" s="47"/>
      <c r="D102" s="47"/>
      <c r="E102" s="135"/>
      <c r="F102" s="43" t="str">
        <f>"(Lines "&amp;A77&amp;" + "&amp;A83&amp;" + "&amp;A90&amp;" + "&amp;A95&amp;" - "&amp;A100&amp;")"</f>
        <v>(Lines 43 + 46 + 51 + 54 - 57)</v>
      </c>
      <c r="G102" s="47"/>
      <c r="H102" s="802">
        <f>SUM(H77,H83,H90,H95,-H100)</f>
        <v>-8438906.4377220161</v>
      </c>
    </row>
    <row r="103" spans="1:8" ht="20.5" thickTop="1">
      <c r="A103" s="85"/>
      <c r="B103" s="34"/>
      <c r="C103" s="34"/>
      <c r="D103" s="34"/>
      <c r="E103" s="81"/>
      <c r="F103" s="34"/>
      <c r="G103" s="34"/>
      <c r="H103" s="763"/>
    </row>
    <row r="104" spans="1:26" s="34" customFormat="1" ht="20.5" thickBot="1">
      <c r="A104" s="27">
        <f>+A102+1</f>
        <v>59</v>
      </c>
      <c r="B104" s="47" t="s">
        <v>163</v>
      </c>
      <c r="C104" s="47"/>
      <c r="D104" s="47"/>
      <c r="E104" s="135"/>
      <c r="F104" s="43" t="str">
        <f>"(Line "&amp;A69&amp;" + Line "&amp;A102&amp;")"</f>
        <v>(Line 39 + Line 58)</v>
      </c>
      <c r="G104" s="47"/>
      <c r="H104" s="802">
        <f>+H69+H102</f>
        <v>40397900.280969083</v>
      </c>
      <c r="I104" s="738"/>
      <c r="J104"/>
      <c r="K104"/>
      <c r="L104"/>
      <c r="M104"/>
      <c r="N104"/>
      <c r="O104"/>
      <c r="P104"/>
      <c r="Q104"/>
      <c r="R104"/>
      <c r="S104"/>
      <c r="T104"/>
      <c r="U104"/>
      <c r="V104"/>
      <c r="W104"/>
      <c r="X104"/>
      <c r="Y104"/>
      <c r="Z104"/>
    </row>
    <row r="105" spans="1:8" ht="20.5" thickTop="1">
      <c r="A105" s="200"/>
      <c r="B105" s="34"/>
      <c r="C105" s="34"/>
      <c r="D105" s="34"/>
      <c r="E105" s="81"/>
      <c r="F105" s="34"/>
      <c r="G105" s="34"/>
      <c r="H105" s="763"/>
    </row>
    <row r="106" spans="1:26" s="57" customFormat="1" ht="20">
      <c r="A106" s="614" t="s">
        <v>201</v>
      </c>
      <c r="B106" s="615"/>
      <c r="C106" s="616"/>
      <c r="D106" s="617"/>
      <c r="E106" s="618"/>
      <c r="F106" s="566"/>
      <c r="G106" s="566"/>
      <c r="H106" s="766"/>
      <c r="I106" s="738"/>
      <c r="J106"/>
      <c r="K106"/>
      <c r="L106"/>
      <c r="M106"/>
      <c r="N106"/>
      <c r="O106"/>
      <c r="P106"/>
      <c r="Q106"/>
      <c r="R106"/>
      <c r="S106"/>
      <c r="T106"/>
      <c r="U106"/>
      <c r="V106"/>
      <c r="W106"/>
      <c r="X106"/>
      <c r="Y106"/>
      <c r="Z106"/>
    </row>
    <row r="107" spans="1:26" s="57" customFormat="1" ht="20">
      <c r="A107" s="25"/>
      <c r="B107" s="25"/>
      <c r="C107" s="25"/>
      <c r="D107" s="25"/>
      <c r="E107" s="48"/>
      <c r="F107" s="514"/>
      <c r="G107" s="514"/>
      <c r="H107" s="767"/>
      <c r="I107" s="738"/>
      <c r="J107"/>
      <c r="K107"/>
      <c r="L107"/>
      <c r="M107"/>
      <c r="N107"/>
      <c r="O107"/>
      <c r="P107"/>
      <c r="Q107"/>
      <c r="R107"/>
      <c r="S107"/>
      <c r="T107"/>
      <c r="U107"/>
      <c r="V107"/>
      <c r="W107"/>
      <c r="X107"/>
      <c r="Y107"/>
      <c r="Z107"/>
    </row>
    <row r="108" spans="1:8" ht="20">
      <c r="A108" s="6"/>
      <c r="B108" s="22" t="s">
        <v>149</v>
      </c>
      <c r="C108" s="8"/>
      <c r="D108" s="651"/>
      <c r="E108" s="18"/>
      <c r="F108" s="34"/>
      <c r="G108" s="5"/>
      <c r="H108" s="761"/>
    </row>
    <row r="109" spans="1:8" ht="20">
      <c r="A109" s="27">
        <f>+A104+1</f>
        <v>60</v>
      </c>
      <c r="B109" s="27"/>
      <c r="C109" s="24" t="s">
        <v>149</v>
      </c>
      <c r="D109" s="25"/>
      <c r="E109" s="147"/>
      <c r="F109" s="9" t="s">
        <v>586</v>
      </c>
      <c r="G109" s="48"/>
      <c r="H109" s="747">
        <f>9714753</f>
        <v>9714753</v>
      </c>
    </row>
    <row r="110" spans="1:8" ht="20">
      <c r="A110" s="27">
        <f t="shared" si="1" ref="A110:A115">=+A109+1</f>
        <v>61</v>
      </c>
      <c r="B110" s="27"/>
      <c r="C110" s="24" t="s">
        <v>486</v>
      </c>
      <c r="D110" s="56"/>
      <c r="E110" s="704"/>
      <c r="F110" s="9" t="s">
        <v>479</v>
      </c>
      <c r="G110" s="48"/>
      <c r="H110" s="773"/>
    </row>
    <row r="111" spans="1:8" ht="20">
      <c r="A111" s="27">
        <f t="shared" si="1"/>
        <v>62</v>
      </c>
      <c r="B111" s="27"/>
      <c r="C111" s="24" t="s">
        <v>487</v>
      </c>
      <c r="D111" s="56"/>
      <c r="E111" s="704"/>
      <c r="F111" s="9" t="s">
        <v>479</v>
      </c>
      <c r="G111" s="48"/>
      <c r="H111" s="773"/>
    </row>
    <row r="112" spans="1:8" ht="20">
      <c r="A112" s="27">
        <f t="shared" si="1"/>
        <v>63</v>
      </c>
      <c r="B112" s="27"/>
      <c r="C112" s="744" t="s">
        <v>643</v>
      </c>
      <c r="D112" s="25"/>
      <c r="E112" s="85"/>
      <c r="F112" s="745" t="s">
        <v>479</v>
      </c>
      <c r="G112" s="25"/>
      <c r="H112" s="747">
        <f>'ATT 5 -AA-BL Support'!G327</f>
        <v>7020831</v>
      </c>
    </row>
    <row r="113" spans="1:8" ht="20">
      <c r="A113" s="27">
        <f t="shared" si="1"/>
        <v>64</v>
      </c>
      <c r="B113" s="27"/>
      <c r="C113" s="24" t="s">
        <v>459</v>
      </c>
      <c r="D113" s="25"/>
      <c r="E113" s="147" t="str">
        <f>"(Note "&amp;B$314&amp;")"</f>
        <v>(Note O)</v>
      </c>
      <c r="F113" s="9" t="s">
        <v>322</v>
      </c>
      <c r="G113" s="25"/>
      <c r="H113" s="747">
        <v>0</v>
      </c>
    </row>
    <row r="114" spans="1:8" ht="20">
      <c r="A114" s="27">
        <f t="shared" si="1"/>
        <v>65</v>
      </c>
      <c r="B114" s="27"/>
      <c r="C114" s="24" t="s">
        <v>150</v>
      </c>
      <c r="D114" s="9"/>
      <c r="E114" s="154" t="str">
        <f>"(Note "&amp;B$292&amp;")"</f>
        <v>(Note A)</v>
      </c>
      <c r="F114" s="602" t="s">
        <v>479</v>
      </c>
      <c r="G114" s="25"/>
      <c r="H114" s="758">
        <f>+'ATT 5 -AA-BL Support'!H303</f>
        <v>0</v>
      </c>
    </row>
    <row r="115" spans="1:8" ht="20">
      <c r="A115" s="27">
        <f t="shared" si="1"/>
        <v>66</v>
      </c>
      <c r="B115" s="25"/>
      <c r="C115" s="41" t="s">
        <v>149</v>
      </c>
      <c r="D115" s="619"/>
      <c r="E115" s="133"/>
      <c r="F115" s="45" t="str">
        <f>"(Lines "&amp;A109&amp;" - "&amp;A110&amp;" + "&amp;A111&amp;" - "&amp;A112&amp;" + "&amp;A113&amp;" + "&amp;A114&amp;")"</f>
        <v>(Lines 60 - 61 + 62 - 63 + 64 + 65)</v>
      </c>
      <c r="G115" s="51"/>
      <c r="H115" s="799">
        <f>+H109-H110+H111-H112+H113+H114</f>
        <v>2693922</v>
      </c>
    </row>
    <row r="116" spans="1:8" ht="20">
      <c r="A116" s="27"/>
      <c r="B116" s="27"/>
      <c r="C116" s="22"/>
      <c r="D116" s="25"/>
      <c r="E116" s="26"/>
      <c r="F116" s="25"/>
      <c r="G116" s="25"/>
      <c r="H116" s="762"/>
    </row>
    <row r="117" spans="1:8" ht="20">
      <c r="A117" s="27"/>
      <c r="B117" s="22" t="s">
        <v>89</v>
      </c>
      <c r="C117" s="25"/>
      <c r="D117" s="25"/>
      <c r="E117" s="26"/>
      <c r="F117" s="25"/>
      <c r="G117" s="25"/>
      <c r="H117" s="762"/>
    </row>
    <row r="118" spans="1:8" ht="20">
      <c r="A118" s="27">
        <f>+A115+1</f>
        <v>67</v>
      </c>
      <c r="B118" s="27"/>
      <c r="C118" s="24" t="s">
        <v>152</v>
      </c>
      <c r="D118" s="25"/>
      <c r="E118" s="147" t="str">
        <f>"(Note "&amp;B$292&amp;")"</f>
        <v>(Note A)</v>
      </c>
      <c r="F118" s="9" t="s">
        <v>479</v>
      </c>
      <c r="G118" s="25"/>
      <c r="H118" s="813">
        <f>'ATT 5 -AA-BL Support'!H304</f>
        <v>0</v>
      </c>
    </row>
    <row r="119" spans="1:8" ht="20">
      <c r="A119" s="27">
        <f t="shared" si="2" ref="A119:A126">=+A118+1</f>
        <v>68</v>
      </c>
      <c r="B119" s="27"/>
      <c r="C119" s="744" t="s">
        <v>855</v>
      </c>
      <c r="D119" s="25"/>
      <c r="E119" s="147"/>
      <c r="F119" s="9" t="s">
        <v>588</v>
      </c>
      <c r="G119" s="25"/>
      <c r="H119" s="747">
        <f>10525367-269169</f>
        <v>10256198</v>
      </c>
    </row>
    <row r="120" spans="1:8" ht="20">
      <c r="A120" s="27">
        <f>+A119+1</f>
        <v>69</v>
      </c>
      <c r="B120" s="27"/>
      <c r="C120" s="24" t="s">
        <v>208</v>
      </c>
      <c r="D120" s="9"/>
      <c r="E120" s="85"/>
      <c r="F120" s="24" t="s">
        <v>589</v>
      </c>
      <c r="G120" s="8"/>
      <c r="H120" s="747">
        <v>24627</v>
      </c>
    </row>
    <row r="121" spans="1:8" ht="20">
      <c r="A121" s="27">
        <f t="shared" si="2"/>
        <v>70</v>
      </c>
      <c r="B121" s="27"/>
      <c r="C121" s="24" t="s">
        <v>209</v>
      </c>
      <c r="D121" s="9"/>
      <c r="E121" s="147" t="str">
        <f>"(Note "&amp;B$298&amp;")"</f>
        <v>(Note E)</v>
      </c>
      <c r="F121" s="9" t="s">
        <v>479</v>
      </c>
      <c r="G121" s="8"/>
      <c r="H121" s="813">
        <f>'ATT 5 -AA-BL Support'!G352</f>
        <v>576126</v>
      </c>
    </row>
    <row r="122" spans="1:8" ht="20">
      <c r="A122" s="27">
        <f t="shared" si="2"/>
        <v>71</v>
      </c>
      <c r="B122" s="27"/>
      <c r="C122" s="24" t="s">
        <v>210</v>
      </c>
      <c r="D122" s="9"/>
      <c r="E122" s="85"/>
      <c r="F122" s="9" t="s">
        <v>479</v>
      </c>
      <c r="G122" s="8"/>
      <c r="H122" s="813">
        <f>'ATT 5 -AA-BL Support'!G360</f>
        <v>342379</v>
      </c>
    </row>
    <row r="123" spans="1:8" ht="20">
      <c r="A123" s="27">
        <f t="shared" si="2"/>
        <v>72</v>
      </c>
      <c r="B123" s="27"/>
      <c r="C123" s="24" t="s">
        <v>187</v>
      </c>
      <c r="D123" s="34"/>
      <c r="E123" s="147" t="str">
        <f>"(Note "&amp;B$297&amp;")"</f>
        <v>(Note D)</v>
      </c>
      <c r="F123" s="92" t="s">
        <v>479</v>
      </c>
      <c r="G123" s="25"/>
      <c r="H123" s="758">
        <f>'ATT 5 -AA-BL Support'!G346</f>
        <v>0</v>
      </c>
    </row>
    <row r="124" spans="1:8" ht="20">
      <c r="A124" s="27">
        <f t="shared" si="2"/>
        <v>73</v>
      </c>
      <c r="B124" s="27"/>
      <c r="C124" s="41" t="s">
        <v>87</v>
      </c>
      <c r="D124" s="619"/>
      <c r="E124" s="134"/>
      <c r="F124" s="23" t="str">
        <f>"(Lines "&amp;A118&amp;" + "&amp;A119&amp;" -  Sum ("&amp;A120&amp;" to "&amp;A123&amp;")"</f>
        <v>(Lines 67 + 68 -  Sum (69 to 72)</v>
      </c>
      <c r="G124" s="89"/>
      <c r="H124" s="795">
        <f>H118+H119-H120-H121-H122-H123</f>
        <v>9313066</v>
      </c>
    </row>
    <row r="125" spans="1:8" ht="20">
      <c r="A125" s="27">
        <f t="shared" si="2"/>
        <v>74</v>
      </c>
      <c r="B125" s="27"/>
      <c r="C125" s="119" t="s">
        <v>169</v>
      </c>
      <c r="D125" s="593"/>
      <c r="E125" s="81"/>
      <c r="F125" s="513" t="str">
        <f>"(Line "&amp;A$16&amp;")"</f>
        <v>(Line 5)</v>
      </c>
      <c r="G125" s="597"/>
      <c r="H125" s="814">
        <f>+H16</f>
        <v>0.24391163764331447</v>
      </c>
    </row>
    <row r="126" spans="1:8" ht="20">
      <c r="A126" s="27">
        <f t="shared" si="2"/>
        <v>75</v>
      </c>
      <c r="B126" s="27"/>
      <c r="C126" s="41" t="s">
        <v>98</v>
      </c>
      <c r="D126" s="619"/>
      <c r="E126" s="129"/>
      <c r="F126" s="23" t="str">
        <f>"(Line "&amp;A124&amp;" * Line "&amp;A125&amp;")"</f>
        <v>(Line 73 * Line 74)</v>
      </c>
      <c r="G126" s="89"/>
      <c r="H126" s="800">
        <f>+H125*H124</f>
        <v>2271565.1795402723</v>
      </c>
    </row>
    <row r="127" spans="1:8" ht="20">
      <c r="A127" s="27"/>
      <c r="B127" s="27"/>
      <c r="C127" s="52"/>
      <c r="D127" s="35"/>
      <c r="E127" s="19"/>
      <c r="F127" s="37"/>
      <c r="G127" s="37"/>
      <c r="H127" s="768"/>
    </row>
    <row r="128" spans="1:8" ht="20">
      <c r="A128" s="27"/>
      <c r="B128" s="22" t="s">
        <v>88</v>
      </c>
      <c r="C128" s="514"/>
      <c r="D128" s="35"/>
      <c r="E128" s="944"/>
      <c r="F128" s="37"/>
      <c r="G128" s="37"/>
      <c r="H128" s="775"/>
    </row>
    <row r="129" spans="1:8" ht="20">
      <c r="A129" s="27">
        <f>+A126+1</f>
        <v>76</v>
      </c>
      <c r="B129" s="595"/>
      <c r="C129" s="55" t="s">
        <v>846</v>
      </c>
      <c r="D129" s="131"/>
      <c r="E129" s="147" t="s">
        <v>847</v>
      </c>
      <c r="F129" s="119" t="s">
        <v>479</v>
      </c>
      <c r="G129" s="514"/>
      <c r="H129" s="813">
        <f>+'ATT 5 -AA-BL Support'!H354</f>
        <v>269169</v>
      </c>
    </row>
    <row r="130" spans="1:8" ht="20">
      <c r="A130" s="27">
        <f>+A129+1</f>
        <v>77</v>
      </c>
      <c r="B130" s="595"/>
      <c r="C130" s="146" t="s">
        <v>211</v>
      </c>
      <c r="D130" s="153"/>
      <c r="E130" s="154" t="str">
        <f>"(Note "&amp;B$308&amp;")"</f>
        <v>(Note K)</v>
      </c>
      <c r="F130" s="146" t="s">
        <v>479</v>
      </c>
      <c r="G130" s="613"/>
      <c r="H130" s="758">
        <f>'ATT 5 -AA-BL Support'!G354</f>
        <v>0</v>
      </c>
    </row>
    <row r="131" spans="1:8" ht="20">
      <c r="A131" s="27">
        <f>+A130+1</f>
        <v>78</v>
      </c>
      <c r="B131" s="595"/>
      <c r="C131" s="596" t="s">
        <v>188</v>
      </c>
      <c r="D131" s="25"/>
      <c r="E131" s="128"/>
      <c r="F131" s="23" t="str">
        <f>"(Line "&amp;A129&amp;" + Line "&amp;A130&amp;")"</f>
        <v>(Line 76 + Line 77)</v>
      </c>
      <c r="G131" s="514"/>
      <c r="H131" s="815">
        <f>+H130+H129</f>
        <v>269169</v>
      </c>
    </row>
    <row r="132" spans="1:8" ht="20">
      <c r="A132" s="27"/>
      <c r="B132" s="595"/>
      <c r="C132" s="119"/>
      <c r="D132" s="25"/>
      <c r="E132" s="128"/>
      <c r="F132" s="119"/>
      <c r="G132" s="514"/>
      <c r="H132" s="773"/>
    </row>
    <row r="133" spans="1:8" ht="20">
      <c r="A133" s="27">
        <f>+A131+1</f>
        <v>79</v>
      </c>
      <c r="B133" s="595"/>
      <c r="C133" s="119" t="s">
        <v>212</v>
      </c>
      <c r="D133" s="25"/>
      <c r="E133" s="81"/>
      <c r="F133" s="35" t="str">
        <f>"(Line "&amp;A$120&amp;")"</f>
        <v>(Line 69)</v>
      </c>
      <c r="G133" s="514"/>
      <c r="H133" s="811">
        <f>H120</f>
        <v>24627</v>
      </c>
    </row>
    <row r="134" spans="1:8" ht="20.5" thickBot="1">
      <c r="A134" s="27">
        <f>+A133+1</f>
        <v>80</v>
      </c>
      <c r="B134" s="595"/>
      <c r="C134" s="119" t="s">
        <v>211</v>
      </c>
      <c r="D134" s="25"/>
      <c r="E134" s="147" t="str">
        <f>"(Note "&amp;B$299&amp;")"</f>
        <v>(Note F)</v>
      </c>
      <c r="F134" s="146" t="s">
        <v>479</v>
      </c>
      <c r="G134" s="514"/>
      <c r="H134" s="758">
        <f>+'ATT 5 -AA-BL Support'!H360</f>
        <v>0</v>
      </c>
    </row>
    <row r="135" spans="1:8" ht="20">
      <c r="A135" s="27">
        <f>+A134+1</f>
        <v>81</v>
      </c>
      <c r="B135" s="595"/>
      <c r="C135" s="620" t="s">
        <v>173</v>
      </c>
      <c r="D135" s="619"/>
      <c r="E135" s="587"/>
      <c r="F135" s="23" t="str">
        <f>"(Line "&amp;A133&amp;" + Line "&amp;A134&amp;")"</f>
        <v>(Line 79 + Line 80)</v>
      </c>
      <c r="G135" s="51"/>
      <c r="H135" s="816">
        <f>+H133+H134</f>
        <v>24627</v>
      </c>
    </row>
    <row r="136" spans="1:8" ht="20">
      <c r="A136" s="27">
        <f>+A135+1</f>
        <v>82</v>
      </c>
      <c r="B136" s="27"/>
      <c r="C136" s="621" t="s">
        <v>122</v>
      </c>
      <c r="D136" s="593"/>
      <c r="E136" s="6"/>
      <c r="F136" s="90" t="str">
        <f>"(Line "&amp;A$35&amp;")"</f>
        <v>(Line 18)</v>
      </c>
      <c r="G136" s="597"/>
      <c r="H136" s="817">
        <f>+H35</f>
        <v>0.27770063870200501</v>
      </c>
    </row>
    <row r="137" spans="1:8" ht="20">
      <c r="A137" s="27">
        <f>+A136+1</f>
        <v>83</v>
      </c>
      <c r="B137" s="27"/>
      <c r="C137" s="41" t="s">
        <v>90</v>
      </c>
      <c r="D137" s="619"/>
      <c r="E137" s="129"/>
      <c r="F137" s="23" t="str">
        <f>"(Line "&amp;A135&amp;" * Line "&amp;A136&amp;")"</f>
        <v>(Line 81 * Line 82)</v>
      </c>
      <c r="G137" s="89"/>
      <c r="H137" s="807">
        <f>+H136*H135</f>
        <v>6838.9336293142769</v>
      </c>
    </row>
    <row r="138" spans="1:8" ht="20">
      <c r="A138" s="27"/>
      <c r="B138" s="6"/>
      <c r="C138" s="22"/>
      <c r="D138" s="25"/>
      <c r="E138" s="18"/>
      <c r="F138" s="8"/>
      <c r="G138" s="8"/>
      <c r="H138" s="768"/>
    </row>
    <row r="139" spans="1:8" ht="20.5" thickBot="1">
      <c r="A139" s="27">
        <f>+A137+1</f>
        <v>84</v>
      </c>
      <c r="B139" s="6"/>
      <c r="C139" s="42" t="s">
        <v>153</v>
      </c>
      <c r="D139" s="584"/>
      <c r="E139" s="137"/>
      <c r="F139" s="44" t="str">
        <f>"(Lines "&amp;A115&amp;" + "&amp;A126&amp;" + "&amp;A131&amp;" + "&amp;A137&amp;")"</f>
        <v>(Lines 66 + 75 + 78 + 83)</v>
      </c>
      <c r="G139" s="585"/>
      <c r="H139" s="44">
        <f>+H115+H126+H131+H137</f>
        <v>5241495.1131695872</v>
      </c>
    </row>
    <row r="140" spans="1:8" ht="20.5" thickTop="1">
      <c r="A140" s="4"/>
      <c r="B140" s="6"/>
      <c r="C140" s="22"/>
      <c r="D140" s="25"/>
      <c r="E140" s="18"/>
      <c r="F140" s="8"/>
      <c r="G140" s="8"/>
      <c r="H140" s="762"/>
    </row>
    <row r="141" spans="1:8" ht="20">
      <c r="A141" s="614" t="s">
        <v>145</v>
      </c>
      <c r="B141" s="615"/>
      <c r="C141" s="616"/>
      <c r="D141" s="617"/>
      <c r="E141" s="618"/>
      <c r="F141" s="566"/>
      <c r="G141" s="566"/>
      <c r="H141" s="766"/>
    </row>
    <row r="142" spans="1:8" ht="20">
      <c r="A142" s="22"/>
      <c r="B142" s="6"/>
      <c r="C142" s="22"/>
      <c r="D142" s="25"/>
      <c r="E142" s="18"/>
      <c r="F142" s="8"/>
      <c r="G142" s="8"/>
      <c r="H142" s="762"/>
    </row>
    <row r="143" spans="1:8" ht="20">
      <c r="A143" s="85"/>
      <c r="B143" s="86" t="s">
        <v>65</v>
      </c>
      <c r="C143" s="34"/>
      <c r="D143" s="8"/>
      <c r="E143" s="81"/>
      <c r="F143" s="622"/>
      <c r="G143" s="622"/>
      <c r="H143" s="772"/>
    </row>
    <row r="144" spans="1:8" ht="20">
      <c r="A144" s="27">
        <f>+A139+1</f>
        <v>85</v>
      </c>
      <c r="B144" s="623"/>
      <c r="C144" s="4" t="s">
        <v>66</v>
      </c>
      <c r="D144" s="8"/>
      <c r="E144" s="6"/>
      <c r="F144" s="410" t="s">
        <v>479</v>
      </c>
      <c r="G144" s="34"/>
      <c r="H144" s="813">
        <f>'ATT 5 -AA-BL Support'!H306</f>
        <v>1085063</v>
      </c>
    </row>
    <row r="145" spans="1:8" ht="20">
      <c r="A145" s="27"/>
      <c r="B145" s="623"/>
      <c r="C145" s="4"/>
      <c r="D145" s="8"/>
      <c r="E145" s="6"/>
      <c r="F145" s="4"/>
      <c r="G145" s="597"/>
      <c r="H145" s="776"/>
    </row>
    <row r="146" spans="1:8" ht="20">
      <c r="A146" s="27">
        <f>+A144+1</f>
        <v>86</v>
      </c>
      <c r="B146" s="623"/>
      <c r="C146" s="121" t="s">
        <v>172</v>
      </c>
      <c r="D146" s="37"/>
      <c r="E146" s="599"/>
      <c r="F146" s="410" t="s">
        <v>479</v>
      </c>
      <c r="G146" s="34"/>
      <c r="H146" s="813">
        <f>'ATT 5 -AA-BL Support'!H307</f>
        <v>447078</v>
      </c>
    </row>
    <row r="147" spans="1:8" ht="20">
      <c r="A147" s="27">
        <f>+A146+1</f>
        <v>87</v>
      </c>
      <c r="B147" s="623"/>
      <c r="C147" s="126" t="s">
        <v>123</v>
      </c>
      <c r="D147" s="208"/>
      <c r="E147" s="154" t="str">
        <f>"(Note "&amp;B$292&amp;")"</f>
        <v>(Note A)</v>
      </c>
      <c r="F147" s="602" t="s">
        <v>479</v>
      </c>
      <c r="G147" s="612"/>
      <c r="H147" s="758">
        <f>+'ATT 5 -AA-BL Support'!H308</f>
        <v>0</v>
      </c>
    </row>
    <row r="148" spans="1:8" ht="20">
      <c r="A148" s="27">
        <f>+A147+1</f>
        <v>88</v>
      </c>
      <c r="B148" s="623"/>
      <c r="C148" s="121" t="s">
        <v>173</v>
      </c>
      <c r="D148" s="37"/>
      <c r="E148" s="599"/>
      <c r="F148" s="23" t="str">
        <f>"(Line "&amp;A146&amp;" + Line "&amp;A147&amp;")"</f>
        <v>(Line 86 + Line 87)</v>
      </c>
      <c r="G148" s="34"/>
      <c r="H148" s="811">
        <f>SUM(H146:H147)</f>
        <v>447078</v>
      </c>
    </row>
    <row r="149" spans="1:8" ht="20">
      <c r="A149" s="27">
        <f>+A148+1</f>
        <v>89</v>
      </c>
      <c r="B149" s="623"/>
      <c r="C149" s="146" t="s">
        <v>169</v>
      </c>
      <c r="D149" s="602"/>
      <c r="E149" s="590"/>
      <c r="F149" s="513" t="str">
        <f>"(Line "&amp;A$16&amp;")"</f>
        <v>(Line 5)</v>
      </c>
      <c r="G149" s="604"/>
      <c r="H149" s="818">
        <f>+H16</f>
        <v>0.24391163764331447</v>
      </c>
    </row>
    <row r="150" spans="1:8" ht="20">
      <c r="A150" s="27">
        <f>+A149+1</f>
        <v>90</v>
      </c>
      <c r="B150" s="623"/>
      <c r="C150" s="86" t="s">
        <v>126</v>
      </c>
      <c r="D150" s="8"/>
      <c r="E150" s="6"/>
      <c r="F150" s="23" t="str">
        <f>"(Line "&amp;A148&amp;" * Line "&amp;A149&amp;")"</f>
        <v>(Line 88 * Line 89)</v>
      </c>
      <c r="G150" s="597"/>
      <c r="H150" s="819">
        <f>+H148*H149</f>
        <v>109047.52713429775</v>
      </c>
    </row>
    <row r="151" spans="1:8" ht="20">
      <c r="A151" s="27"/>
      <c r="B151" s="595"/>
      <c r="C151" s="119"/>
      <c r="D151" s="25"/>
      <c r="E151" s="27"/>
      <c r="F151" s="119"/>
      <c r="G151" s="597"/>
      <c r="H151" s="777"/>
    </row>
    <row r="152" spans="1:8" ht="20">
      <c r="A152" s="27">
        <f>+A150+1</f>
        <v>91</v>
      </c>
      <c r="B152" s="595"/>
      <c r="C152" s="119" t="s">
        <v>52</v>
      </c>
      <c r="D152" s="25"/>
      <c r="E152" s="147" t="str">
        <f>"(Note "&amp;B$292&amp;")"</f>
        <v>(Note A)</v>
      </c>
      <c r="F152" s="410" t="s">
        <v>479</v>
      </c>
      <c r="G152" s="34"/>
      <c r="H152" s="813">
        <f>+'ATT 5 -AA-BL Support'!H309</f>
        <v>1806861</v>
      </c>
    </row>
    <row r="153" spans="1:8" ht="20">
      <c r="A153" s="27">
        <f>+A152+1</f>
        <v>92</v>
      </c>
      <c r="B153" s="595"/>
      <c r="C153" s="146" t="s">
        <v>125</v>
      </c>
      <c r="D153" s="513"/>
      <c r="E153" s="154" t="str">
        <f>"(Note "&amp;B$292&amp;")"</f>
        <v>(Note A)</v>
      </c>
      <c r="F153" s="602" t="s">
        <v>479</v>
      </c>
      <c r="G153" s="612"/>
      <c r="H153" s="758">
        <f>+'ATT 5 -AA-BL Support'!H310</f>
        <v>0</v>
      </c>
    </row>
    <row r="154" spans="1:8" ht="20">
      <c r="A154" s="27">
        <f>+A153+1</f>
        <v>93</v>
      </c>
      <c r="B154" s="595"/>
      <c r="C154" s="119" t="s">
        <v>173</v>
      </c>
      <c r="D154" s="25"/>
      <c r="E154" s="27"/>
      <c r="F154" s="23" t="str">
        <f>"(Line "&amp;A152&amp;" + Line "&amp;A153&amp;")"</f>
        <v>(Line 91 + Line 92)</v>
      </c>
      <c r="G154" s="34"/>
      <c r="H154" s="811">
        <f>+H153+H152</f>
        <v>1806861</v>
      </c>
    </row>
    <row r="155" spans="1:8" ht="20">
      <c r="A155" s="27">
        <f>+A154+1</f>
        <v>94</v>
      </c>
      <c r="B155" s="595"/>
      <c r="C155" s="146" t="s">
        <v>169</v>
      </c>
      <c r="D155" s="602"/>
      <c r="E155" s="590"/>
      <c r="F155" s="513" t="str">
        <f>"(Line "&amp;A$16&amp;")"</f>
        <v>(Line 5)</v>
      </c>
      <c r="G155" s="604"/>
      <c r="H155" s="818">
        <f>+H16</f>
        <v>0.24391163764331447</v>
      </c>
    </row>
    <row r="156" spans="1:8" ht="20">
      <c r="A156" s="27">
        <f>+A155+1</f>
        <v>95</v>
      </c>
      <c r="B156" s="595"/>
      <c r="C156" s="86" t="s">
        <v>127</v>
      </c>
      <c r="D156" s="25"/>
      <c r="E156" s="27"/>
      <c r="F156" s="23" t="str">
        <f>"(Line "&amp;A154&amp;" * Line "&amp;A155&amp;")"</f>
        <v>(Line 93 * Line 94)</v>
      </c>
      <c r="G156" s="597"/>
      <c r="H156" s="819">
        <f>+H155*H154</f>
        <v>440714.42550383683</v>
      </c>
    </row>
    <row r="157" spans="1:8" ht="20">
      <c r="A157" s="27"/>
      <c r="B157" s="595"/>
      <c r="C157" s="34"/>
      <c r="D157" s="25"/>
      <c r="E157" s="27"/>
      <c r="F157" s="119"/>
      <c r="G157" s="597"/>
      <c r="H157" s="778"/>
    </row>
    <row r="158" spans="1:8" ht="20">
      <c r="A158" s="705"/>
      <c r="B158" s="32"/>
      <c r="C158" s="119"/>
      <c r="D158" s="25"/>
      <c r="E158" s="27"/>
      <c r="F158" s="119"/>
      <c r="G158" s="597"/>
      <c r="H158" s="772"/>
    </row>
    <row r="159" spans="1:26" s="64" customFormat="1" ht="20.5" thickBot="1">
      <c r="A159" s="27">
        <f>+A156+1</f>
        <v>96</v>
      </c>
      <c r="B159" s="624" t="s">
        <v>146</v>
      </c>
      <c r="C159" s="624"/>
      <c r="D159" s="87"/>
      <c r="E159" s="625"/>
      <c r="F159" s="44" t="str">
        <f>"(Line "&amp;A144&amp;" + Line "&amp;A150&amp;" + Line "&amp;A156&amp;")"</f>
        <v>(Line 85 + Line 90 + Line 95)</v>
      </c>
      <c r="G159" s="626"/>
      <c r="H159" s="820">
        <f>+H144+H150+H156</f>
        <v>1634824.9526381344</v>
      </c>
      <c r="I159" s="738"/>
      <c r="J159"/>
      <c r="K159"/>
      <c r="L159"/>
      <c r="M159"/>
      <c r="N159"/>
      <c r="O159"/>
      <c r="P159"/>
      <c r="Q159"/>
      <c r="R159"/>
      <c r="S159"/>
      <c r="T159"/>
      <c r="U159"/>
      <c r="V159"/>
      <c r="W159"/>
      <c r="X159"/>
      <c r="Y159"/>
      <c r="Z159"/>
    </row>
    <row r="160" spans="1:8" ht="20.5" thickTop="1">
      <c r="A160" s="593"/>
      <c r="B160" s="8"/>
      <c r="C160" s="8"/>
      <c r="D160" s="8"/>
      <c r="E160" s="81"/>
      <c r="F160" s="34"/>
      <c r="G160" s="34"/>
      <c r="H160" s="763"/>
    </row>
    <row r="161" spans="1:8" ht="20">
      <c r="A161" s="615" t="s">
        <v>444</v>
      </c>
      <c r="B161" s="615"/>
      <c r="C161" s="616"/>
      <c r="D161" s="617"/>
      <c r="E161" s="388"/>
      <c r="F161" s="566"/>
      <c r="G161" s="566"/>
      <c r="H161" s="766"/>
    </row>
    <row r="162" spans="1:8" ht="20">
      <c r="A162" s="706"/>
      <c r="B162" s="6"/>
      <c r="C162" s="22"/>
      <c r="D162" s="25"/>
      <c r="E162" s="18"/>
      <c r="F162" s="8"/>
      <c r="G162" s="8"/>
      <c r="H162" s="762"/>
    </row>
    <row r="163" spans="1:9" ht="20">
      <c r="A163" s="27">
        <f>+A159+1</f>
        <v>97</v>
      </c>
      <c r="B163" s="596" t="s">
        <v>47</v>
      </c>
      <c r="C163" s="598"/>
      <c r="D163" s="8"/>
      <c r="E163" s="147"/>
      <c r="F163" s="514" t="s">
        <v>481</v>
      </c>
      <c r="G163" s="514"/>
      <c r="H163" s="821">
        <f>+'ATT 2 - Other Taxes'!G42</f>
        <v>196016.2069215973</v>
      </c>
      <c r="I163" s="936"/>
    </row>
    <row r="164" spans="1:7" ht="20">
      <c r="A164" s="85"/>
      <c r="B164" s="25"/>
      <c r="C164" s="8"/>
      <c r="D164" s="8"/>
      <c r="E164" s="6"/>
      <c r="F164" s="4"/>
      <c r="G164" s="514"/>
    </row>
    <row r="165" spans="1:8" ht="20.5" thickBot="1">
      <c r="A165" s="27">
        <f>+A163+1</f>
        <v>98</v>
      </c>
      <c r="B165" s="42" t="s">
        <v>60</v>
      </c>
      <c r="C165" s="42"/>
      <c r="D165" s="87"/>
      <c r="E165" s="135"/>
      <c r="F165" s="44" t="str">
        <f>"(Line "&amp;A163&amp;")"</f>
        <v>(Line 97)</v>
      </c>
      <c r="G165" s="47"/>
      <c r="H165" s="802">
        <f>+H163</f>
        <v>196016.2069215973</v>
      </c>
    </row>
    <row r="166" spans="1:8" ht="20.5" thickTop="1">
      <c r="A166" s="85"/>
      <c r="B166" s="8"/>
      <c r="C166" s="8"/>
      <c r="D166" s="8"/>
      <c r="E166" s="81"/>
      <c r="F166" s="34"/>
      <c r="G166" s="34"/>
      <c r="H166" s="763"/>
    </row>
    <row r="167" spans="1:8" ht="20">
      <c r="A167" s="614" t="s">
        <v>128</v>
      </c>
      <c r="B167" s="615"/>
      <c r="C167" s="616"/>
      <c r="D167" s="617"/>
      <c r="E167" s="618"/>
      <c r="F167" s="566"/>
      <c r="G167" s="566"/>
      <c r="H167" s="766"/>
    </row>
    <row r="168" spans="1:8" ht="20">
      <c r="A168" s="4"/>
      <c r="B168" s="6"/>
      <c r="C168" s="22"/>
      <c r="D168" s="25"/>
      <c r="E168" s="18"/>
      <c r="F168" s="8"/>
      <c r="G168" s="8"/>
      <c r="H168" s="762"/>
    </row>
    <row r="169" spans="1:8" ht="20">
      <c r="A169" s="27"/>
      <c r="B169" s="74" t="s">
        <v>62</v>
      </c>
      <c r="C169" s="8"/>
      <c r="D169" s="37"/>
      <c r="E169" s="19"/>
      <c r="F169" s="514"/>
      <c r="G169" s="23"/>
      <c r="H169" s="763"/>
    </row>
    <row r="170" spans="1:8" ht="20">
      <c r="A170" s="27">
        <f>+A165+1</f>
        <v>99</v>
      </c>
      <c r="B170" s="74"/>
      <c r="C170" s="8" t="s">
        <v>62</v>
      </c>
      <c r="D170" s="37"/>
      <c r="E170" s="19"/>
      <c r="F170" s="45" t="s">
        <v>488</v>
      </c>
      <c r="G170" s="23"/>
      <c r="H170" s="759">
        <f>50859480+525855</f>
        <v>51385335</v>
      </c>
    </row>
    <row r="171" spans="1:8" ht="20">
      <c r="A171" s="27">
        <f>+A170+1</f>
        <v>100</v>
      </c>
      <c r="B171" s="27"/>
      <c r="C171" s="512" t="s">
        <v>64</v>
      </c>
      <c r="D171" s="513"/>
      <c r="E171" s="154" t="str">
        <f>"(Note "&amp;B$315&amp;")"</f>
        <v>(Note P)</v>
      </c>
      <c r="F171" s="92" t="s">
        <v>482</v>
      </c>
      <c r="G171" s="90"/>
      <c r="H171" s="758">
        <f>+'ATT 8 - Securitization'!E14</f>
        <v>0</v>
      </c>
    </row>
    <row r="172" spans="1:8" ht="20">
      <c r="A172" s="27">
        <f>+A171+1</f>
        <v>101</v>
      </c>
      <c r="B172" s="6"/>
      <c r="C172" s="74" t="s">
        <v>62</v>
      </c>
      <c r="D172" s="37"/>
      <c r="E172" s="138"/>
      <c r="F172" s="45" t="str">
        <f>"(Line "&amp;A170&amp;" - Line "&amp;A171&amp;")"</f>
        <v>(Line 99 - Line 100)</v>
      </c>
      <c r="G172" s="23"/>
      <c r="H172" s="804">
        <f>+H170-H171</f>
        <v>51385335</v>
      </c>
    </row>
    <row r="173" spans="1:8" ht="20">
      <c r="A173" s="27"/>
      <c r="B173" s="6"/>
      <c r="C173" s="5"/>
      <c r="D173" s="8"/>
      <c r="E173" s="81"/>
      <c r="F173" s="25"/>
      <c r="G173" s="5"/>
      <c r="H173" s="761"/>
    </row>
    <row r="174" spans="1:8" ht="20">
      <c r="A174" s="27">
        <f>+A172+1</f>
        <v>102</v>
      </c>
      <c r="B174" s="11" t="s">
        <v>139</v>
      </c>
      <c r="C174" s="8"/>
      <c r="D174" s="8"/>
      <c r="E174" s="18" t="s">
        <v>166</v>
      </c>
      <c r="F174" s="9" t="s">
        <v>490</v>
      </c>
      <c r="G174" s="5"/>
      <c r="H174" s="759">
        <v>0</v>
      </c>
    </row>
    <row r="175" spans="1:8" ht="20">
      <c r="A175" s="27"/>
      <c r="B175" s="6"/>
      <c r="C175" s="3"/>
      <c r="D175" s="8"/>
      <c r="E175" s="18"/>
      <c r="F175" s="9"/>
      <c r="G175" s="5"/>
      <c r="H175" s="761"/>
    </row>
    <row r="176" spans="1:8" ht="20">
      <c r="A176" s="27"/>
      <c r="B176" s="12" t="s">
        <v>48</v>
      </c>
      <c r="C176" s="8"/>
      <c r="D176" s="8"/>
      <c r="E176" s="18"/>
      <c r="F176" s="9"/>
      <c r="G176" s="5"/>
      <c r="H176" s="761"/>
    </row>
    <row r="177" spans="1:8" ht="20">
      <c r="A177" s="27">
        <f>+A174+1</f>
        <v>103</v>
      </c>
      <c r="B177" s="6"/>
      <c r="C177" s="5" t="s">
        <v>175</v>
      </c>
      <c r="D177" s="5"/>
      <c r="E177" s="18"/>
      <c r="F177" s="9" t="s">
        <v>491</v>
      </c>
      <c r="G177" s="5"/>
      <c r="H177" s="759">
        <v>1297408970</v>
      </c>
    </row>
    <row r="178" spans="1:8" ht="20">
      <c r="A178" s="27">
        <f>+A177+1</f>
        <v>104</v>
      </c>
      <c r="B178" s="27"/>
      <c r="C178" s="9" t="s">
        <v>130</v>
      </c>
      <c r="D178" s="9"/>
      <c r="E178" s="26" t="s">
        <v>197</v>
      </c>
      <c r="F178" s="35" t="str">
        <f>"(Line "&amp;A190&amp;")"</f>
        <v>(Line 113)</v>
      </c>
      <c r="G178" s="5"/>
      <c r="H178" s="811">
        <f>-H190</f>
        <v>0</v>
      </c>
    </row>
    <row r="179" spans="1:8" ht="20">
      <c r="A179" s="27">
        <f>+A178+1</f>
        <v>105</v>
      </c>
      <c r="B179" s="417"/>
      <c r="C179" s="206" t="s">
        <v>131</v>
      </c>
      <c r="D179" s="418"/>
      <c r="E179" s="418"/>
      <c r="F179" s="92" t="s">
        <v>407</v>
      </c>
      <c r="G179" s="5"/>
      <c r="H179" s="764">
        <v>0</v>
      </c>
    </row>
    <row r="180" spans="1:8" ht="20">
      <c r="A180" s="27">
        <f>+A178+1</f>
        <v>105</v>
      </c>
      <c r="B180" s="27"/>
      <c r="C180" s="92" t="s">
        <v>129</v>
      </c>
      <c r="D180" s="92"/>
      <c r="E180" s="156" t="s">
        <v>197</v>
      </c>
      <c r="F180" s="92" t="s">
        <v>489</v>
      </c>
      <c r="G180" s="90"/>
      <c r="H180" s="758">
        <v>-1287860</v>
      </c>
    </row>
    <row r="181" spans="1:8" ht="20">
      <c r="A181" s="27">
        <f>+A180+1</f>
        <v>106</v>
      </c>
      <c r="B181" s="27"/>
      <c r="C181" s="100" t="s">
        <v>48</v>
      </c>
      <c r="D181" s="45"/>
      <c r="E181" s="132"/>
      <c r="F181" s="45" t="str">
        <f>"(Sum Lines "&amp;A177&amp;" to "&amp;A180&amp;")"</f>
        <v>(Sum Lines 103 to 105)</v>
      </c>
      <c r="G181" s="627"/>
      <c r="H181" s="757">
        <f>+H177+H178+H180+H179</f>
        <v>1296121110</v>
      </c>
    </row>
    <row r="182" spans="1:8" ht="20">
      <c r="A182" s="27"/>
      <c r="B182" s="6"/>
      <c r="C182" s="3"/>
      <c r="D182" s="8"/>
      <c r="E182" s="18"/>
      <c r="F182" s="9"/>
      <c r="G182" s="8"/>
      <c r="H182" s="761"/>
    </row>
    <row r="183" spans="1:8" ht="20">
      <c r="A183" s="27"/>
      <c r="B183" s="12" t="s">
        <v>132</v>
      </c>
      <c r="C183" s="8"/>
      <c r="D183" s="8"/>
      <c r="E183" s="18"/>
      <c r="F183" s="9"/>
      <c r="G183" s="8"/>
      <c r="H183" s="761"/>
    </row>
    <row r="184" spans="1:8" ht="20">
      <c r="A184" s="27">
        <f>+A181+1</f>
        <v>107</v>
      </c>
      <c r="B184" s="6"/>
      <c r="C184" s="3" t="s">
        <v>63</v>
      </c>
      <c r="D184" s="8"/>
      <c r="E184" s="6"/>
      <c r="F184" s="24" t="s">
        <v>492</v>
      </c>
      <c r="G184" s="8"/>
      <c r="H184" s="759">
        <v>1121250000</v>
      </c>
    </row>
    <row r="185" spans="1:8" ht="20">
      <c r="A185" s="27">
        <f t="shared" si="3" ref="A185:A192">=+A184+1</f>
        <v>108</v>
      </c>
      <c r="B185" s="6"/>
      <c r="C185" s="3" t="s">
        <v>270</v>
      </c>
      <c r="D185" s="8"/>
      <c r="E185" s="18" t="str">
        <f>+E180</f>
        <v>enter negative</v>
      </c>
      <c r="F185" s="24" t="s">
        <v>493</v>
      </c>
      <c r="G185" s="8"/>
      <c r="H185" s="759">
        <v>0</v>
      </c>
    </row>
    <row r="186" spans="1:8" ht="20">
      <c r="A186" s="27">
        <f t="shared" si="3"/>
        <v>109</v>
      </c>
      <c r="B186" s="6"/>
      <c r="C186" s="3" t="s">
        <v>271</v>
      </c>
      <c r="D186" s="8"/>
      <c r="E186" s="6" t="s">
        <v>272</v>
      </c>
      <c r="F186" s="49" t="s">
        <v>508</v>
      </c>
      <c r="G186" s="8"/>
      <c r="H186" s="759">
        <v>0</v>
      </c>
    </row>
    <row r="187" spans="1:8" ht="20">
      <c r="A187" s="27">
        <f>A186+1</f>
        <v>110</v>
      </c>
      <c r="B187" s="6"/>
      <c r="C187" s="24" t="s">
        <v>494</v>
      </c>
      <c r="D187" s="25"/>
      <c r="E187" s="26" t="str">
        <f>+E185</f>
        <v>enter negative</v>
      </c>
      <c r="F187" s="49" t="s">
        <v>480</v>
      </c>
      <c r="G187" s="8"/>
      <c r="H187" s="811">
        <f>SUM('ATT 1 - ADIT'!D159:D160)</f>
        <v>0</v>
      </c>
    </row>
    <row r="188" spans="1:8" ht="20">
      <c r="A188" s="27">
        <f>A187+1</f>
        <v>111</v>
      </c>
      <c r="B188" s="27"/>
      <c r="C188" s="514" t="s">
        <v>314</v>
      </c>
      <c r="D188" s="147" t="str">
        <f>"(Note "&amp;B$315&amp;")"</f>
        <v>(Note P)</v>
      </c>
      <c r="E188" s="26" t="s">
        <v>197</v>
      </c>
      <c r="F188" s="92" t="s">
        <v>482</v>
      </c>
      <c r="G188" s="8"/>
      <c r="H188" s="758">
        <f>+'ATT 8 - Securitization'!E18</f>
        <v>0</v>
      </c>
    </row>
    <row r="189" spans="1:8" ht="20">
      <c r="A189" s="27">
        <f>+A188+1</f>
        <v>112</v>
      </c>
      <c r="B189" s="27"/>
      <c r="C189" s="50" t="s">
        <v>55</v>
      </c>
      <c r="D189" s="89"/>
      <c r="E189" s="133"/>
      <c r="F189" s="23" t="str">
        <f>"(Sum Lines "&amp;A184&amp;" to "&amp;A188&amp;")"</f>
        <v>(Sum Lines 107 to 111)</v>
      </c>
      <c r="G189" s="619"/>
      <c r="H189" s="797">
        <f>SUM(H184:H188)</f>
        <v>1121250000</v>
      </c>
    </row>
    <row r="190" spans="1:8" ht="20">
      <c r="A190" s="27">
        <f t="shared" si="3"/>
        <v>113</v>
      </c>
      <c r="B190" s="6"/>
      <c r="C190" s="3" t="s">
        <v>74</v>
      </c>
      <c r="D190" s="8"/>
      <c r="E190" s="6"/>
      <c r="F190" s="3" t="s">
        <v>495</v>
      </c>
      <c r="G190" s="8"/>
      <c r="H190" s="759">
        <v>0</v>
      </c>
    </row>
    <row r="191" spans="1:8" ht="20">
      <c r="A191" s="27">
        <f t="shared" si="3"/>
        <v>114</v>
      </c>
      <c r="B191" s="6"/>
      <c r="C191" s="3" t="s">
        <v>48</v>
      </c>
      <c r="D191" s="8"/>
      <c r="E191" s="81"/>
      <c r="F191" s="90" t="str">
        <f>"(Line "&amp;A181&amp;")"</f>
        <v>(Line 106)</v>
      </c>
      <c r="G191" s="8"/>
      <c r="H191" s="804">
        <f>H181</f>
        <v>1296121110</v>
      </c>
    </row>
    <row r="192" spans="1:8" ht="20">
      <c r="A192" s="27">
        <f t="shared" si="3"/>
        <v>115</v>
      </c>
      <c r="B192" s="6"/>
      <c r="C192" s="77" t="s">
        <v>54</v>
      </c>
      <c r="D192" s="89"/>
      <c r="E192" s="587"/>
      <c r="F192" s="23" t="str">
        <f>"(Sum Lines "&amp;A189&amp;" to "&amp;A191&amp;")"</f>
        <v>(Sum Lines 112 to 114)</v>
      </c>
      <c r="G192" s="33"/>
      <c r="H192" s="795">
        <f>H191+H190+H189</f>
        <v>2417371110</v>
      </c>
    </row>
    <row r="193" spans="1:8" ht="20">
      <c r="A193" s="27"/>
      <c r="B193" s="6"/>
      <c r="C193" s="3"/>
      <c r="D193" s="8"/>
      <c r="E193" s="81"/>
      <c r="F193" s="34"/>
      <c r="G193" s="5"/>
      <c r="H193" s="779"/>
    </row>
    <row r="194" spans="1:8" ht="20">
      <c r="A194" s="27">
        <f>+A192+1</f>
        <v>116</v>
      </c>
      <c r="B194" s="6"/>
      <c r="C194" s="121" t="s">
        <v>216</v>
      </c>
      <c r="D194" s="49" t="s">
        <v>55</v>
      </c>
      <c r="E194" s="81"/>
      <c r="F194" s="23" t="str">
        <f>"(Line "&amp;A189&amp;" / Line "&amp;A192&amp;")"</f>
        <v>(Line 112 / Line 115)</v>
      </c>
      <c r="G194" s="5"/>
      <c r="H194" s="822">
        <f>IF(H192&gt;0,H189/H192,0)</f>
        <v>0.46383031358391635</v>
      </c>
    </row>
    <row r="195" spans="1:8" ht="20">
      <c r="A195" s="27">
        <f>+A194+1</f>
        <v>117</v>
      </c>
      <c r="B195" s="6"/>
      <c r="C195" s="121" t="s">
        <v>223</v>
      </c>
      <c r="D195" s="3" t="s">
        <v>74</v>
      </c>
      <c r="E195" s="81"/>
      <c r="F195" s="23" t="str">
        <f>"(Line "&amp;A190&amp;" / Line "&amp;A192&amp;")"</f>
        <v>(Line 113 / Line 115)</v>
      </c>
      <c r="G195" s="5"/>
      <c r="H195" s="822">
        <f>IF(H192&gt;0,H190/H192,0)</f>
        <v>0</v>
      </c>
    </row>
    <row r="196" spans="1:8" ht="20">
      <c r="A196" s="27">
        <f>+A195+1</f>
        <v>118</v>
      </c>
      <c r="B196" s="6"/>
      <c r="C196" s="121" t="s">
        <v>217</v>
      </c>
      <c r="D196" s="3" t="s">
        <v>48</v>
      </c>
      <c r="E196" s="81"/>
      <c r="F196" s="23" t="str">
        <f>"(Line "&amp;A191&amp;" / Line "&amp;A192&amp;")"</f>
        <v>(Line 114 / Line 115)</v>
      </c>
      <c r="G196" s="5"/>
      <c r="H196" s="822">
        <f>IF(H192&gt;0,H191/H192,0)</f>
        <v>0.53616968641608365</v>
      </c>
    </row>
    <row r="197" spans="1:8" ht="20">
      <c r="A197" s="27"/>
      <c r="B197" s="6"/>
      <c r="C197" s="122"/>
      <c r="D197" s="8"/>
      <c r="E197" s="81"/>
      <c r="F197" s="5"/>
      <c r="G197" s="5"/>
      <c r="H197" s="779"/>
    </row>
    <row r="198" spans="1:8" ht="20">
      <c r="A198" s="27">
        <f>+A196+1</f>
        <v>119</v>
      </c>
      <c r="B198" s="6"/>
      <c r="C198" s="122" t="s">
        <v>218</v>
      </c>
      <c r="D198" s="49" t="s">
        <v>55</v>
      </c>
      <c r="E198" s="81"/>
      <c r="F198" s="23" t="str">
        <f>"(Line "&amp;A172&amp;" / Line "&amp;A189&amp;")"</f>
        <v>(Line 101 / Line 112)</v>
      </c>
      <c r="G198" s="5"/>
      <c r="H198" s="823">
        <f>IF(H189&gt;0,H172/H189,0)</f>
        <v>0.045828615384615384</v>
      </c>
    </row>
    <row r="199" spans="1:8" ht="20">
      <c r="A199" s="27">
        <f>+A198+1</f>
        <v>120</v>
      </c>
      <c r="B199" s="6"/>
      <c r="C199" s="122" t="s">
        <v>224</v>
      </c>
      <c r="D199" s="3" t="s">
        <v>74</v>
      </c>
      <c r="E199" s="81"/>
      <c r="F199" s="23" t="str">
        <f>"(Line "&amp;A174&amp;" / Line "&amp;A190&amp;")"</f>
        <v>(Line 102 / Line 113)</v>
      </c>
      <c r="G199" s="5"/>
      <c r="H199" s="823">
        <f>IF(H190&gt;0,H174/H190,0)</f>
        <v>0</v>
      </c>
    </row>
    <row r="200" spans="1:8" ht="20">
      <c r="A200" s="27">
        <f>+A199+1</f>
        <v>121</v>
      </c>
      <c r="B200" s="6"/>
      <c r="C200" s="122" t="s">
        <v>219</v>
      </c>
      <c r="D200" s="3" t="s">
        <v>48</v>
      </c>
      <c r="E200" s="147" t="str">
        <f>"(Note "&amp;B$307&amp;")"</f>
        <v>(Note J)</v>
      </c>
      <c r="F200" s="5" t="s">
        <v>198</v>
      </c>
      <c r="G200" s="5"/>
      <c r="H200" s="824">
        <v>0.113</v>
      </c>
    </row>
    <row r="201" spans="1:8" ht="20">
      <c r="A201" s="27"/>
      <c r="B201" s="6"/>
      <c r="C201" s="122"/>
      <c r="D201" s="8"/>
      <c r="E201" s="81"/>
      <c r="F201" s="5"/>
      <c r="G201" s="5"/>
      <c r="H201" s="781"/>
    </row>
    <row r="202" spans="1:8" ht="20">
      <c r="A202" s="27">
        <f>+A200+1</f>
        <v>122</v>
      </c>
      <c r="B202" s="6"/>
      <c r="C202" s="121" t="s">
        <v>220</v>
      </c>
      <c r="D202" s="49" t="s">
        <v>57</v>
      </c>
      <c r="E202" s="81"/>
      <c r="F202" s="23" t="str">
        <f>"(Line "&amp;A194&amp;" * Line "&amp;A198&amp;")"</f>
        <v>(Line 116 * Line 119)</v>
      </c>
      <c r="G202" s="28"/>
      <c r="H202" s="823">
        <f>H198*H194</f>
        <v>0.021256701044962849</v>
      </c>
    </row>
    <row r="203" spans="1:8" ht="20">
      <c r="A203" s="27">
        <f>+A202+1</f>
        <v>123</v>
      </c>
      <c r="B203" s="6"/>
      <c r="C203" s="121" t="s">
        <v>225</v>
      </c>
      <c r="D203" s="3" t="s">
        <v>74</v>
      </c>
      <c r="E203" s="81"/>
      <c r="F203" s="23" t="str">
        <f>"(Line "&amp;A195&amp;" * Line "&amp;A199&amp;")"</f>
        <v>(Line 117 * Line 120)</v>
      </c>
      <c r="G203" s="622"/>
      <c r="H203" s="823">
        <f>H199*H195</f>
        <v>0</v>
      </c>
    </row>
    <row r="204" spans="1:8" ht="20">
      <c r="A204" s="27">
        <f>+A203+1</f>
        <v>124</v>
      </c>
      <c r="B204" s="628"/>
      <c r="C204" s="126" t="s">
        <v>221</v>
      </c>
      <c r="D204" s="127" t="s">
        <v>48</v>
      </c>
      <c r="E204" s="590"/>
      <c r="F204" s="90" t="str">
        <f>"(Line "&amp;A196&amp;" * Line "&amp;A200&amp;")"</f>
        <v>(Line 118 * Line 121)</v>
      </c>
      <c r="G204" s="91"/>
      <c r="H204" s="825">
        <f>H200*H196</f>
        <v>0.060587174565017457</v>
      </c>
    </row>
    <row r="205" spans="1:26" s="1" customFormat="1" ht="20">
      <c r="A205" s="27">
        <f>+A204+1</f>
        <v>125</v>
      </c>
      <c r="B205" s="73" t="s">
        <v>56</v>
      </c>
      <c r="C205" s="73"/>
      <c r="D205" s="98"/>
      <c r="E205" s="139"/>
      <c r="F205" s="23" t="str">
        <f>"(Sum Lines "&amp;A202&amp;" to "&amp;A204&amp;")"</f>
        <v>(Sum Lines 122 to 124)</v>
      </c>
      <c r="G205" s="75"/>
      <c r="H205" s="826">
        <f>SUM(H202:H204)</f>
        <v>0.081843875609980299</v>
      </c>
      <c r="I205" s="738"/>
      <c r="J205"/>
      <c r="K205"/>
      <c r="L205"/>
      <c r="M205"/>
      <c r="N205"/>
      <c r="O205"/>
      <c r="P205"/>
      <c r="Q205"/>
      <c r="R205"/>
      <c r="S205"/>
      <c r="T205"/>
      <c r="U205"/>
      <c r="V205"/>
      <c r="W205"/>
      <c r="X205"/>
      <c r="Y205"/>
      <c r="Z205"/>
    </row>
    <row r="206" spans="1:26" s="1" customFormat="1" ht="20">
      <c r="A206" s="48"/>
      <c r="B206" s="10"/>
      <c r="C206" s="73"/>
      <c r="D206" s="98"/>
      <c r="E206" s="139"/>
      <c r="F206" s="74"/>
      <c r="G206" s="75"/>
      <c r="H206" s="782"/>
      <c r="I206" s="738"/>
      <c r="J206"/>
      <c r="K206"/>
      <c r="L206"/>
      <c r="M206"/>
      <c r="N206"/>
      <c r="O206"/>
      <c r="P206"/>
      <c r="Q206"/>
      <c r="R206"/>
      <c r="S206"/>
      <c r="T206"/>
      <c r="U206"/>
      <c r="V206"/>
      <c r="W206"/>
      <c r="X206"/>
      <c r="Y206"/>
      <c r="Z206"/>
    </row>
    <row r="207" spans="1:8" ht="20.5" thickBot="1">
      <c r="A207" s="27">
        <f>+A205+1</f>
        <v>126</v>
      </c>
      <c r="B207" s="93" t="s">
        <v>137</v>
      </c>
      <c r="C207" s="588"/>
      <c r="D207" s="87"/>
      <c r="E207" s="140"/>
      <c r="F207" s="44" t="str">
        <f>"(Line "&amp;A104&amp;" * Line "&amp;A205&amp;")"</f>
        <v>(Line 59 * Line 125)</v>
      </c>
      <c r="G207" s="94"/>
      <c r="H207" s="44">
        <f>+H104*H205</f>
        <v>3306320.7255000216</v>
      </c>
    </row>
    <row r="208" spans="1:8" ht="20.5" thickTop="1">
      <c r="A208" s="6"/>
      <c r="B208" s="6"/>
      <c r="C208" s="3"/>
      <c r="D208" s="8"/>
      <c r="E208" s="81"/>
      <c r="F208" s="5"/>
      <c r="G208" s="5"/>
      <c r="H208" s="780"/>
    </row>
    <row r="209" spans="1:8" ht="20">
      <c r="A209" s="614" t="s">
        <v>373</v>
      </c>
      <c r="B209" s="615"/>
      <c r="C209" s="616"/>
      <c r="D209" s="617"/>
      <c r="E209" s="388"/>
      <c r="F209" s="566"/>
      <c r="G209" s="566"/>
      <c r="H209" s="766"/>
    </row>
    <row r="210" spans="1:8" ht="20">
      <c r="A210" s="119"/>
      <c r="B210" s="6"/>
      <c r="C210" s="22"/>
      <c r="D210" s="25"/>
      <c r="E210" s="18"/>
      <c r="F210" s="8"/>
      <c r="G210" s="8"/>
      <c r="H210" s="762"/>
    </row>
    <row r="211" spans="1:8" ht="20">
      <c r="A211" s="6" t="s">
        <v>69</v>
      </c>
      <c r="B211" s="102" t="s">
        <v>138</v>
      </c>
      <c r="C211" s="8"/>
      <c r="D211" s="8"/>
      <c r="E211" s="18"/>
      <c r="F211" s="5"/>
      <c r="G211" s="15"/>
      <c r="H211" s="781"/>
    </row>
    <row r="212" spans="1:8" ht="20">
      <c r="A212" s="27">
        <f>+A207+1</f>
        <v>127</v>
      </c>
      <c r="B212" s="6"/>
      <c r="C212" s="8" t="s">
        <v>136</v>
      </c>
      <c r="D212" s="8"/>
      <c r="E212" s="81"/>
      <c r="F212" s="8" t="s">
        <v>315</v>
      </c>
      <c r="G212" s="629"/>
      <c r="H212" s="881">
        <v>0.20999999999999999</v>
      </c>
    </row>
    <row r="213" spans="1:8" ht="20">
      <c r="A213" s="27">
        <f>+A212+1</f>
        <v>128</v>
      </c>
      <c r="B213" s="6"/>
      <c r="C213" s="629" t="s">
        <v>135</v>
      </c>
      <c r="D213" s="20"/>
      <c r="E213" s="147" t="str">
        <f>"(Note "&amp;B$301&amp;")"</f>
        <v>(Note I)</v>
      </c>
      <c r="F213" s="8" t="s">
        <v>316</v>
      </c>
      <c r="G213" s="629"/>
      <c r="H213" s="827">
        <v>0.099900000000000003</v>
      </c>
    </row>
    <row r="214" spans="1:8" ht="20">
      <c r="A214" s="27">
        <f>+A213+1</f>
        <v>129</v>
      </c>
      <c r="B214" s="6"/>
      <c r="C214" s="629" t="s">
        <v>190</v>
      </c>
      <c r="E214" s="119" t="s">
        <v>191</v>
      </c>
      <c r="F214" s="8"/>
      <c r="G214" s="629"/>
      <c r="H214" s="827">
        <v>0</v>
      </c>
    </row>
    <row r="215" spans="1:8" ht="20">
      <c r="A215" s="27">
        <f>+A214+1</f>
        <v>130</v>
      </c>
      <c r="B215" s="6"/>
      <c r="C215" s="629" t="s">
        <v>199</v>
      </c>
      <c r="D215" s="14" t="s">
        <v>214</v>
      </c>
      <c r="E215" s="81"/>
      <c r="F215" s="8"/>
      <c r="G215" s="629"/>
      <c r="H215" s="806">
        <f>IF(H212&gt;0,1-(((1-H213)*(1-H212))/(1-H213*H212*H214)),0)</f>
        <v>0.28892099999999998</v>
      </c>
    </row>
    <row r="216" spans="1:8" ht="20">
      <c r="A216" s="27">
        <f>+A215+1</f>
        <v>131</v>
      </c>
      <c r="B216" s="6"/>
      <c r="C216" s="629" t="s">
        <v>189</v>
      </c>
      <c r="D216" s="20"/>
      <c r="E216" s="81"/>
      <c r="F216" s="8"/>
      <c r="G216" s="629"/>
      <c r="H216" s="828">
        <f>+H215/(1-H215)</f>
        <v>0.40631350384415793</v>
      </c>
    </row>
    <row r="217" spans="1:8" ht="20">
      <c r="A217" s="27"/>
      <c r="B217" s="6"/>
      <c r="C217" s="8"/>
      <c r="D217" s="8"/>
      <c r="E217" s="13"/>
      <c r="F217" s="14"/>
      <c r="G217" s="15"/>
      <c r="H217" s="770"/>
    </row>
    <row r="218" spans="1:8" ht="20">
      <c r="A218" s="27"/>
      <c r="B218" s="102" t="s">
        <v>133</v>
      </c>
      <c r="C218" s="3"/>
      <c r="D218" s="8"/>
      <c r="E218" s="147" t="str">
        <f>"(Note "&amp;B$301&amp;")"</f>
        <v>(Note I)</v>
      </c>
      <c r="F218" s="5"/>
      <c r="G218" s="15"/>
      <c r="H218" s="783"/>
    </row>
    <row r="219" spans="1:8" ht="20">
      <c r="A219" s="27">
        <f>+A216+1</f>
        <v>132</v>
      </c>
      <c r="B219" s="6"/>
      <c r="C219" s="3" t="s">
        <v>180</v>
      </c>
      <c r="D219" s="8"/>
      <c r="E219" s="26" t="s">
        <v>197</v>
      </c>
      <c r="F219" s="55" t="s">
        <v>688</v>
      </c>
      <c r="G219" s="15"/>
      <c r="H219" s="747">
        <v>0</v>
      </c>
    </row>
    <row r="220" spans="1:8" ht="20">
      <c r="A220" s="27">
        <f>+A219+1</f>
        <v>133</v>
      </c>
      <c r="B220" s="6"/>
      <c r="C220" s="3" t="s">
        <v>635</v>
      </c>
      <c r="D220" s="8"/>
      <c r="E220" s="6"/>
      <c r="F220" s="119" t="str">
        <f>"1 / (1-"&amp;C215&amp;")"</f>
        <v>1 / (1-T)</v>
      </c>
      <c r="G220" s="15"/>
      <c r="H220" s="828">
        <f>1/(1-H215)</f>
        <v>1.4063135038441579</v>
      </c>
    </row>
    <row r="221" spans="1:26" s="71" customFormat="1" ht="20">
      <c r="A221" s="27">
        <f>+A220+1</f>
        <v>134</v>
      </c>
      <c r="B221" s="599"/>
      <c r="C221" s="146" t="s">
        <v>122</v>
      </c>
      <c r="D221" s="602"/>
      <c r="E221" s="628"/>
      <c r="F221" s="90" t="str">
        <f>"(Line "&amp;A$35&amp;")"</f>
        <v>(Line 18)</v>
      </c>
      <c r="G221" s="630"/>
      <c r="H221" s="99">
        <f>+H35</f>
        <v>0.27770063870200501</v>
      </c>
      <c r="I221" s="937"/>
      <c r="J221"/>
      <c r="K221"/>
      <c r="L221"/>
      <c r="M221"/>
      <c r="N221"/>
      <c r="O221"/>
      <c r="P221"/>
      <c r="Q221"/>
      <c r="R221"/>
      <c r="S221"/>
      <c r="T221"/>
      <c r="U221"/>
      <c r="V221"/>
      <c r="W221"/>
      <c r="X221"/>
      <c r="Y221"/>
      <c r="Z221"/>
    </row>
    <row r="222" spans="1:8" ht="20">
      <c r="A222" s="27">
        <f>+A221+1</f>
        <v>135</v>
      </c>
      <c r="B222" s="6"/>
      <c r="C222" s="104" t="s">
        <v>134</v>
      </c>
      <c r="D222" s="619"/>
      <c r="E222" s="147"/>
      <c r="F222" s="23" t="str">
        <f>"(Line "&amp;A219&amp;" * Line "&amp;A220&amp;" * Line "&amp;A221&amp;")"</f>
        <v>(Line 132 * Line 133 * Line 134)</v>
      </c>
      <c r="G222" s="601"/>
      <c r="H222" s="808">
        <f>+H219*H220*H221</f>
        <v>0</v>
      </c>
    </row>
    <row r="223" spans="1:8" ht="20">
      <c r="A223" s="27"/>
      <c r="B223" s="6"/>
      <c r="C223" s="118"/>
      <c r="D223" s="35"/>
      <c r="E223" s="147"/>
      <c r="F223" s="23"/>
      <c r="G223" s="630"/>
      <c r="H223" s="819"/>
    </row>
    <row r="224" spans="1:8" ht="20">
      <c r="A224" s="27"/>
      <c r="B224" s="6"/>
      <c r="C224" s="8"/>
      <c r="D224" s="8"/>
      <c r="E224" s="13"/>
      <c r="F224" s="14"/>
      <c r="G224" s="15"/>
      <c r="H224" s="784"/>
    </row>
    <row r="225" spans="1:8" ht="20">
      <c r="A225" s="27">
        <f>+A222+1</f>
        <v>136</v>
      </c>
      <c r="B225" s="1" t="s">
        <v>164</v>
      </c>
      <c r="C225" s="34"/>
      <c r="D225" s="30" t="s">
        <v>794</v>
      </c>
      <c r="E225" s="18"/>
      <c r="F225" s="23" t="s">
        <v>710</v>
      </c>
      <c r="G225" s="8"/>
      <c r="H225" s="829">
        <f>+H216*(1-H202/H205)*H207</f>
        <v>994490.75269904255</v>
      </c>
    </row>
    <row r="226" spans="1:8" ht="20">
      <c r="A226" s="27"/>
      <c r="B226" s="1"/>
      <c r="C226" s="34"/>
      <c r="D226" s="8"/>
      <c r="E226" s="18"/>
      <c r="F226" s="23"/>
      <c r="G226" s="8"/>
      <c r="H226" s="829"/>
    </row>
    <row r="227" spans="1:26" s="57" customFormat="1" ht="20">
      <c r="A227" s="27"/>
      <c r="B227" s="910" t="s">
        <v>772</v>
      </c>
      <c r="C227" s="470"/>
      <c r="E227" s="147"/>
      <c r="F227" s="45"/>
      <c r="G227" s="901"/>
      <c r="H227" s="902"/>
      <c r="I227" s="738"/>
      <c r="J227"/>
      <c r="K227"/>
      <c r="L227"/>
      <c r="M227"/>
      <c r="N227"/>
      <c r="O227"/>
      <c r="P227"/>
      <c r="Q227"/>
      <c r="R227"/>
      <c r="S227"/>
      <c r="T227"/>
      <c r="U227"/>
      <c r="V227"/>
      <c r="W227"/>
      <c r="X227"/>
      <c r="Y227"/>
      <c r="Z227"/>
    </row>
    <row r="228" spans="1:26" s="57" customFormat="1" ht="54.75" customHeight="1">
      <c r="A228" s="27">
        <f>+A225+1</f>
        <v>137</v>
      </c>
      <c r="B228" s="27"/>
      <c r="C228" s="470" t="s">
        <v>824</v>
      </c>
      <c r="D228" s="35"/>
      <c r="E228" s="147" t="s">
        <v>802</v>
      </c>
      <c r="F228" s="942" t="s">
        <v>841</v>
      </c>
      <c r="G228" s="901"/>
      <c r="H228" s="940">
        <f>'ATT 1A - Excess ADIT'!D34</f>
        <v>-95428.993311312355</v>
      </c>
      <c r="I228" s="738"/>
      <c r="J228"/>
      <c r="K228"/>
      <c r="L228"/>
      <c r="M228"/>
      <c r="N228"/>
      <c r="O228"/>
      <c r="P228"/>
      <c r="Q228"/>
      <c r="R228"/>
      <c r="S228"/>
      <c r="T228"/>
      <c r="U228"/>
      <c r="V228"/>
      <c r="W228"/>
      <c r="X228"/>
      <c r="Y228"/>
      <c r="Z228"/>
    </row>
    <row r="229" spans="1:26" s="57" customFormat="1" ht="20">
      <c r="A229" s="27">
        <f>+A228+1</f>
        <v>138</v>
      </c>
      <c r="B229" s="27"/>
      <c r="C229" s="911"/>
      <c r="D229" s="56"/>
      <c r="E229" s="147"/>
      <c r="F229" s="943" t="s">
        <v>839</v>
      </c>
      <c r="G229" s="901"/>
      <c r="H229" s="941">
        <f>(1-H202/H205)</f>
        <v>0.74027743815237002</v>
      </c>
      <c r="I229" s="738"/>
      <c r="J229"/>
      <c r="K229"/>
      <c r="L229"/>
      <c r="M229"/>
      <c r="N229"/>
      <c r="O229"/>
      <c r="P229"/>
      <c r="Q229"/>
      <c r="R229"/>
      <c r="S229"/>
      <c r="T229"/>
      <c r="U229"/>
      <c r="V229"/>
      <c r="W229"/>
      <c r="X229"/>
      <c r="Y229"/>
      <c r="Z229"/>
    </row>
    <row r="230" spans="1:26" s="57" customFormat="1" ht="20">
      <c r="A230" s="27">
        <f>+A229+1</f>
        <v>139</v>
      </c>
      <c r="B230" s="27"/>
      <c r="C230" s="470"/>
      <c r="D230" s="56" t="s">
        <v>797</v>
      </c>
      <c r="E230" s="147"/>
      <c r="F230" s="57" t="s">
        <v>796</v>
      </c>
      <c r="G230" s="901"/>
      <c r="H230" s="902">
        <f>H228*H229</f>
        <v>-70643.930693957969</v>
      </c>
      <c r="I230" s="738"/>
      <c r="J230"/>
      <c r="K230"/>
      <c r="L230"/>
      <c r="M230"/>
      <c r="N230"/>
      <c r="O230"/>
      <c r="P230"/>
      <c r="Q230"/>
      <c r="R230"/>
      <c r="S230"/>
      <c r="T230"/>
      <c r="U230"/>
      <c r="V230"/>
      <c r="W230"/>
      <c r="X230"/>
      <c r="Y230"/>
      <c r="Z230"/>
    </row>
    <row r="231" spans="1:8" ht="20">
      <c r="A231" s="27"/>
      <c r="B231" s="6"/>
      <c r="C231" s="121"/>
      <c r="D231" s="35"/>
      <c r="E231" s="136"/>
      <c r="F231" s="630"/>
      <c r="G231" s="630"/>
      <c r="H231" s="778"/>
    </row>
    <row r="232" spans="1:8" ht="20.5" thickBot="1">
      <c r="A232" s="27">
        <f>+A230+1</f>
        <v>140</v>
      </c>
      <c r="B232" s="93" t="s">
        <v>44</v>
      </c>
      <c r="C232" s="93"/>
      <c r="D232" s="87"/>
      <c r="E232" s="135"/>
      <c r="F232" s="44" t="s">
        <v>798</v>
      </c>
      <c r="G232" s="101"/>
      <c r="H232" s="124">
        <f>+H225+H222+H230</f>
        <v>923846.8220050846</v>
      </c>
    </row>
    <row r="233" spans="1:8" ht="20.5" thickTop="1">
      <c r="A233" s="6"/>
      <c r="B233" s="6"/>
      <c r="C233" s="14"/>
      <c r="D233" s="8"/>
      <c r="E233" s="81"/>
      <c r="F233" s="17"/>
      <c r="G233" s="7"/>
      <c r="H233" s="785"/>
    </row>
    <row r="234" spans="1:8" ht="20">
      <c r="A234" s="614" t="s">
        <v>58</v>
      </c>
      <c r="B234" s="615"/>
      <c r="C234" s="616"/>
      <c r="D234" s="617"/>
      <c r="E234" s="618"/>
      <c r="F234" s="566"/>
      <c r="G234" s="566"/>
      <c r="H234" s="766"/>
    </row>
    <row r="235" spans="1:8" ht="20">
      <c r="A235" s="81"/>
      <c r="B235" s="34"/>
      <c r="C235" s="34"/>
      <c r="D235" s="34"/>
      <c r="E235" s="81"/>
      <c r="F235" s="34"/>
      <c r="G235" s="34"/>
      <c r="H235" s="763"/>
    </row>
    <row r="236" spans="1:8" ht="20">
      <c r="A236" s="85"/>
      <c r="B236" s="1" t="s">
        <v>45</v>
      </c>
      <c r="C236" s="38"/>
      <c r="D236" s="38"/>
      <c r="E236" s="81"/>
      <c r="F236" s="34"/>
      <c r="G236" s="34"/>
      <c r="H236" s="763"/>
    </row>
    <row r="237" spans="1:8" ht="20">
      <c r="A237" s="85">
        <f>+A232+1</f>
        <v>141</v>
      </c>
      <c r="B237" s="34"/>
      <c r="C237" s="38" t="s">
        <v>46</v>
      </c>
      <c r="D237" s="38"/>
      <c r="E237" s="81"/>
      <c r="F237" s="23" t="str">
        <f>"(Line "&amp;A69&amp;")"</f>
        <v>(Line 39)</v>
      </c>
      <c r="G237" s="34"/>
      <c r="H237" s="798">
        <f>+H69</f>
        <v>48836806.718691096</v>
      </c>
    </row>
    <row r="238" spans="1:8" ht="20">
      <c r="A238" s="27">
        <f>+A237+1</f>
        <v>142</v>
      </c>
      <c r="B238" s="34"/>
      <c r="C238" s="38" t="s">
        <v>159</v>
      </c>
      <c r="D238" s="38"/>
      <c r="E238" s="81"/>
      <c r="F238" s="90" t="str">
        <f>"(Line "&amp;A102&amp;")"</f>
        <v>(Line 58)</v>
      </c>
      <c r="G238" s="34"/>
      <c r="H238" s="798">
        <f>+H102</f>
        <v>-8438906.4377220161</v>
      </c>
    </row>
    <row r="239" spans="1:8" ht="20">
      <c r="A239" s="27">
        <f>+A238+1</f>
        <v>143</v>
      </c>
      <c r="B239" s="6"/>
      <c r="C239" s="36" t="s">
        <v>163</v>
      </c>
      <c r="D239" s="105"/>
      <c r="E239" s="142"/>
      <c r="F239" s="23" t="str">
        <f>"(Line "&amp;A104&amp;")"</f>
        <v>(Line 59)</v>
      </c>
      <c r="G239" s="106"/>
      <c r="H239" s="810">
        <f>+H104</f>
        <v>40397900.280969083</v>
      </c>
    </row>
    <row r="240" spans="1:8" ht="20">
      <c r="A240" s="27"/>
      <c r="B240" s="6"/>
      <c r="C240" s="49"/>
      <c r="D240" s="35"/>
      <c r="E240" s="18"/>
      <c r="F240" s="8"/>
      <c r="G240" s="8"/>
      <c r="H240" s="765"/>
    </row>
    <row r="241" spans="1:8" ht="20">
      <c r="A241" s="27">
        <f>+A239+1</f>
        <v>144</v>
      </c>
      <c r="B241" s="8"/>
      <c r="C241" s="49" t="s">
        <v>201</v>
      </c>
      <c r="D241" s="37"/>
      <c r="E241" s="81"/>
      <c r="F241" s="23" t="str">
        <f>"(Line "&amp;A139&amp;")"</f>
        <v>(Line 84)</v>
      </c>
      <c r="G241" s="34"/>
      <c r="H241" s="798">
        <f>+H139</f>
        <v>5241495.1131695872</v>
      </c>
    </row>
    <row r="242" spans="1:8" ht="20">
      <c r="A242" s="27">
        <f>+A241+1</f>
        <v>145</v>
      </c>
      <c r="B242" s="8"/>
      <c r="C242" s="121" t="s">
        <v>140</v>
      </c>
      <c r="D242" s="37"/>
      <c r="E242" s="81"/>
      <c r="F242" s="23" t="str">
        <f>"(Line "&amp;A159&amp;")"</f>
        <v>(Line 96)</v>
      </c>
      <c r="G242" s="34"/>
      <c r="H242" s="798">
        <f>+H159</f>
        <v>1634824.9526381344</v>
      </c>
    </row>
    <row r="243" spans="1:8" ht="20">
      <c r="A243" s="27">
        <f>+A242+1</f>
        <v>146</v>
      </c>
      <c r="B243" s="6"/>
      <c r="C243" s="49" t="s">
        <v>47</v>
      </c>
      <c r="D243" s="35"/>
      <c r="E243" s="18"/>
      <c r="F243" s="23" t="str">
        <f>"(Line "&amp;A165&amp;")"</f>
        <v>(Line 98)</v>
      </c>
      <c r="G243" s="8"/>
      <c r="H243" s="798">
        <f>+H165</f>
        <v>196016.2069215973</v>
      </c>
    </row>
    <row r="244" spans="1:8" ht="20">
      <c r="A244" s="27">
        <f>+A243+1</f>
        <v>147</v>
      </c>
      <c r="B244" s="6"/>
      <c r="C244" s="76" t="s">
        <v>184</v>
      </c>
      <c r="D244" s="35"/>
      <c r="E244" s="18"/>
      <c r="F244" s="23" t="str">
        <f>"(Line "&amp;A207&amp;")"</f>
        <v>(Line 126)</v>
      </c>
      <c r="G244" s="8"/>
      <c r="H244" s="798">
        <f>+H207</f>
        <v>3306320.7255000216</v>
      </c>
    </row>
    <row r="245" spans="1:8" ht="20">
      <c r="A245" s="27">
        <f>+A244+1</f>
        <v>148</v>
      </c>
      <c r="B245" s="6"/>
      <c r="C245" s="76" t="s">
        <v>185</v>
      </c>
      <c r="D245" s="35"/>
      <c r="E245" s="18"/>
      <c r="F245" s="23" t="str">
        <f>"(Line "&amp;A232&amp;")"</f>
        <v>(Line 140)</v>
      </c>
      <c r="G245" s="8"/>
      <c r="H245" s="798">
        <f>+H232</f>
        <v>923846.8220050846</v>
      </c>
    </row>
    <row r="246" spans="1:8" ht="20.5" thickBot="1">
      <c r="A246" s="27"/>
      <c r="B246" s="6"/>
      <c r="C246" s="76"/>
      <c r="D246" s="35"/>
      <c r="E246" s="18"/>
      <c r="F246" s="8"/>
      <c r="G246" s="8"/>
      <c r="H246" s="765"/>
    </row>
    <row r="247" spans="1:8" ht="20.5" thickBot="1">
      <c r="A247" s="707">
        <f>+A245+1</f>
        <v>149</v>
      </c>
      <c r="B247" s="631"/>
      <c r="C247" s="632" t="s">
        <v>186</v>
      </c>
      <c r="D247" s="633"/>
      <c r="E247" s="634"/>
      <c r="F247" s="226" t="str">
        <f>"(Sum Lines "&amp;A241&amp;" to "&amp;A245&amp;")"</f>
        <v>(Sum Lines 144 to 148)</v>
      </c>
      <c r="G247" s="635"/>
      <c r="H247" s="830">
        <f>SUM(H245,H244,H243,H242,H241)</f>
        <v>11302503.820234425</v>
      </c>
    </row>
    <row r="248" spans="1:8" ht="20">
      <c r="A248" s="178"/>
      <c r="B248" s="636"/>
      <c r="C248" s="637"/>
      <c r="D248" s="638"/>
      <c r="E248" s="639"/>
      <c r="F248" s="74"/>
      <c r="G248" s="640"/>
      <c r="H248" s="786"/>
    </row>
    <row r="249" spans="1:8" ht="20">
      <c r="A249" s="178"/>
      <c r="B249" s="118" t="s">
        <v>91</v>
      </c>
      <c r="C249" s="637"/>
      <c r="D249" s="638"/>
      <c r="E249" s="639"/>
      <c r="F249" s="74"/>
      <c r="G249" s="640"/>
      <c r="H249" s="786"/>
    </row>
    <row r="250" spans="1:8" ht="20">
      <c r="A250" s="136">
        <f>+A247+1</f>
        <v>150</v>
      </c>
      <c r="B250" s="136"/>
      <c r="C250" s="49" t="str">
        <f>+C40</f>
        <v>Transmission Plant In Service1</v>
      </c>
      <c r="D250" s="638"/>
      <c r="E250" s="639"/>
      <c r="F250" s="23" t="str">
        <f>"(Line "&amp;A40&amp;")"</f>
        <v>(Line 19)</v>
      </c>
      <c r="G250" s="640"/>
      <c r="H250" s="831">
        <f>+H40</f>
        <v>61204607</v>
      </c>
    </row>
    <row r="251" spans="1:8" ht="20">
      <c r="A251" s="136">
        <f>+A250+1</f>
        <v>151</v>
      </c>
      <c r="B251" s="136"/>
      <c r="C251" s="120" t="s">
        <v>92</v>
      </c>
      <c r="D251" s="641"/>
      <c r="E251" s="154" t="str">
        <f>"(Note "&amp;B$310&amp;")"</f>
        <v>(Note M)</v>
      </c>
      <c r="F251" s="602" t="s">
        <v>479</v>
      </c>
      <c r="G251" s="697"/>
      <c r="H251" s="758">
        <f>'ATT 5 -AA-BL Support'!I315</f>
        <v>8388475</v>
      </c>
    </row>
    <row r="252" spans="1:8" ht="20">
      <c r="A252" s="136">
        <f>+A251+1</f>
        <v>152</v>
      </c>
      <c r="B252" s="136"/>
      <c r="C252" s="49" t="s">
        <v>93</v>
      </c>
      <c r="D252" s="638"/>
      <c r="E252" s="642"/>
      <c r="F252" s="45" t="str">
        <f>"(Line "&amp;A250&amp;" - Line "&amp;A251&amp;")"</f>
        <v>(Line 150 - Line 151)</v>
      </c>
      <c r="G252" s="640"/>
      <c r="H252" s="831">
        <f>+H250-H251</f>
        <v>52816132</v>
      </c>
    </row>
    <row r="253" spans="1:8" ht="20">
      <c r="A253" s="136">
        <f>+A252+1</f>
        <v>153</v>
      </c>
      <c r="B253" s="136"/>
      <c r="C253" s="49" t="s">
        <v>94</v>
      </c>
      <c r="D253" s="638"/>
      <c r="E253" s="639"/>
      <c r="F253" s="45" t="str">
        <f>"(Line "&amp;A252&amp;" / Line "&amp;A250&amp;")"</f>
        <v>(Line 152 / Line 150)</v>
      </c>
      <c r="G253" s="640"/>
      <c r="H253" s="832">
        <f>+H252/H250</f>
        <v>0.86294373232394095</v>
      </c>
    </row>
    <row r="254" spans="1:8" ht="20">
      <c r="A254" s="136">
        <f>+A253+1</f>
        <v>154</v>
      </c>
      <c r="B254" s="136"/>
      <c r="C254" s="120" t="s">
        <v>186</v>
      </c>
      <c r="D254" s="641"/>
      <c r="E254" s="643"/>
      <c r="F254" s="92" t="str">
        <f>"(Line "&amp;A247&amp;")"</f>
        <v>(Line 149)</v>
      </c>
      <c r="G254" s="697"/>
      <c r="H254" s="833">
        <f>+H247</f>
        <v>11302503.820234425</v>
      </c>
    </row>
    <row r="255" spans="1:8" ht="20">
      <c r="A255" s="136">
        <f>+A254+1</f>
        <v>155</v>
      </c>
      <c r="B255" s="136"/>
      <c r="C255" s="52" t="s">
        <v>95</v>
      </c>
      <c r="D255" s="638"/>
      <c r="E255" s="639"/>
      <c r="F255" s="45" t="str">
        <f>"(Line "&amp;A253&amp;" x Line "&amp;A254&amp;")"</f>
        <v>(Line 153 x Line 154)</v>
      </c>
      <c r="G255" s="640"/>
      <c r="H255" s="834">
        <f>+H254*H253</f>
        <v>9753424.8312386964</v>
      </c>
    </row>
    <row r="256" spans="1:8" ht="20">
      <c r="A256" s="706"/>
      <c r="B256" s="6"/>
      <c r="C256" s="49"/>
      <c r="D256" s="35"/>
      <c r="E256" s="18"/>
      <c r="F256" s="8"/>
      <c r="G256" s="8"/>
      <c r="H256" s="762"/>
    </row>
    <row r="257" spans="1:8" ht="20">
      <c r="A257" s="706"/>
      <c r="B257" s="86" t="s">
        <v>323</v>
      </c>
      <c r="C257" s="49"/>
      <c r="D257" s="35"/>
      <c r="E257" s="18"/>
      <c r="F257" s="8"/>
      <c r="G257" s="8"/>
      <c r="H257" s="762"/>
    </row>
    <row r="258" spans="1:8" ht="20">
      <c r="A258" s="27">
        <f>+A255+1</f>
        <v>156</v>
      </c>
      <c r="B258" s="34"/>
      <c r="C258" s="86" t="s">
        <v>50</v>
      </c>
      <c r="D258" s="35"/>
      <c r="E258" s="18"/>
      <c r="F258" s="8" t="s">
        <v>496</v>
      </c>
      <c r="G258" s="8"/>
      <c r="H258" s="835">
        <f>'ATT 3 - Rev. Credits'!D23</f>
        <v>115810</v>
      </c>
    </row>
    <row r="259" spans="1:8" ht="20">
      <c r="A259" s="27">
        <f>+A258+1</f>
        <v>157</v>
      </c>
      <c r="B259" s="34"/>
      <c r="C259" s="86" t="s">
        <v>321</v>
      </c>
      <c r="D259" s="35"/>
      <c r="E259" s="147" t="str">
        <f>"(Note "&amp;B$311&amp;")"</f>
        <v>(Note N)</v>
      </c>
      <c r="F259" s="8" t="s">
        <v>322</v>
      </c>
      <c r="G259" s="8"/>
      <c r="H259" s="835">
        <f>+'ATT 5 -AA-BL Support'!G407</f>
        <v>0</v>
      </c>
    </row>
    <row r="260" spans="1:8" ht="20.5" thickBot="1">
      <c r="A260" s="27"/>
      <c r="B260" s="6"/>
      <c r="C260" s="61"/>
      <c r="D260" s="61"/>
      <c r="E260" s="81"/>
      <c r="F260" s="8"/>
      <c r="G260" s="8"/>
      <c r="H260" s="762"/>
    </row>
    <row r="261" spans="1:26" s="1" customFormat="1" ht="20.5" thickBot="1">
      <c r="A261" s="109">
        <f>+A259+1</f>
        <v>158</v>
      </c>
      <c r="B261" s="115"/>
      <c r="C261" s="110" t="s">
        <v>200</v>
      </c>
      <c r="D261" s="111"/>
      <c r="E261" s="143"/>
      <c r="F261" s="670" t="str">
        <f>"(Line "&amp;A255&amp;" - Line "&amp;A258&amp;" + Line "&amp;A259&amp;")"</f>
        <v>(Line 155 - Line 156 + Line 157)</v>
      </c>
      <c r="G261" s="112"/>
      <c r="H261" s="830">
        <f>+H255-H258+H259</f>
        <v>9637614.8312386964</v>
      </c>
      <c r="I261" s="738"/>
      <c r="J261"/>
      <c r="K261"/>
      <c r="L261"/>
      <c r="M261"/>
      <c r="N261"/>
      <c r="O261"/>
      <c r="P261"/>
      <c r="Q261"/>
      <c r="R261"/>
      <c r="S261"/>
      <c r="T261"/>
      <c r="U261"/>
      <c r="V261"/>
      <c r="W261"/>
      <c r="X261"/>
      <c r="Y261"/>
      <c r="Z261"/>
    </row>
    <row r="262" spans="1:8" ht="20">
      <c r="A262" s="182"/>
      <c r="B262" s="6"/>
      <c r="C262" s="61"/>
      <c r="D262" s="61"/>
      <c r="E262" s="81"/>
      <c r="F262" s="8"/>
      <c r="G262" s="8"/>
      <c r="H262" s="762"/>
    </row>
    <row r="263" spans="1:8" ht="20">
      <c r="A263" s="6"/>
      <c r="B263" s="161" t="s">
        <v>573</v>
      </c>
      <c r="C263" s="34"/>
      <c r="D263" s="61"/>
      <c r="E263" s="81"/>
      <c r="F263" s="8"/>
      <c r="G263" s="8"/>
      <c r="H263" s="762"/>
    </row>
    <row r="264" spans="1:10" ht="20">
      <c r="A264" s="27">
        <f>+A261+1</f>
        <v>159</v>
      </c>
      <c r="B264" s="27"/>
      <c r="C264" s="61" t="s">
        <v>186</v>
      </c>
      <c r="D264" s="61"/>
      <c r="E264" s="81"/>
      <c r="F264" s="8" t="str">
        <f>"(Line "&amp;A247&amp;")"</f>
        <v>(Line 149)</v>
      </c>
      <c r="G264" s="8"/>
      <c r="H264" s="836">
        <f>+H247</f>
        <v>11302503.820234425</v>
      </c>
      <c r="J264" s="868"/>
    </row>
    <row r="265" spans="1:8" ht="20">
      <c r="A265" s="27">
        <f>+A264+1</f>
        <v>160</v>
      </c>
      <c r="B265" s="27"/>
      <c r="C265" s="61" t="s">
        <v>275</v>
      </c>
      <c r="D265" s="61"/>
      <c r="E265" s="81"/>
      <c r="F265" s="8" t="str">
        <f>"(Line "&amp;A40&amp;" - Line "&amp;A57&amp;")"</f>
        <v>(Line 19 - Line 30)</v>
      </c>
      <c r="G265" s="8"/>
      <c r="H265" s="836">
        <f>+H40-H57</f>
        <v>42316318</v>
      </c>
    </row>
    <row r="266" spans="1:8" ht="20">
      <c r="A266" s="27">
        <f>+A265+1</f>
        <v>161</v>
      </c>
      <c r="B266" s="27"/>
      <c r="C266" s="61" t="s">
        <v>470</v>
      </c>
      <c r="D266" s="61"/>
      <c r="E266" s="81"/>
      <c r="F266" s="8" t="str">
        <f>"(Line "&amp;A264&amp;" / Line "&amp;A265&amp;")"</f>
        <v>(Line 159 / Line 160)</v>
      </c>
      <c r="G266" s="8"/>
      <c r="H266" s="40">
        <f>+H264/H265</f>
        <v>0.26709563483841919</v>
      </c>
    </row>
    <row r="267" spans="1:8" ht="20">
      <c r="A267" s="27">
        <f>+A266+1</f>
        <v>162</v>
      </c>
      <c r="B267" s="27"/>
      <c r="C267" s="61" t="s">
        <v>471</v>
      </c>
      <c r="D267" s="61"/>
      <c r="E267" s="81"/>
      <c r="F267" s="8" t="str">
        <f>"(Line "&amp;A264&amp;" - Line "&amp;A144&amp;") / Line "&amp;A265</f>
        <v>(Line 159 - Line 85) / Line 160</v>
      </c>
      <c r="G267" s="8"/>
      <c r="H267" s="40">
        <f>(H264-H144)/H265</f>
        <v>0.24145391903507354</v>
      </c>
    </row>
    <row r="268" spans="1:8" ht="20">
      <c r="A268" s="27">
        <f>+A267+1</f>
        <v>163</v>
      </c>
      <c r="B268" s="27"/>
      <c r="C268" s="61" t="s">
        <v>472</v>
      </c>
      <c r="D268" s="61"/>
      <c r="E268" s="85"/>
      <c r="F268" s="25" t="str">
        <f>"(Lines "&amp;A264&amp;" - "&amp;A144&amp;" - "&amp;A207&amp;" - "&amp;A232&amp;") /  Line "&amp;A265</f>
        <v>(Lines 159 - 85 - 126 - 140) /  Line 160</v>
      </c>
      <c r="G268" s="8"/>
      <c r="H268" s="40">
        <f>(H264-H144-H207-H232)/H265</f>
        <v>0.14148852158473049</v>
      </c>
    </row>
    <row r="269" spans="1:8" ht="20">
      <c r="A269" s="27"/>
      <c r="B269" s="27"/>
      <c r="C269" s="61"/>
      <c r="D269" s="61"/>
      <c r="E269" s="81"/>
      <c r="F269" s="8"/>
      <c r="G269" s="8"/>
      <c r="H269" s="762"/>
    </row>
    <row r="270" spans="1:8" ht="20">
      <c r="A270" s="27"/>
      <c r="B270" s="27"/>
      <c r="C270" s="61"/>
      <c r="D270" s="61"/>
      <c r="E270" s="81"/>
      <c r="F270" s="8"/>
      <c r="G270" s="8"/>
      <c r="H270" s="762"/>
    </row>
    <row r="271" spans="1:8" ht="20">
      <c r="A271" s="27"/>
      <c r="B271" s="161" t="s">
        <v>574</v>
      </c>
      <c r="C271" s="61"/>
      <c r="D271" s="61"/>
      <c r="E271" s="81"/>
      <c r="F271" s="8"/>
      <c r="G271" s="8"/>
      <c r="H271" s="762"/>
    </row>
    <row r="272" spans="1:8" ht="20">
      <c r="A272" s="27">
        <f>+A268+1</f>
        <v>164</v>
      </c>
      <c r="B272" s="27"/>
      <c r="C272" s="61" t="s">
        <v>497</v>
      </c>
      <c r="D272" s="61"/>
      <c r="E272" s="81"/>
      <c r="F272" s="25" t="str">
        <f>"(Line "&amp;A247&amp;" - Line "&amp;A244&amp;" - Line "&amp;A245&amp;")"</f>
        <v>(Line 149 - Line 147 - Line 148)</v>
      </c>
      <c r="G272" s="8"/>
      <c r="H272" s="836">
        <f>+H247-H244-H245</f>
        <v>7072336.2727293195</v>
      </c>
    </row>
    <row r="273" spans="1:8" ht="18" customHeight="1">
      <c r="A273" s="27">
        <f>+A272+1</f>
        <v>165</v>
      </c>
      <c r="B273" s="27"/>
      <c r="C273" s="61" t="s">
        <v>473</v>
      </c>
      <c r="D273" s="61"/>
      <c r="E273" s="81"/>
      <c r="F273" s="25" t="s">
        <v>498</v>
      </c>
      <c r="G273" s="8"/>
      <c r="H273" s="837">
        <f>+'ATT 4 - 100 Basis Pt ROE'!I8</f>
        <v>4605420.8046665229</v>
      </c>
    </row>
    <row r="274" spans="1:10" ht="20">
      <c r="A274" s="27">
        <f>+A273+1</f>
        <v>166</v>
      </c>
      <c r="B274" s="27"/>
      <c r="C274" s="61" t="s">
        <v>474</v>
      </c>
      <c r="D274" s="61"/>
      <c r="E274" s="81"/>
      <c r="F274" s="25" t="str">
        <f>"(Line "&amp;A272&amp;" + Line "&amp;A273&amp;")"</f>
        <v>(Line 164 + Line 165)</v>
      </c>
      <c r="G274" s="8"/>
      <c r="H274" s="836">
        <f>+H273+H272</f>
        <v>11677757.077395842</v>
      </c>
      <c r="J274" s="868"/>
    </row>
    <row r="275" spans="1:8" ht="20">
      <c r="A275" s="27">
        <f>+A274+1</f>
        <v>167</v>
      </c>
      <c r="B275" s="27"/>
      <c r="C275" s="61" t="str">
        <f>+C265</f>
        <v>Net Transmission Plant</v>
      </c>
      <c r="D275" s="61"/>
      <c r="E275" s="81"/>
      <c r="F275" s="8" t="str">
        <f>"(Line "&amp;A40&amp;" - Line "&amp;A57&amp;")"</f>
        <v>(Line 19 - Line 30)</v>
      </c>
      <c r="G275" s="8"/>
      <c r="H275" s="836">
        <f>+H265</f>
        <v>42316318</v>
      </c>
    </row>
    <row r="276" spans="1:8" ht="15.75" customHeight="1">
      <c r="A276" s="27">
        <f>+A275+1</f>
        <v>168</v>
      </c>
      <c r="B276" s="27"/>
      <c r="C276" s="61" t="s">
        <v>475</v>
      </c>
      <c r="D276" s="61"/>
      <c r="E276" s="81"/>
      <c r="F276" s="8" t="str">
        <f>"(Line "&amp;A274&amp;" / Line "&amp;A275&amp;")"</f>
        <v>(Line 166 / Line 167)</v>
      </c>
      <c r="G276" s="8"/>
      <c r="H276" s="40">
        <f>+H274/H275</f>
        <v>0.27596344931040173</v>
      </c>
    </row>
    <row r="277" spans="1:8" ht="15.75" customHeight="1">
      <c r="A277" s="27">
        <f>+A276+1</f>
        <v>169</v>
      </c>
      <c r="B277" s="27"/>
      <c r="C277" s="61" t="s">
        <v>476</v>
      </c>
      <c r="D277" s="61"/>
      <c r="E277" s="81"/>
      <c r="F277" s="8" t="str">
        <f>"(Line "&amp;A273&amp;" - Line "&amp;A144&amp;") / Line "&amp;A275</f>
        <v>(Line 165 - Line 85) / Line 167</v>
      </c>
      <c r="G277" s="8"/>
      <c r="H277" s="40">
        <f>(H274-H144)/H275</f>
        <v>0.25032173350705611</v>
      </c>
    </row>
    <row r="278" spans="1:8" ht="15.75" customHeight="1">
      <c r="A278" s="27"/>
      <c r="B278" s="27"/>
      <c r="C278" s="61"/>
      <c r="D278" s="61"/>
      <c r="E278" s="81"/>
      <c r="F278" s="8"/>
      <c r="G278" s="8"/>
      <c r="H278" s="40"/>
    </row>
    <row r="279" spans="1:8" ht="15.75" customHeight="1">
      <c r="A279" s="27">
        <f>+A277+1</f>
        <v>170</v>
      </c>
      <c r="B279" s="27"/>
      <c r="C279" s="161" t="s">
        <v>200</v>
      </c>
      <c r="D279" s="61"/>
      <c r="E279" s="85"/>
      <c r="F279" s="8" t="str">
        <f>"(Line "&amp;A261&amp;")"</f>
        <v>(Line 158)</v>
      </c>
      <c r="G279" s="8"/>
      <c r="H279" s="836">
        <f>+H261</f>
        <v>9637614.8312386964</v>
      </c>
    </row>
    <row r="280" spans="1:10" ht="25.5" customHeight="1">
      <c r="A280" s="27">
        <f>+A279+1</f>
        <v>171</v>
      </c>
      <c r="B280" s="27"/>
      <c r="C280" s="850" t="s">
        <v>848</v>
      </c>
      <c r="D280" s="61"/>
      <c r="E280" s="18"/>
      <c r="F280" s="871" t="s">
        <v>758</v>
      </c>
      <c r="G280" s="8"/>
      <c r="H280" s="837">
        <f>+'ATT 6 - Est and True-up WS'!H141-1070773</f>
        <v>684300.42561534885</v>
      </c>
      <c r="J280" s="868"/>
    </row>
    <row r="281" spans="1:8" ht="15.75" customHeight="1">
      <c r="A281" s="27">
        <f>A280+1</f>
        <v>172</v>
      </c>
      <c r="B281" s="27"/>
      <c r="C281" s="61" t="s">
        <v>477</v>
      </c>
      <c r="D281" s="668"/>
      <c r="E281" s="147"/>
      <c r="F281" s="593" t="s">
        <v>484</v>
      </c>
      <c r="G281" s="8"/>
      <c r="H281" s="837">
        <f>'ATT 7 - Cap Add WS'!AJ31-'ATT 7 - Cap Add WS'!AK30</f>
        <v>0</v>
      </c>
    </row>
    <row r="282" spans="1:8" ht="15.75" customHeight="1">
      <c r="A282" s="27">
        <f>+A281+1</f>
        <v>173</v>
      </c>
      <c r="B282" s="27"/>
      <c r="C282" s="61" t="s">
        <v>478</v>
      </c>
      <c r="D282" s="668"/>
      <c r="E282" s="147"/>
      <c r="F282" s="69" t="s">
        <v>485</v>
      </c>
      <c r="G282" s="8"/>
      <c r="H282" s="837"/>
    </row>
    <row r="283" spans="1:8" ht="15.75" customHeight="1">
      <c r="A283" s="27">
        <f>+A282+1</f>
        <v>174</v>
      </c>
      <c r="B283" s="27"/>
      <c r="C283" s="161" t="s">
        <v>330</v>
      </c>
      <c r="D283" s="61"/>
      <c r="E283" s="85"/>
      <c r="F283" s="23" t="str">
        <f>"(Sum Lines "&amp;A279&amp;" to "&amp;A282&amp;")"</f>
        <v>(Sum Lines 170 to 173)</v>
      </c>
      <c r="G283" s="8"/>
      <c r="H283" s="836">
        <f>SUM(H279:H282)</f>
        <v>10321915.256854046</v>
      </c>
    </row>
    <row r="284" spans="1:8" ht="15.75" customHeight="1">
      <c r="A284" s="27"/>
      <c r="B284" s="27"/>
      <c r="C284" s="61"/>
      <c r="D284" s="61"/>
      <c r="E284" s="81"/>
      <c r="F284" s="8"/>
      <c r="G284" s="8"/>
      <c r="H284" s="40"/>
    </row>
    <row r="285" spans="1:8" ht="15.75" customHeight="1">
      <c r="A285" s="27"/>
      <c r="B285" s="596" t="s">
        <v>329</v>
      </c>
      <c r="C285" s="61"/>
      <c r="D285" s="61"/>
      <c r="E285" s="81"/>
      <c r="F285" s="8"/>
      <c r="G285" s="8"/>
      <c r="H285" s="935"/>
    </row>
    <row r="286" spans="1:8" ht="20">
      <c r="A286" s="27">
        <f>+A283+1</f>
        <v>175</v>
      </c>
      <c r="B286" s="27"/>
      <c r="C286" s="25" t="s">
        <v>142</v>
      </c>
      <c r="D286" s="8"/>
      <c r="E286" s="147" t="str">
        <f>"(Note "&amp;B$309&amp;")"</f>
        <v>(Note L)</v>
      </c>
      <c r="F286" s="859" t="s">
        <v>806</v>
      </c>
      <c r="G286" s="61"/>
      <c r="H286" s="914">
        <v>7260</v>
      </c>
    </row>
    <row r="287" spans="1:8" ht="20">
      <c r="A287" s="27">
        <f>+A286+1</f>
        <v>176</v>
      </c>
      <c r="B287" s="27"/>
      <c r="C287" s="25" t="s">
        <v>141</v>
      </c>
      <c r="D287" s="644"/>
      <c r="E287" s="147" t="str">
        <f>"(Note "&amp;B$309&amp;")"</f>
        <v>(Note L)</v>
      </c>
      <c r="F287" s="23" t="str">
        <f>"(Line "&amp;A283&amp;" / Line "&amp;A286&amp;")"</f>
        <v>(Line 174 / Line 175)</v>
      </c>
      <c r="G287" s="646"/>
      <c r="H287" s="700">
        <f>+H283/H286</f>
        <v>1421.7514127898135</v>
      </c>
    </row>
    <row r="288" spans="1:8" ht="20.5" thickBot="1">
      <c r="A288" s="27"/>
      <c r="B288" s="27"/>
      <c r="C288" s="25"/>
      <c r="D288" s="8"/>
      <c r="E288" s="647"/>
      <c r="F288" s="646"/>
      <c r="G288" s="646"/>
      <c r="H288" s="569"/>
    </row>
    <row r="289" spans="1:26" s="71" customFormat="1" ht="20.5" thickBot="1">
      <c r="A289" s="707">
        <f>+A287+1</f>
        <v>177</v>
      </c>
      <c r="B289" s="117"/>
      <c r="C289" s="110" t="s">
        <v>215</v>
      </c>
      <c r="D289" s="117"/>
      <c r="E289" s="117" t="str">
        <f>"(Note "&amp;B$309&amp;")"</f>
        <v>(Note L)</v>
      </c>
      <c r="F289" s="117" t="str">
        <f>"(Line "&amp;A287&amp;")"</f>
        <v>(Line 176)</v>
      </c>
      <c r="G289" s="117"/>
      <c r="H289" s="160">
        <f>+H287</f>
        <v>1421.7514127898135</v>
      </c>
      <c r="I289" s="937"/>
      <c r="J289"/>
      <c r="K289"/>
      <c r="L289"/>
      <c r="M289"/>
      <c r="N289"/>
      <c r="O289"/>
      <c r="P289"/>
      <c r="Q289"/>
      <c r="R289"/>
      <c r="S289"/>
      <c r="T289"/>
      <c r="U289"/>
      <c r="V289"/>
      <c r="W289"/>
      <c r="X289"/>
      <c r="Y289"/>
      <c r="Z289"/>
    </row>
    <row r="290" spans="1:26" s="71" customFormat="1" ht="20">
      <c r="A290" s="182"/>
      <c r="B290" s="599"/>
      <c r="C290" s="37"/>
      <c r="D290" s="37"/>
      <c r="E290" s="647"/>
      <c r="F290" s="646"/>
      <c r="G290" s="646"/>
      <c r="H290" s="569"/>
      <c r="I290" s="937"/>
      <c r="J290"/>
      <c r="K290"/>
      <c r="L290"/>
      <c r="M290"/>
      <c r="N290"/>
      <c r="O290"/>
      <c r="P290"/>
      <c r="Q290"/>
      <c r="R290"/>
      <c r="S290"/>
      <c r="T290"/>
      <c r="U290"/>
      <c r="V290"/>
      <c r="W290"/>
      <c r="X290"/>
      <c r="Y290"/>
      <c r="Z290"/>
    </row>
    <row r="291" spans="1:26" s="71" customFormat="1" ht="20">
      <c r="A291" s="116"/>
      <c r="B291" s="118" t="s">
        <v>192</v>
      </c>
      <c r="C291" s="37"/>
      <c r="D291" s="37"/>
      <c r="E291" s="647"/>
      <c r="F291" s="646"/>
      <c r="G291" s="646"/>
      <c r="H291" s="743"/>
      <c r="I291" s="937"/>
      <c r="J291"/>
      <c r="K291"/>
      <c r="L291"/>
      <c r="M291"/>
      <c r="N291"/>
      <c r="O291"/>
      <c r="P291"/>
      <c r="Q291"/>
      <c r="R291"/>
      <c r="S291"/>
      <c r="T291"/>
      <c r="U291"/>
      <c r="V291"/>
      <c r="W291"/>
      <c r="X291"/>
      <c r="Y291"/>
      <c r="Z291"/>
    </row>
    <row r="292" spans="1:26" s="71" customFormat="1" ht="20">
      <c r="A292" s="116"/>
      <c r="B292" s="599" t="s">
        <v>71</v>
      </c>
      <c r="C292" s="37" t="s">
        <v>203</v>
      </c>
      <c r="D292" s="37"/>
      <c r="E292" s="647"/>
      <c r="F292" s="646"/>
      <c r="G292" s="646"/>
      <c r="H292" s="569"/>
      <c r="I292" s="937"/>
      <c r="J292"/>
      <c r="K292"/>
      <c r="L292"/>
      <c r="M292"/>
      <c r="N292"/>
      <c r="O292"/>
      <c r="P292"/>
      <c r="Q292"/>
      <c r="R292"/>
      <c r="S292"/>
      <c r="T292"/>
      <c r="U292"/>
      <c r="V292"/>
      <c r="W292"/>
      <c r="X292"/>
      <c r="Y292"/>
      <c r="Z292"/>
    </row>
    <row r="293" spans="1:26" s="71" customFormat="1" ht="20">
      <c r="A293" s="178"/>
      <c r="B293" s="599" t="s">
        <v>174</v>
      </c>
      <c r="C293" s="593" t="s">
        <v>405</v>
      </c>
      <c r="D293" s="35"/>
      <c r="E293" s="645"/>
      <c r="F293" s="648"/>
      <c r="G293" s="646"/>
      <c r="H293" s="569"/>
      <c r="I293" s="937"/>
      <c r="J293"/>
      <c r="K293"/>
      <c r="L293"/>
      <c r="M293"/>
      <c r="N293"/>
      <c r="O293"/>
      <c r="P293"/>
      <c r="Q293"/>
      <c r="R293"/>
      <c r="S293"/>
      <c r="T293"/>
      <c r="U293"/>
      <c r="V293"/>
      <c r="W293"/>
      <c r="X293"/>
      <c r="Y293"/>
      <c r="Z293"/>
    </row>
    <row r="294" spans="1:26" s="71" customFormat="1" ht="20">
      <c r="A294" s="178"/>
      <c r="B294" s="599"/>
      <c r="C294" s="593" t="s">
        <v>406</v>
      </c>
      <c r="D294" s="35"/>
      <c r="E294" s="645"/>
      <c r="F294" s="648"/>
      <c r="G294" s="646"/>
      <c r="H294" s="569"/>
      <c r="I294" s="937"/>
      <c r="J294"/>
      <c r="K294"/>
      <c r="L294"/>
      <c r="M294"/>
      <c r="N294"/>
      <c r="O294"/>
      <c r="P294"/>
      <c r="Q294"/>
      <c r="R294"/>
      <c r="S294"/>
      <c r="T294"/>
      <c r="U294"/>
      <c r="V294"/>
      <c r="W294"/>
      <c r="X294"/>
      <c r="Y294"/>
      <c r="Z294"/>
    </row>
    <row r="295" spans="1:26" s="71" customFormat="1" ht="20">
      <c r="A295" s="178"/>
      <c r="B295" s="599"/>
      <c r="C295" s="593" t="s">
        <v>409</v>
      </c>
      <c r="D295" s="35"/>
      <c r="E295" s="645"/>
      <c r="F295" s="648"/>
      <c r="G295" s="646"/>
      <c r="H295" s="569"/>
      <c r="I295" s="937"/>
      <c r="J295"/>
      <c r="K295"/>
      <c r="L295"/>
      <c r="M295"/>
      <c r="N295"/>
      <c r="O295"/>
      <c r="P295"/>
      <c r="Q295"/>
      <c r="R295"/>
      <c r="S295"/>
      <c r="T295"/>
      <c r="U295"/>
      <c r="V295"/>
      <c r="W295"/>
      <c r="X295"/>
      <c r="Y295"/>
      <c r="Z295"/>
    </row>
    <row r="296" spans="1:26" s="71" customFormat="1" ht="20">
      <c r="A296" s="116"/>
      <c r="B296" s="599" t="s">
        <v>51</v>
      </c>
      <c r="C296" s="593" t="s">
        <v>204</v>
      </c>
      <c r="D296" s="37"/>
      <c r="E296" s="647"/>
      <c r="F296" s="646"/>
      <c r="G296" s="646"/>
      <c r="H296" s="569"/>
      <c r="I296" s="937"/>
      <c r="J296"/>
      <c r="K296"/>
      <c r="L296"/>
      <c r="M296"/>
      <c r="N296"/>
      <c r="O296"/>
      <c r="P296"/>
      <c r="Q296"/>
      <c r="R296"/>
      <c r="S296"/>
      <c r="T296"/>
      <c r="U296"/>
      <c r="V296"/>
      <c r="W296"/>
      <c r="X296"/>
      <c r="Y296"/>
      <c r="Z296"/>
    </row>
    <row r="297" spans="1:26" s="71" customFormat="1" ht="20">
      <c r="A297" s="116"/>
      <c r="B297" s="599" t="s">
        <v>72</v>
      </c>
      <c r="C297" s="629" t="s">
        <v>96</v>
      </c>
      <c r="D297" s="37"/>
      <c r="E297" s="647"/>
      <c r="F297" s="646"/>
      <c r="G297" s="646"/>
      <c r="H297" s="569"/>
      <c r="I297" s="937"/>
      <c r="J297"/>
      <c r="K297"/>
      <c r="L297"/>
      <c r="M297"/>
      <c r="N297"/>
      <c r="O297"/>
      <c r="P297"/>
      <c r="Q297"/>
      <c r="R297"/>
      <c r="S297"/>
      <c r="T297"/>
      <c r="U297"/>
      <c r="V297"/>
      <c r="W297"/>
      <c r="X297"/>
      <c r="Y297"/>
      <c r="Z297"/>
    </row>
    <row r="298" spans="1:26" s="71" customFormat="1" ht="20">
      <c r="A298" s="116"/>
      <c r="B298" s="599" t="s">
        <v>70</v>
      </c>
      <c r="C298" s="25" t="s">
        <v>97</v>
      </c>
      <c r="D298" s="37"/>
      <c r="E298" s="647"/>
      <c r="F298" s="646"/>
      <c r="G298" s="646"/>
      <c r="H298" s="569"/>
      <c r="I298" s="937"/>
      <c r="J298"/>
      <c r="K298"/>
      <c r="L298"/>
      <c r="M298"/>
      <c r="N298"/>
      <c r="O298"/>
      <c r="P298"/>
      <c r="Q298"/>
      <c r="R298"/>
      <c r="S298"/>
      <c r="T298"/>
      <c r="U298"/>
      <c r="V298"/>
      <c r="W298"/>
      <c r="X298"/>
      <c r="Y298"/>
      <c r="Z298"/>
    </row>
    <row r="299" spans="1:26" s="71" customFormat="1" ht="20">
      <c r="A299" s="178"/>
      <c r="B299" s="599" t="s">
        <v>363</v>
      </c>
      <c r="C299" s="629" t="s">
        <v>237</v>
      </c>
      <c r="D299" s="37"/>
      <c r="E299" s="647"/>
      <c r="F299" s="646"/>
      <c r="G299" s="646"/>
      <c r="H299" s="569"/>
      <c r="I299" s="937"/>
      <c r="J299"/>
      <c r="K299"/>
      <c r="L299"/>
      <c r="M299"/>
      <c r="N299"/>
      <c r="O299"/>
      <c r="P299"/>
      <c r="Q299"/>
      <c r="R299"/>
      <c r="S299"/>
      <c r="T299"/>
      <c r="U299"/>
      <c r="V299"/>
      <c r="W299"/>
      <c r="X299"/>
      <c r="Y299"/>
      <c r="Z299"/>
    </row>
    <row r="300" spans="1:26" s="71" customFormat="1" ht="20">
      <c r="A300" s="116"/>
      <c r="B300" s="599" t="s">
        <v>73</v>
      </c>
      <c r="C300" s="629" t="s">
        <v>99</v>
      </c>
      <c r="D300" s="37"/>
      <c r="E300" s="647"/>
      <c r="F300" s="646"/>
      <c r="G300" s="646"/>
      <c r="H300" s="569"/>
      <c r="I300" s="937"/>
      <c r="J300"/>
      <c r="K300"/>
      <c r="L300"/>
      <c r="M300"/>
      <c r="N300"/>
      <c r="O300"/>
      <c r="P300"/>
      <c r="Q300"/>
      <c r="R300"/>
      <c r="S300"/>
      <c r="T300"/>
      <c r="U300"/>
      <c r="V300"/>
      <c r="W300"/>
      <c r="X300"/>
      <c r="Y300"/>
      <c r="Z300"/>
    </row>
    <row r="301" spans="1:26" s="71" customFormat="1" ht="20">
      <c r="A301" s="116"/>
      <c r="B301" s="599" t="s">
        <v>59</v>
      </c>
      <c r="C301" s="629" t="s">
        <v>76</v>
      </c>
      <c r="D301" s="37"/>
      <c r="E301" s="647"/>
      <c r="F301" s="646"/>
      <c r="G301" s="646"/>
      <c r="H301" s="569"/>
      <c r="I301" s="937"/>
      <c r="J301"/>
      <c r="K301"/>
      <c r="L301"/>
      <c r="M301"/>
      <c r="N301"/>
      <c r="O301"/>
      <c r="P301"/>
      <c r="Q301"/>
      <c r="R301"/>
      <c r="S301"/>
      <c r="T301"/>
      <c r="U301"/>
      <c r="V301"/>
      <c r="W301"/>
      <c r="X301"/>
      <c r="Y301"/>
      <c r="Z301"/>
    </row>
    <row r="302" spans="1:26" s="71" customFormat="1" ht="20">
      <c r="A302" s="116"/>
      <c r="B302" s="599"/>
      <c r="C302" s="629" t="s">
        <v>77</v>
      </c>
      <c r="D302" s="37"/>
      <c r="E302" s="647"/>
      <c r="F302" s="646"/>
      <c r="G302" s="646"/>
      <c r="H302" s="569"/>
      <c r="I302" s="937"/>
      <c r="J302"/>
      <c r="K302"/>
      <c r="L302"/>
      <c r="M302"/>
      <c r="N302"/>
      <c r="O302"/>
      <c r="P302"/>
      <c r="Q302"/>
      <c r="R302"/>
      <c r="S302"/>
      <c r="T302"/>
      <c r="U302"/>
      <c r="V302"/>
      <c r="W302"/>
      <c r="X302"/>
      <c r="Y302"/>
      <c r="Z302"/>
    </row>
    <row r="303" spans="1:26" s="71" customFormat="1" ht="20">
      <c r="A303" s="116"/>
      <c r="B303" s="599"/>
      <c r="C303" s="629" t="s">
        <v>78</v>
      </c>
      <c r="D303" s="37"/>
      <c r="E303" s="647"/>
      <c r="F303" s="646"/>
      <c r="G303" s="646"/>
      <c r="H303" s="569"/>
      <c r="I303" s="937"/>
      <c r="J303"/>
      <c r="K303"/>
      <c r="L303"/>
      <c r="M303"/>
      <c r="N303"/>
      <c r="O303"/>
      <c r="P303"/>
      <c r="Q303"/>
      <c r="R303"/>
      <c r="S303"/>
      <c r="T303"/>
      <c r="U303"/>
      <c r="V303"/>
      <c r="W303"/>
      <c r="X303"/>
      <c r="Y303"/>
      <c r="Z303"/>
    </row>
    <row r="304" spans="1:26" s="71" customFormat="1" ht="20">
      <c r="A304" s="116"/>
      <c r="B304" s="599"/>
      <c r="C304" s="629" t="s">
        <v>79</v>
      </c>
      <c r="D304" s="37"/>
      <c r="E304" s="647"/>
      <c r="F304" s="646"/>
      <c r="G304" s="646"/>
      <c r="H304" s="569"/>
      <c r="I304" s="937"/>
      <c r="J304"/>
      <c r="K304"/>
      <c r="L304"/>
      <c r="M304"/>
      <c r="N304"/>
      <c r="O304"/>
      <c r="P304"/>
      <c r="Q304"/>
      <c r="R304"/>
      <c r="S304"/>
      <c r="T304"/>
      <c r="U304"/>
      <c r="V304"/>
      <c r="W304"/>
      <c r="X304"/>
      <c r="Y304"/>
      <c r="Z304"/>
    </row>
    <row r="305" spans="1:26" s="71" customFormat="1" ht="20">
      <c r="A305" s="116"/>
      <c r="B305" s="599"/>
      <c r="C305" s="629" t="s">
        <v>80</v>
      </c>
      <c r="D305" s="37"/>
      <c r="E305" s="647"/>
      <c r="F305" s="646"/>
      <c r="G305" s="646"/>
      <c r="H305" s="569"/>
      <c r="I305" s="937"/>
      <c r="J305"/>
      <c r="K305"/>
      <c r="L305"/>
      <c r="M305"/>
      <c r="N305"/>
      <c r="O305"/>
      <c r="P305"/>
      <c r="Q305"/>
      <c r="R305"/>
      <c r="S305"/>
      <c r="T305"/>
      <c r="U305"/>
      <c r="V305"/>
      <c r="W305"/>
      <c r="X305"/>
      <c r="Y305"/>
      <c r="Z305"/>
    </row>
    <row r="306" spans="1:26" s="71" customFormat="1" ht="20">
      <c r="A306" s="116"/>
      <c r="B306" s="599"/>
      <c r="C306" s="629" t="s">
        <v>274</v>
      </c>
      <c r="D306" s="37"/>
      <c r="E306" s="647"/>
      <c r="F306" s="646"/>
      <c r="G306" s="646"/>
      <c r="H306" s="569"/>
      <c r="I306" s="937"/>
      <c r="J306"/>
      <c r="K306"/>
      <c r="L306"/>
      <c r="M306"/>
      <c r="N306"/>
      <c r="O306"/>
      <c r="P306"/>
      <c r="Q306"/>
      <c r="R306"/>
      <c r="S306"/>
      <c r="T306"/>
      <c r="U306"/>
      <c r="V306"/>
      <c r="W306"/>
      <c r="X306"/>
      <c r="Y306"/>
      <c r="Z306"/>
    </row>
    <row r="307" spans="1:26" s="71" customFormat="1" ht="20">
      <c r="A307" s="116"/>
      <c r="B307" s="599" t="s">
        <v>61</v>
      </c>
      <c r="C307" s="629" t="s">
        <v>205</v>
      </c>
      <c r="D307" s="37"/>
      <c r="E307" s="647"/>
      <c r="F307" s="646"/>
      <c r="G307" s="646"/>
      <c r="H307" s="569"/>
      <c r="I307" s="937"/>
      <c r="J307"/>
      <c r="K307"/>
      <c r="L307"/>
      <c r="M307"/>
      <c r="N307"/>
      <c r="O307"/>
      <c r="P307"/>
      <c r="Q307"/>
      <c r="R307"/>
      <c r="S307"/>
      <c r="T307"/>
      <c r="U307"/>
      <c r="V307"/>
      <c r="W307"/>
      <c r="X307"/>
      <c r="Y307"/>
      <c r="Z307"/>
    </row>
    <row r="308" spans="1:26" s="71" customFormat="1" ht="20">
      <c r="A308" s="178"/>
      <c r="B308" s="599" t="s">
        <v>75</v>
      </c>
      <c r="C308" s="37" t="s">
        <v>238</v>
      </c>
      <c r="D308" s="37"/>
      <c r="E308" s="647"/>
      <c r="F308" s="646"/>
      <c r="G308" s="646"/>
      <c r="H308" s="569"/>
      <c r="I308" s="937"/>
      <c r="J308"/>
      <c r="K308"/>
      <c r="L308"/>
      <c r="M308"/>
      <c r="N308"/>
      <c r="O308"/>
      <c r="P308"/>
      <c r="Q308"/>
      <c r="R308"/>
      <c r="S308"/>
      <c r="T308"/>
      <c r="U308"/>
      <c r="V308"/>
      <c r="W308"/>
      <c r="X308"/>
      <c r="Y308"/>
      <c r="Z308"/>
    </row>
    <row r="309" spans="1:26" s="71" customFormat="1" ht="20">
      <c r="A309" s="178"/>
      <c r="B309" s="599" t="s">
        <v>147</v>
      </c>
      <c r="C309" s="37" t="s">
        <v>569</v>
      </c>
      <c r="D309" s="37"/>
      <c r="E309" s="647"/>
      <c r="F309" s="646"/>
      <c r="G309" s="646"/>
      <c r="H309" s="569"/>
      <c r="I309" s="937"/>
      <c r="J309"/>
      <c r="K309"/>
      <c r="L309"/>
      <c r="M309"/>
      <c r="N309"/>
      <c r="O309"/>
      <c r="P309"/>
      <c r="Q309"/>
      <c r="R309"/>
      <c r="S309"/>
      <c r="T309"/>
      <c r="U309"/>
      <c r="V309"/>
      <c r="W309"/>
      <c r="X309"/>
      <c r="Y309"/>
      <c r="Z309"/>
    </row>
    <row r="310" spans="1:8" ht="20">
      <c r="A310" s="27"/>
      <c r="B310" s="6" t="s">
        <v>148</v>
      </c>
      <c r="C310" s="8" t="s">
        <v>442</v>
      </c>
      <c r="D310" s="8"/>
      <c r="E310" s="647"/>
      <c r="F310" s="646"/>
      <c r="G310" s="646"/>
      <c r="H310" s="569"/>
    </row>
    <row r="311" spans="1:8" ht="20">
      <c r="A311" s="27"/>
      <c r="B311" s="6" t="s">
        <v>364</v>
      </c>
      <c r="C311" s="649" t="s">
        <v>326</v>
      </c>
      <c r="D311" s="8"/>
      <c r="E311" s="647"/>
      <c r="F311" s="646"/>
      <c r="G311" s="646"/>
      <c r="H311" s="569"/>
    </row>
    <row r="312" spans="1:8" ht="20">
      <c r="A312" s="27"/>
      <c r="B312" s="6"/>
      <c r="C312" s="649" t="s">
        <v>325</v>
      </c>
      <c r="D312" s="8"/>
      <c r="E312" s="647"/>
      <c r="F312" s="646"/>
      <c r="G312" s="646"/>
      <c r="H312" s="569"/>
    </row>
    <row r="313" spans="1:8" ht="20">
      <c r="A313" s="27"/>
      <c r="B313" s="6"/>
      <c r="C313" s="649" t="str">
        <f>"  Interest on the Network Credits as booked each year is added to the revenue requirement to make the Transmisison Owner whole on Line "&amp;A259&amp;"."</f>
        <v xml:space="preserve">  Interest on the Network Credits as booked each year is added to the revenue requirement to make the Transmisison Owner whole on Line 157.</v>
      </c>
      <c r="D313" s="25"/>
      <c r="E313" s="645"/>
      <c r="F313" s="648"/>
      <c r="G313" s="646"/>
      <c r="H313" s="569"/>
    </row>
    <row r="314" spans="1:8" ht="20">
      <c r="A314" s="6"/>
      <c r="B314" s="6" t="s">
        <v>432</v>
      </c>
      <c r="C314" s="649" t="str">
        <f>"Payments made under Schedule 12 of the PJM OATT are excluded in Transmission O&amp;M on line "&amp;A113&amp;" since they are already assessed under Schedule 12"</f>
        <v>Payments made under Schedule 12 of the PJM OATT are excluded in Transmission O&amp;M on line 64 since they are already assessed under Schedule 12</v>
      </c>
      <c r="D314" s="25"/>
      <c r="E314" s="645"/>
      <c r="F314" s="648"/>
      <c r="G314" s="646"/>
      <c r="H314" s="569"/>
    </row>
    <row r="315" spans="1:26" s="71" customFormat="1" ht="20">
      <c r="A315" s="469"/>
      <c r="B315" s="136" t="s">
        <v>103</v>
      </c>
      <c r="C315" s="621" t="s">
        <v>575</v>
      </c>
      <c r="D315" s="494"/>
      <c r="E315" s="494"/>
      <c r="F315" s="494"/>
      <c r="G315" s="116"/>
      <c r="H315" s="116"/>
      <c r="I315" s="937"/>
      <c r="J315"/>
      <c r="K315"/>
      <c r="L315"/>
      <c r="M315"/>
      <c r="N315"/>
      <c r="O315"/>
      <c r="P315"/>
      <c r="Q315"/>
      <c r="R315"/>
      <c r="S315"/>
      <c r="T315"/>
      <c r="U315"/>
      <c r="V315"/>
      <c r="W315"/>
      <c r="X315"/>
      <c r="Y315"/>
      <c r="Z315"/>
    </row>
    <row r="316" spans="1:8" ht="114.75" customHeight="1">
      <c r="A316" s="136"/>
      <c r="B316" s="953" t="s">
        <v>104</v>
      </c>
      <c r="C316" s="956" t="s">
        <v>800</v>
      </c>
      <c r="D316" s="956"/>
      <c r="E316" s="956"/>
      <c r="F316" s="648"/>
      <c r="G316" s="646"/>
      <c r="H316" s="569"/>
    </row>
    <row r="317" spans="1:8" ht="20">
      <c r="A317" s="136"/>
      <c r="B317" s="470"/>
      <c r="C317" s="35"/>
      <c r="D317" s="35"/>
      <c r="E317" s="645"/>
      <c r="F317" s="648"/>
      <c r="G317" s="646"/>
      <c r="H317" s="569"/>
    </row>
    <row r="318" spans="1:8" ht="20">
      <c r="A318" s="136"/>
      <c r="B318" s="470"/>
      <c r="C318" s="35"/>
      <c r="D318" s="35"/>
      <c r="E318" s="645"/>
      <c r="F318" s="648"/>
      <c r="G318" s="646"/>
      <c r="H318" s="569"/>
    </row>
    <row r="319" spans="1:8" ht="20">
      <c r="A319" s="136"/>
      <c r="B319" s="470"/>
      <c r="C319" s="35"/>
      <c r="D319" s="35"/>
      <c r="E319" s="645"/>
      <c r="F319" s="648"/>
      <c r="G319" s="646"/>
      <c r="H319" s="569"/>
    </row>
    <row r="320" spans="1:8" ht="20">
      <c r="A320" s="136"/>
      <c r="B320" s="954" t="s">
        <v>845</v>
      </c>
      <c r="C320" s="954"/>
      <c r="D320" s="954"/>
      <c r="E320" s="954"/>
      <c r="F320" s="954"/>
      <c r="G320" s="954"/>
      <c r="H320" s="954"/>
    </row>
    <row r="321" spans="1:8" ht="20">
      <c r="A321" s="136"/>
      <c r="B321" s="954"/>
      <c r="C321" s="954"/>
      <c r="D321" s="954"/>
      <c r="E321" s="954"/>
      <c r="F321" s="954"/>
      <c r="G321" s="954"/>
      <c r="H321" s="954"/>
    </row>
    <row r="322" spans="1:8" ht="20">
      <c r="A322" s="136"/>
      <c r="B322" s="954"/>
      <c r="C322" s="954"/>
      <c r="D322" s="954"/>
      <c r="E322" s="954"/>
      <c r="F322" s="954"/>
      <c r="G322" s="954"/>
      <c r="H322" s="954"/>
    </row>
    <row r="323" spans="1:8" ht="20">
      <c r="A323" s="136"/>
      <c r="B323" s="470"/>
      <c r="C323" s="35"/>
      <c r="D323" s="35"/>
      <c r="E323" s="645"/>
      <c r="F323" s="648"/>
      <c r="G323" s="646"/>
      <c r="H323" s="569"/>
    </row>
    <row r="324" spans="1:8" ht="20">
      <c r="A324" s="136"/>
      <c r="B324" s="470"/>
      <c r="C324" s="35"/>
      <c r="D324" s="35"/>
      <c r="E324" s="645"/>
      <c r="F324" s="648"/>
      <c r="G324" s="646"/>
      <c r="H324" s="569"/>
    </row>
    <row r="325" spans="1:8" ht="20">
      <c r="A325" s="136"/>
      <c r="B325" s="470"/>
      <c r="C325" s="35"/>
      <c r="D325" s="35"/>
      <c r="E325" s="645"/>
      <c r="F325" s="648"/>
      <c r="G325" s="646"/>
      <c r="H325" s="569"/>
    </row>
    <row r="326" spans="1:8" ht="20">
      <c r="A326" s="136"/>
      <c r="B326" s="470"/>
      <c r="C326" s="35"/>
      <c r="D326" s="35"/>
      <c r="E326" s="645"/>
      <c r="F326" s="648"/>
      <c r="G326" s="646"/>
      <c r="H326" s="569"/>
    </row>
    <row r="327" spans="1:8" ht="20">
      <c r="A327" s="136"/>
      <c r="B327" s="470"/>
      <c r="C327" s="35"/>
      <c r="D327" s="35"/>
      <c r="E327" s="645"/>
      <c r="F327" s="648"/>
      <c r="G327" s="646"/>
      <c r="H327" s="569"/>
    </row>
    <row r="328" spans="1:8" ht="20">
      <c r="A328" s="136"/>
      <c r="B328" s="470"/>
      <c r="C328" s="35"/>
      <c r="D328" s="35"/>
      <c r="E328" s="645"/>
      <c r="F328" s="648"/>
      <c r="G328" s="646"/>
      <c r="H328" s="569"/>
    </row>
    <row r="329" spans="1:8" ht="20">
      <c r="A329" s="136"/>
      <c r="B329" s="470"/>
      <c r="C329" s="35"/>
      <c r="D329" s="35"/>
      <c r="E329" s="645"/>
      <c r="F329" s="648"/>
      <c r="G329" s="646"/>
      <c r="H329" s="569"/>
    </row>
    <row r="330" spans="1:8" ht="20">
      <c r="A330" s="136"/>
      <c r="B330" s="470"/>
      <c r="C330" s="35"/>
      <c r="D330" s="35"/>
      <c r="E330" s="645"/>
      <c r="F330" s="648"/>
      <c r="G330" s="646"/>
      <c r="H330" s="569"/>
    </row>
    <row r="331" spans="1:8" ht="20">
      <c r="A331" s="136"/>
      <c r="B331" s="470"/>
      <c r="C331" s="35"/>
      <c r="D331" s="35"/>
      <c r="E331" s="645"/>
      <c r="F331" s="648"/>
      <c r="G331" s="646"/>
      <c r="H331" s="569"/>
    </row>
    <row r="332" spans="1:8" ht="20">
      <c r="A332" s="136"/>
      <c r="B332" s="470"/>
      <c r="C332" s="35"/>
      <c r="D332" s="35"/>
      <c r="E332" s="645"/>
      <c r="F332" s="648"/>
      <c r="G332" s="646"/>
      <c r="H332" s="569"/>
    </row>
    <row r="333" spans="1:8" ht="20">
      <c r="A333" s="136"/>
      <c r="B333" s="470"/>
      <c r="C333" s="35"/>
      <c r="D333" s="35"/>
      <c r="E333" s="645"/>
      <c r="F333" s="648"/>
      <c r="G333" s="646"/>
      <c r="H333" s="569"/>
    </row>
    <row r="334" spans="1:8" ht="20">
      <c r="A334" s="136"/>
      <c r="B334" s="470"/>
      <c r="C334" s="35"/>
      <c r="D334" s="35"/>
      <c r="E334" s="645"/>
      <c r="F334" s="648"/>
      <c r="G334" s="646"/>
      <c r="H334" s="569"/>
    </row>
    <row r="335" spans="1:8" ht="20">
      <c r="A335" s="136"/>
      <c r="B335" s="470"/>
      <c r="C335" s="35"/>
      <c r="D335" s="35"/>
      <c r="E335" s="645"/>
      <c r="F335" s="648"/>
      <c r="G335" s="646"/>
      <c r="H335" s="569"/>
    </row>
    <row r="336" spans="1:8" ht="20">
      <c r="A336" s="136"/>
      <c r="B336" s="470"/>
      <c r="C336" s="35"/>
      <c r="D336" s="35"/>
      <c r="E336" s="645"/>
      <c r="F336" s="648"/>
      <c r="G336" s="646"/>
      <c r="H336" s="569"/>
    </row>
    <row r="337" spans="1:8" ht="20.25" customHeight="1">
      <c r="A337" s="136"/>
      <c r="B337" s="954" t="s">
        <v>849</v>
      </c>
      <c r="C337" s="954"/>
      <c r="D337" s="954"/>
      <c r="E337" s="954"/>
      <c r="F337" s="954"/>
      <c r="G337" s="954"/>
      <c r="H337" s="954"/>
    </row>
    <row r="338" spans="1:8" ht="20">
      <c r="A338" s="136"/>
      <c r="B338" s="954"/>
      <c r="C338" s="954"/>
      <c r="D338" s="954"/>
      <c r="E338" s="954"/>
      <c r="F338" s="954"/>
      <c r="G338" s="954"/>
      <c r="H338" s="954"/>
    </row>
    <row r="339" spans="1:8" ht="20">
      <c r="A339" s="136"/>
      <c r="B339" s="954"/>
      <c r="C339" s="954"/>
      <c r="D339" s="954"/>
      <c r="E339" s="954"/>
      <c r="F339" s="954"/>
      <c r="G339" s="954"/>
      <c r="H339" s="954"/>
    </row>
    <row r="340" spans="1:8" ht="20">
      <c r="A340" s="136"/>
      <c r="B340" s="136"/>
      <c r="C340" s="35"/>
      <c r="D340" s="35"/>
      <c r="E340" s="645"/>
      <c r="F340" s="648"/>
      <c r="G340" s="648"/>
      <c r="H340" s="743"/>
    </row>
    <row r="341" spans="1:8" ht="20">
      <c r="A341" s="136"/>
      <c r="B341" s="954" t="s">
        <v>858</v>
      </c>
      <c r="C341" s="954"/>
      <c r="D341" s="954"/>
      <c r="E341" s="954"/>
      <c r="F341" s="954"/>
      <c r="G341" s="954"/>
      <c r="H341" s="954"/>
    </row>
    <row r="342" spans="1:8" ht="20">
      <c r="A342" s="136"/>
      <c r="B342" s="954"/>
      <c r="C342" s="954"/>
      <c r="D342" s="954"/>
      <c r="E342" s="954"/>
      <c r="F342" s="954"/>
      <c r="G342" s="954"/>
      <c r="H342" s="954"/>
    </row>
    <row r="343" spans="1:8" ht="20">
      <c r="A343" s="136"/>
      <c r="B343" s="954"/>
      <c r="C343" s="954"/>
      <c r="D343" s="954"/>
      <c r="E343" s="954"/>
      <c r="F343" s="954"/>
      <c r="G343" s="954"/>
      <c r="H343" s="954"/>
    </row>
    <row r="344" spans="1:8" ht="20">
      <c r="A344" s="4"/>
      <c r="B344" s="6"/>
      <c r="C344" s="22"/>
      <c r="D344" s="25"/>
      <c r="E344" s="18"/>
      <c r="F344" s="8"/>
      <c r="G344" s="8"/>
      <c r="H344" s="40"/>
    </row>
    <row r="345" spans="1:8" ht="20">
      <c r="A345" s="107" t="s">
        <v>49</v>
      </c>
      <c r="B345" s="650"/>
      <c r="C345" s="566"/>
      <c r="D345" s="617"/>
      <c r="E345" s="144"/>
      <c r="F345" s="617"/>
      <c r="G345" s="617"/>
      <c r="H345" s="566"/>
    </row>
    <row r="346" spans="1:8" ht="20">
      <c r="A346" s="4"/>
      <c r="B346" s="6"/>
      <c r="C346" s="34"/>
      <c r="D346" s="34"/>
      <c r="E346" s="939"/>
      <c r="F346" s="34"/>
      <c r="G346" s="34"/>
      <c r="H346" s="34"/>
    </row>
    <row r="347" spans="1:8" ht="20">
      <c r="A347" s="200"/>
      <c r="B347" s="8"/>
      <c r="C347" s="8"/>
      <c r="D347" s="8"/>
      <c r="E347" s="939"/>
      <c r="F347" s="34"/>
      <c r="G347" s="34"/>
      <c r="H347" s="570"/>
    </row>
    <row r="348" spans="1:8" ht="20">
      <c r="A348" s="200"/>
      <c r="B348" s="8"/>
      <c r="C348" s="8"/>
      <c r="D348" s="8"/>
      <c r="E348" s="939"/>
      <c r="F348" s="34"/>
      <c r="G348" s="34"/>
      <c r="H348" s="571"/>
    </row>
    <row r="349" spans="1:8" ht="20">
      <c r="A349" s="200"/>
      <c r="B349" s="8"/>
      <c r="C349" s="8"/>
      <c r="D349" s="8"/>
      <c r="E349" s="939"/>
      <c r="F349" s="34"/>
      <c r="G349" s="34"/>
      <c r="H349" s="572"/>
    </row>
    <row r="350" spans="1:8" ht="20">
      <c r="A350" s="200"/>
      <c r="B350" s="8"/>
      <c r="C350" s="8"/>
      <c r="D350" s="8"/>
      <c r="E350" s="81"/>
      <c r="F350" s="34"/>
      <c r="G350" s="34"/>
      <c r="H350" s="34"/>
    </row>
    <row r="351" spans="1:8" ht="20">
      <c r="A351" s="200"/>
      <c r="B351" s="8"/>
      <c r="C351" s="8"/>
      <c r="D351" s="8"/>
      <c r="E351" s="81"/>
      <c r="F351" s="34"/>
      <c r="G351" s="34"/>
      <c r="H351" s="34"/>
    </row>
    <row r="352" spans="1:8" ht="20">
      <c r="A352" s="200"/>
      <c r="B352" s="8"/>
      <c r="C352" s="8"/>
      <c r="D352" s="8"/>
      <c r="E352" s="81"/>
      <c r="F352" s="34"/>
      <c r="G352" s="34"/>
      <c r="H352" s="34"/>
    </row>
    <row r="353" spans="1:8" ht="20">
      <c r="A353" s="200"/>
      <c r="B353" s="8"/>
      <c r="C353" s="8"/>
      <c r="D353" s="8"/>
      <c r="E353" s="81"/>
      <c r="F353" s="34"/>
      <c r="G353" s="34"/>
      <c r="H353" s="34"/>
    </row>
    <row r="354" spans="1:8" ht="20">
      <c r="A354" s="200"/>
      <c r="B354" s="8"/>
      <c r="C354" s="8"/>
      <c r="D354" s="8"/>
      <c r="E354" s="81"/>
      <c r="F354" s="34"/>
      <c r="G354" s="34"/>
      <c r="H354" s="34"/>
    </row>
    <row r="355" spans="1:8" ht="20">
      <c r="A355" s="200"/>
      <c r="B355" s="8"/>
      <c r="C355" s="8"/>
      <c r="D355" s="8"/>
      <c r="E355" s="81"/>
      <c r="F355" s="34"/>
      <c r="G355" s="34"/>
      <c r="H355" s="34"/>
    </row>
    <row r="356" spans="1:8" ht="20">
      <c r="A356" s="200"/>
      <c r="B356" s="8"/>
      <c r="C356" s="8"/>
      <c r="D356" s="8"/>
      <c r="E356" s="81"/>
      <c r="F356" s="34"/>
      <c r="G356" s="34"/>
      <c r="H356" s="34"/>
    </row>
    <row r="357" spans="1:8" ht="20">
      <c r="A357" s="200"/>
      <c r="B357" s="8"/>
      <c r="C357" s="8"/>
      <c r="D357" s="8"/>
      <c r="E357" s="81"/>
      <c r="F357" s="34"/>
      <c r="G357" s="34"/>
      <c r="H357" s="34"/>
    </row>
    <row r="358" spans="1:8" ht="20">
      <c r="A358" s="200"/>
      <c r="B358" s="8"/>
      <c r="C358" s="8"/>
      <c r="D358" s="8"/>
      <c r="E358" s="81"/>
      <c r="F358" s="34"/>
      <c r="G358" s="34"/>
      <c r="H358" s="34"/>
    </row>
    <row r="359" spans="1:8" ht="20">
      <c r="A359" s="200"/>
      <c r="B359" s="8"/>
      <c r="C359" s="8"/>
      <c r="D359" s="8"/>
      <c r="E359" s="81"/>
      <c r="F359" s="34"/>
      <c r="G359" s="34"/>
      <c r="H359" s="34"/>
    </row>
    <row r="360" spans="1:8" ht="20">
      <c r="A360" s="200"/>
      <c r="B360" s="8"/>
      <c r="C360" s="8"/>
      <c r="D360" s="8"/>
      <c r="E360" s="81"/>
      <c r="F360" s="34"/>
      <c r="G360" s="34"/>
      <c r="H360" s="34"/>
    </row>
    <row r="361" spans="1:8" ht="20">
      <c r="A361" s="200"/>
      <c r="B361" s="8"/>
      <c r="C361" s="8"/>
      <c r="D361" s="8"/>
      <c r="E361" s="81"/>
      <c r="F361" s="34"/>
      <c r="G361" s="34"/>
      <c r="H361" s="34"/>
    </row>
    <row r="362" spans="1:8" ht="20">
      <c r="A362" s="200"/>
      <c r="B362" s="8"/>
      <c r="C362" s="8"/>
      <c r="D362" s="8"/>
      <c r="E362" s="81"/>
      <c r="F362" s="34"/>
      <c r="G362" s="34"/>
      <c r="H362" s="34"/>
    </row>
    <row r="363" spans="1:8" ht="20">
      <c r="A363" s="200"/>
      <c r="B363" s="8"/>
      <c r="C363" s="8"/>
      <c r="D363" s="8"/>
      <c r="E363" s="81"/>
      <c r="F363" s="34"/>
      <c r="G363" s="34"/>
      <c r="H363" s="34"/>
    </row>
    <row r="364" spans="1:8" ht="20">
      <c r="A364" s="200"/>
      <c r="B364" s="8"/>
      <c r="C364" s="8"/>
      <c r="D364" s="8"/>
      <c r="E364" s="81"/>
      <c r="F364" s="34"/>
      <c r="G364" s="34"/>
      <c r="H364" s="34"/>
    </row>
    <row r="365" spans="1:8" ht="20">
      <c r="A365" s="200"/>
      <c r="B365" s="8"/>
      <c r="C365" s="8"/>
      <c r="D365" s="8"/>
      <c r="E365" s="81"/>
      <c r="F365" s="34"/>
      <c r="G365" s="34"/>
      <c r="H365" s="34"/>
    </row>
    <row r="366" spans="1:8" ht="20">
      <c r="A366" s="200"/>
      <c r="B366" s="8"/>
      <c r="C366" s="8"/>
      <c r="D366" s="8"/>
      <c r="E366" s="81"/>
      <c r="F366" s="34"/>
      <c r="G366" s="34"/>
      <c r="H366" s="34"/>
    </row>
    <row r="367" spans="1:8" ht="20">
      <c r="A367" s="200"/>
      <c r="B367" s="8"/>
      <c r="C367" s="8"/>
      <c r="D367" s="8"/>
      <c r="E367" s="81"/>
      <c r="F367" s="34"/>
      <c r="G367" s="34"/>
      <c r="H367" s="34"/>
    </row>
    <row r="368" spans="1:8" ht="20">
      <c r="A368" s="200"/>
      <c r="B368" s="8"/>
      <c r="C368" s="8"/>
      <c r="D368" s="8"/>
      <c r="E368" s="81"/>
      <c r="F368" s="34"/>
      <c r="G368" s="34"/>
      <c r="H368" s="34"/>
    </row>
    <row r="369" spans="1:8" ht="20">
      <c r="A369" s="200"/>
      <c r="B369" s="8"/>
      <c r="C369" s="8"/>
      <c r="D369" s="8"/>
      <c r="E369" s="81"/>
      <c r="F369" s="34"/>
      <c r="G369" s="34"/>
      <c r="H369" s="34"/>
    </row>
    <row r="370" spans="1:8" ht="20">
      <c r="A370" s="200"/>
      <c r="B370" s="8"/>
      <c r="C370" s="8"/>
      <c r="D370" s="8"/>
      <c r="E370" s="81"/>
      <c r="F370" s="34"/>
      <c r="G370" s="34"/>
      <c r="H370" s="34"/>
    </row>
    <row r="371" spans="1:8" ht="20">
      <c r="A371" s="200"/>
      <c r="B371" s="8"/>
      <c r="C371" s="8"/>
      <c r="D371" s="8"/>
      <c r="E371" s="81"/>
      <c r="F371" s="34"/>
      <c r="G371" s="34"/>
      <c r="H371" s="34"/>
    </row>
    <row r="372" spans="1:8" ht="20">
      <c r="A372" s="200"/>
      <c r="B372" s="8"/>
      <c r="C372" s="8"/>
      <c r="D372" s="8"/>
      <c r="E372" s="81"/>
      <c r="F372" s="34"/>
      <c r="G372" s="34"/>
      <c r="H372" s="34"/>
    </row>
    <row r="373" spans="1:8" ht="20">
      <c r="A373" s="200"/>
      <c r="B373" s="8"/>
      <c r="C373" s="8"/>
      <c r="D373" s="8"/>
      <c r="E373" s="81"/>
      <c r="F373" s="34"/>
      <c r="G373" s="34"/>
      <c r="H373" s="34"/>
    </row>
    <row r="374" spans="1:8" ht="20">
      <c r="A374" s="200"/>
      <c r="B374" s="8"/>
      <c r="C374" s="8"/>
      <c r="D374" s="8"/>
      <c r="E374" s="81"/>
      <c r="F374" s="34"/>
      <c r="G374" s="34"/>
      <c r="H374" s="34"/>
    </row>
    <row r="375" spans="1:8" ht="20">
      <c r="A375" s="200"/>
      <c r="B375" s="8"/>
      <c r="C375" s="8"/>
      <c r="D375" s="8"/>
      <c r="E375" s="81"/>
      <c r="F375" s="34"/>
      <c r="G375" s="34"/>
      <c r="H375" s="34"/>
    </row>
    <row r="376" spans="1:8" ht="20">
      <c r="A376" s="200"/>
      <c r="B376" s="8"/>
      <c r="C376" s="8"/>
      <c r="D376" s="8"/>
      <c r="E376" s="81"/>
      <c r="F376" s="34"/>
      <c r="G376" s="34"/>
      <c r="H376" s="34"/>
    </row>
    <row r="377" spans="1:8" ht="20">
      <c r="A377" s="200"/>
      <c r="B377" s="8"/>
      <c r="C377" s="8"/>
      <c r="D377" s="8"/>
      <c r="E377" s="81"/>
      <c r="F377" s="34"/>
      <c r="G377" s="34"/>
      <c r="H377" s="34"/>
    </row>
    <row r="378" spans="1:8" ht="20">
      <c r="A378" s="200"/>
      <c r="B378" s="8"/>
      <c r="C378" s="8"/>
      <c r="D378" s="8"/>
      <c r="E378" s="81"/>
      <c r="F378" s="34"/>
      <c r="G378" s="34"/>
      <c r="H378" s="34"/>
    </row>
    <row r="379" spans="1:8" ht="20">
      <c r="A379" s="200"/>
      <c r="B379" s="8"/>
      <c r="C379" s="8"/>
      <c r="D379" s="8"/>
      <c r="E379" s="81"/>
      <c r="F379" s="34"/>
      <c r="G379" s="34"/>
      <c r="H379" s="34"/>
    </row>
    <row r="380" spans="1:8" ht="20">
      <c r="A380" s="200"/>
      <c r="B380" s="8"/>
      <c r="C380" s="8"/>
      <c r="D380" s="8"/>
      <c r="E380" s="81"/>
      <c r="F380" s="34"/>
      <c r="G380" s="34"/>
      <c r="H380" s="34"/>
    </row>
    <row r="381" spans="1:8" ht="20">
      <c r="A381" s="200"/>
      <c r="B381" s="8"/>
      <c r="C381" s="8"/>
      <c r="D381" s="8"/>
      <c r="E381" s="81"/>
      <c r="F381" s="34"/>
      <c r="G381" s="34"/>
      <c r="H381" s="34"/>
    </row>
    <row r="382" spans="1:8" ht="20">
      <c r="A382" s="200"/>
      <c r="B382" s="8"/>
      <c r="C382" s="8"/>
      <c r="D382" s="8"/>
      <c r="E382" s="81"/>
      <c r="F382" s="34"/>
      <c r="G382" s="34"/>
      <c r="H382" s="34"/>
    </row>
    <row r="383" spans="1:8" ht="20">
      <c r="A383" s="200"/>
      <c r="B383" s="8"/>
      <c r="C383" s="8"/>
      <c r="D383" s="8"/>
      <c r="E383" s="81"/>
      <c r="F383" s="34"/>
      <c r="G383" s="34"/>
      <c r="H383" s="34"/>
    </row>
    <row r="384" spans="1:8" ht="20">
      <c r="A384" s="200"/>
      <c r="B384" s="8"/>
      <c r="C384" s="8"/>
      <c r="D384" s="8"/>
      <c r="E384" s="81"/>
      <c r="F384" s="34"/>
      <c r="G384" s="34"/>
      <c r="H384" s="34"/>
    </row>
    <row r="385" spans="1:8" ht="20">
      <c r="A385" s="200"/>
      <c r="B385" s="8"/>
      <c r="C385" s="8"/>
      <c r="D385" s="8"/>
      <c r="E385" s="81"/>
      <c r="F385" s="34"/>
      <c r="G385" s="34"/>
      <c r="H385" s="34"/>
    </row>
    <row r="386" spans="1:8" ht="20">
      <c r="A386" s="200"/>
      <c r="B386" s="8"/>
      <c r="C386" s="8"/>
      <c r="D386" s="8"/>
      <c r="E386" s="81"/>
      <c r="F386" s="34"/>
      <c r="G386" s="34"/>
      <c r="H386" s="34"/>
    </row>
    <row r="387" spans="1:8" ht="20">
      <c r="A387" s="200"/>
      <c r="B387" s="8"/>
      <c r="C387" s="8"/>
      <c r="D387" s="8"/>
      <c r="E387" s="81"/>
      <c r="F387" s="34"/>
      <c r="G387" s="34"/>
      <c r="H387" s="34"/>
    </row>
    <row r="388" spans="1:8" ht="20">
      <c r="A388" s="200"/>
      <c r="B388" s="8"/>
      <c r="C388" s="8"/>
      <c r="D388" s="8"/>
      <c r="E388" s="81"/>
      <c r="F388" s="34"/>
      <c r="G388" s="34"/>
      <c r="H388" s="34"/>
    </row>
    <row r="389" spans="1:8" ht="20">
      <c r="A389" s="200"/>
      <c r="B389" s="8"/>
      <c r="C389" s="8"/>
      <c r="D389" s="8"/>
      <c r="E389" s="81"/>
      <c r="F389" s="34"/>
      <c r="G389" s="34"/>
      <c r="H389" s="34"/>
    </row>
    <row r="390" spans="1:8" ht="20">
      <c r="A390" s="200"/>
      <c r="B390" s="8"/>
      <c r="C390" s="8"/>
      <c r="D390" s="8"/>
      <c r="E390" s="81"/>
      <c r="F390" s="34"/>
      <c r="G390" s="34"/>
      <c r="H390" s="34"/>
    </row>
    <row r="391" spans="1:8" ht="20">
      <c r="A391" s="200"/>
      <c r="B391" s="8"/>
      <c r="C391" s="8"/>
      <c r="D391" s="8"/>
      <c r="E391" s="81"/>
      <c r="F391" s="34"/>
      <c r="G391" s="34"/>
      <c r="H391" s="34"/>
    </row>
    <row r="392" spans="1:8" ht="20">
      <c r="A392" s="200"/>
      <c r="B392" s="8"/>
      <c r="C392" s="8"/>
      <c r="D392" s="8"/>
      <c r="E392" s="81"/>
      <c r="F392" s="34"/>
      <c r="G392" s="34"/>
      <c r="H392" s="34"/>
    </row>
    <row r="393" spans="1:8" ht="20">
      <c r="A393" s="200"/>
      <c r="B393" s="8"/>
      <c r="C393" s="8"/>
      <c r="D393" s="8"/>
      <c r="E393" s="81"/>
      <c r="F393" s="34"/>
      <c r="G393" s="34"/>
      <c r="H393" s="34"/>
    </row>
    <row r="394" spans="1:8" ht="20">
      <c r="A394" s="200"/>
      <c r="B394" s="8"/>
      <c r="C394" s="8"/>
      <c r="D394" s="8"/>
      <c r="E394" s="81"/>
      <c r="F394" s="34"/>
      <c r="G394" s="34"/>
      <c r="H394" s="34"/>
    </row>
    <row r="395" spans="1:8" ht="20">
      <c r="A395" s="200"/>
      <c r="B395" s="8"/>
      <c r="C395" s="8"/>
      <c r="D395" s="8"/>
      <c r="E395" s="81"/>
      <c r="F395" s="34"/>
      <c r="G395" s="34"/>
      <c r="H395" s="34"/>
    </row>
    <row r="396" spans="1:8" ht="20">
      <c r="A396" s="200"/>
      <c r="B396" s="8"/>
      <c r="C396" s="8"/>
      <c r="D396" s="8"/>
      <c r="E396" s="81"/>
      <c r="F396" s="34"/>
      <c r="G396" s="34"/>
      <c r="H396" s="34"/>
    </row>
    <row r="397" spans="1:8" ht="20">
      <c r="A397" s="200"/>
      <c r="B397" s="8"/>
      <c r="C397" s="8"/>
      <c r="D397" s="8"/>
      <c r="E397" s="81"/>
      <c r="F397" s="34"/>
      <c r="G397" s="34"/>
      <c r="H397" s="34"/>
    </row>
    <row r="398" spans="1:8" ht="20">
      <c r="A398" s="200"/>
      <c r="B398" s="8"/>
      <c r="C398" s="8"/>
      <c r="D398" s="8"/>
      <c r="E398" s="81"/>
      <c r="F398" s="34"/>
      <c r="G398" s="34"/>
      <c r="H398" s="34"/>
    </row>
    <row r="399" spans="1:8" ht="20">
      <c r="A399" s="200"/>
      <c r="B399" s="8"/>
      <c r="C399" s="8"/>
      <c r="D399" s="8"/>
      <c r="E399" s="81"/>
      <c r="F399" s="34"/>
      <c r="G399" s="34"/>
      <c r="H399" s="34"/>
    </row>
    <row r="400" spans="1:8" ht="20">
      <c r="A400" s="200"/>
      <c r="B400" s="8"/>
      <c r="C400" s="8"/>
      <c r="D400" s="8"/>
      <c r="E400" s="81"/>
      <c r="F400" s="34"/>
      <c r="G400" s="34"/>
      <c r="H400" s="34"/>
    </row>
    <row r="401" spans="1:8" ht="20">
      <c r="A401" s="200"/>
      <c r="B401" s="8"/>
      <c r="C401" s="8"/>
      <c r="D401" s="8"/>
      <c r="E401" s="81"/>
      <c r="F401" s="34"/>
      <c r="G401" s="34"/>
      <c r="H401" s="34"/>
    </row>
    <row r="402" spans="1:8" ht="20">
      <c r="A402" s="200"/>
      <c r="B402" s="8"/>
      <c r="C402" s="8"/>
      <c r="D402" s="8"/>
      <c r="E402" s="81"/>
      <c r="F402" s="34"/>
      <c r="G402" s="34"/>
      <c r="H402" s="34"/>
    </row>
    <row r="403" spans="1:8" ht="20">
      <c r="A403" s="200"/>
      <c r="B403" s="8"/>
      <c r="C403" s="8"/>
      <c r="D403" s="8"/>
      <c r="E403" s="81"/>
      <c r="F403" s="34"/>
      <c r="G403" s="34"/>
      <c r="H403" s="34"/>
    </row>
    <row r="404" spans="1:8" ht="20">
      <c r="A404" s="200"/>
      <c r="B404" s="8"/>
      <c r="C404" s="8"/>
      <c r="D404" s="8"/>
      <c r="E404" s="81"/>
      <c r="F404" s="34"/>
      <c r="G404" s="34"/>
      <c r="H404" s="34"/>
    </row>
    <row r="405" spans="1:8" ht="20">
      <c r="A405" s="200"/>
      <c r="B405" s="8"/>
      <c r="C405" s="8"/>
      <c r="D405" s="8"/>
      <c r="E405" s="81"/>
      <c r="F405" s="34"/>
      <c r="G405" s="34"/>
      <c r="H405" s="34"/>
    </row>
    <row r="406" spans="1:8" ht="20">
      <c r="A406" s="200"/>
      <c r="B406" s="8"/>
      <c r="C406" s="8"/>
      <c r="D406" s="8"/>
      <c r="E406" s="81"/>
      <c r="F406" s="34"/>
      <c r="G406" s="34"/>
      <c r="H406" s="34"/>
    </row>
    <row r="407" spans="1:8" ht="20">
      <c r="A407" s="200"/>
      <c r="B407" s="8"/>
      <c r="C407" s="8"/>
      <c r="D407" s="8"/>
      <c r="E407" s="81"/>
      <c r="F407" s="34"/>
      <c r="G407" s="34"/>
      <c r="H407" s="34"/>
    </row>
    <row r="408" spans="1:8" ht="20">
      <c r="A408" s="200"/>
      <c r="B408" s="8"/>
      <c r="C408" s="8"/>
      <c r="D408" s="8"/>
      <c r="E408" s="81"/>
      <c r="F408" s="34"/>
      <c r="G408" s="34"/>
      <c r="H408" s="34"/>
    </row>
    <row r="409" spans="1:8" ht="20">
      <c r="A409" s="200"/>
      <c r="B409" s="8"/>
      <c r="C409" s="8"/>
      <c r="D409" s="8"/>
      <c r="E409" s="81"/>
      <c r="F409" s="34"/>
      <c r="G409" s="34"/>
      <c r="H409" s="34"/>
    </row>
    <row r="410" spans="1:8" ht="20">
      <c r="A410" s="200"/>
      <c r="B410" s="8"/>
      <c r="C410" s="8"/>
      <c r="D410" s="8"/>
      <c r="E410" s="81"/>
      <c r="F410" s="34"/>
      <c r="G410" s="34"/>
      <c r="H410" s="34"/>
    </row>
    <row r="411" spans="1:8" ht="20">
      <c r="A411" s="200"/>
      <c r="B411" s="8"/>
      <c r="C411" s="8"/>
      <c r="D411" s="8"/>
      <c r="E411" s="81"/>
      <c r="F411" s="34"/>
      <c r="G411" s="34"/>
      <c r="H411" s="34"/>
    </row>
    <row r="412" spans="1:8" ht="20">
      <c r="A412" s="200"/>
      <c r="B412" s="8"/>
      <c r="C412" s="8"/>
      <c r="D412" s="8"/>
      <c r="E412" s="81"/>
      <c r="F412" s="34"/>
      <c r="G412" s="34"/>
      <c r="H412" s="34"/>
    </row>
    <row r="413" spans="1:8" ht="20">
      <c r="A413" s="200"/>
      <c r="B413" s="8"/>
      <c r="C413" s="8"/>
      <c r="D413" s="8"/>
      <c r="E413" s="81"/>
      <c r="F413" s="34"/>
      <c r="G413" s="34"/>
      <c r="H413" s="34"/>
    </row>
    <row r="414" spans="1:8" ht="20">
      <c r="A414" s="200"/>
      <c r="B414" s="8"/>
      <c r="C414" s="8"/>
      <c r="D414" s="8"/>
      <c r="E414" s="81"/>
      <c r="F414" s="34"/>
      <c r="G414" s="34"/>
      <c r="H414" s="34"/>
    </row>
    <row r="415" spans="1:8" ht="20">
      <c r="A415" s="200"/>
      <c r="B415" s="8"/>
      <c r="C415" s="8"/>
      <c r="D415" s="8"/>
      <c r="E415" s="81"/>
      <c r="F415" s="34"/>
      <c r="G415" s="34"/>
      <c r="H415" s="34"/>
    </row>
    <row r="416" spans="1:8" ht="20">
      <c r="A416" s="200"/>
      <c r="B416" s="8"/>
      <c r="C416" s="8"/>
      <c r="D416" s="8"/>
      <c r="E416" s="81"/>
      <c r="F416" s="34"/>
      <c r="G416" s="34"/>
      <c r="H416" s="34"/>
    </row>
    <row r="417" spans="1:8" ht="20">
      <c r="A417" s="200"/>
      <c r="B417" s="8"/>
      <c r="C417" s="8"/>
      <c r="D417" s="8"/>
      <c r="E417" s="81"/>
      <c r="F417" s="34"/>
      <c r="G417" s="34"/>
      <c r="H417" s="34"/>
    </row>
    <row r="418" spans="1:8" ht="20">
      <c r="A418" s="200"/>
      <c r="B418" s="8"/>
      <c r="C418" s="8"/>
      <c r="D418" s="8"/>
      <c r="E418" s="81"/>
      <c r="F418" s="34"/>
      <c r="G418" s="34"/>
      <c r="H418" s="34"/>
    </row>
    <row r="419" spans="1:8" ht="20">
      <c r="A419" s="200"/>
      <c r="B419" s="8"/>
      <c r="C419" s="8"/>
      <c r="D419" s="8"/>
      <c r="E419" s="81"/>
      <c r="F419" s="34"/>
      <c r="G419" s="34"/>
      <c r="H419" s="34"/>
    </row>
    <row r="420" spans="1:8" ht="20">
      <c r="A420" s="200"/>
      <c r="B420" s="8"/>
      <c r="C420" s="8"/>
      <c r="D420" s="8"/>
      <c r="E420" s="81"/>
      <c r="F420" s="34"/>
      <c r="G420" s="34"/>
      <c r="H420" s="34"/>
    </row>
    <row r="421" spans="1:8" ht="20">
      <c r="A421" s="200"/>
      <c r="B421" s="8"/>
      <c r="C421" s="8"/>
      <c r="D421" s="8"/>
      <c r="E421" s="81"/>
      <c r="F421" s="34"/>
      <c r="G421" s="34"/>
      <c r="H421" s="34"/>
    </row>
    <row r="422" spans="1:8" ht="20">
      <c r="A422" s="200"/>
      <c r="B422" s="8"/>
      <c r="C422" s="8"/>
      <c r="D422" s="8"/>
      <c r="E422" s="81"/>
      <c r="F422" s="34"/>
      <c r="G422" s="34"/>
      <c r="H422" s="34"/>
    </row>
    <row r="423" spans="1:8" ht="20">
      <c r="A423" s="200"/>
      <c r="B423" s="8"/>
      <c r="C423" s="8"/>
      <c r="D423" s="8"/>
      <c r="E423" s="81"/>
      <c r="F423" s="34"/>
      <c r="G423" s="34"/>
      <c r="H423" s="34"/>
    </row>
    <row r="424" spans="1:8" ht="20">
      <c r="A424" s="200"/>
      <c r="B424" s="8"/>
      <c r="C424" s="8"/>
      <c r="D424" s="8"/>
      <c r="E424" s="81"/>
      <c r="F424" s="34"/>
      <c r="G424" s="34"/>
      <c r="H424" s="34"/>
    </row>
    <row r="425" spans="1:8" ht="20">
      <c r="A425" s="200"/>
      <c r="B425" s="8"/>
      <c r="C425" s="8"/>
      <c r="D425" s="8"/>
      <c r="E425" s="81"/>
      <c r="F425" s="34"/>
      <c r="G425" s="34"/>
      <c r="H425" s="34"/>
    </row>
    <row r="426" spans="1:8" ht="20">
      <c r="A426" s="200"/>
      <c r="B426" s="8"/>
      <c r="C426" s="8"/>
      <c r="D426" s="8"/>
      <c r="E426" s="81"/>
      <c r="F426" s="34"/>
      <c r="G426" s="34"/>
      <c r="H426" s="34"/>
    </row>
    <row r="427" spans="1:8" ht="20">
      <c r="A427" s="200"/>
      <c r="B427" s="8"/>
      <c r="C427" s="8"/>
      <c r="D427" s="8"/>
      <c r="E427" s="81"/>
      <c r="F427" s="34"/>
      <c r="G427" s="34"/>
      <c r="H427" s="34"/>
    </row>
    <row r="428" spans="1:8" ht="20">
      <c r="A428" s="200"/>
      <c r="B428" s="8"/>
      <c r="C428" s="8"/>
      <c r="D428" s="8"/>
      <c r="E428" s="81"/>
      <c r="F428" s="34"/>
      <c r="G428" s="34"/>
      <c r="H428" s="34"/>
    </row>
    <row r="429" spans="1:8" ht="20">
      <c r="A429" s="200"/>
      <c r="B429" s="8"/>
      <c r="C429" s="8"/>
      <c r="D429" s="8"/>
      <c r="E429" s="81"/>
      <c r="F429" s="34"/>
      <c r="G429" s="34"/>
      <c r="H429" s="34"/>
    </row>
    <row r="430" spans="1:8" ht="20">
      <c r="A430" s="200"/>
      <c r="B430" s="8"/>
      <c r="C430" s="8"/>
      <c r="D430" s="8"/>
      <c r="E430" s="81"/>
      <c r="F430" s="34"/>
      <c r="G430" s="34"/>
      <c r="H430" s="34"/>
    </row>
    <row r="431" spans="1:8" ht="20">
      <c r="A431" s="200"/>
      <c r="B431" s="8"/>
      <c r="C431" s="8"/>
      <c r="D431" s="8"/>
      <c r="E431" s="81"/>
      <c r="F431" s="34"/>
      <c r="G431" s="34"/>
      <c r="H431" s="34"/>
    </row>
    <row r="432" spans="1:8" ht="20">
      <c r="A432" s="200"/>
      <c r="B432" s="8"/>
      <c r="C432" s="8"/>
      <c r="D432" s="8"/>
      <c r="E432" s="81"/>
      <c r="F432" s="34"/>
      <c r="G432" s="34"/>
      <c r="H432" s="34"/>
    </row>
    <row r="433" spans="1:8" ht="20">
      <c r="A433" s="200"/>
      <c r="B433" s="8"/>
      <c r="C433" s="8"/>
      <c r="D433" s="8"/>
      <c r="E433" s="81"/>
      <c r="F433" s="34"/>
      <c r="G433" s="34"/>
      <c r="H433" s="34"/>
    </row>
    <row r="434" spans="1:8" ht="20">
      <c r="A434" s="200"/>
      <c r="B434" s="8"/>
      <c r="C434" s="8"/>
      <c r="D434" s="8"/>
      <c r="E434" s="81"/>
      <c r="F434" s="34"/>
      <c r="G434" s="34"/>
      <c r="H434" s="34"/>
    </row>
    <row r="435" spans="1:8" ht="20">
      <c r="A435" s="200"/>
      <c r="B435" s="8"/>
      <c r="C435" s="8"/>
      <c r="D435" s="8"/>
      <c r="E435" s="81"/>
      <c r="F435" s="34"/>
      <c r="G435" s="34"/>
      <c r="H435" s="34"/>
    </row>
    <row r="436" spans="1:8" ht="20">
      <c r="A436" s="200"/>
      <c r="B436" s="8"/>
      <c r="C436" s="8"/>
      <c r="D436" s="8"/>
      <c r="E436" s="81"/>
      <c r="F436" s="34"/>
      <c r="G436" s="34"/>
      <c r="H436" s="34"/>
    </row>
    <row r="437" spans="1:8" ht="20">
      <c r="A437" s="200"/>
      <c r="B437" s="8"/>
      <c r="C437" s="8"/>
      <c r="D437" s="8"/>
      <c r="E437" s="81"/>
      <c r="F437" s="34"/>
      <c r="G437" s="34"/>
      <c r="H437" s="34"/>
    </row>
    <row r="438" spans="1:8" ht="20">
      <c r="A438" s="200"/>
      <c r="B438" s="8"/>
      <c r="C438" s="8"/>
      <c r="D438" s="8"/>
      <c r="E438" s="81"/>
      <c r="F438" s="34"/>
      <c r="G438" s="34"/>
      <c r="H438" s="34"/>
    </row>
    <row r="439" spans="1:8" ht="20">
      <c r="A439" s="200"/>
      <c r="B439" s="8"/>
      <c r="C439" s="8"/>
      <c r="D439" s="8"/>
      <c r="E439" s="81"/>
      <c r="F439" s="34"/>
      <c r="G439" s="34"/>
      <c r="H439" s="34"/>
    </row>
    <row r="440" spans="1:8" ht="20">
      <c r="A440" s="200"/>
      <c r="B440" s="8"/>
      <c r="C440" s="8"/>
      <c r="D440" s="8"/>
      <c r="E440" s="81"/>
      <c r="F440" s="34"/>
      <c r="G440" s="34"/>
      <c r="H440" s="34"/>
    </row>
    <row r="441" spans="1:8" ht="20">
      <c r="A441" s="200"/>
      <c r="B441" s="8"/>
      <c r="C441" s="8"/>
      <c r="D441" s="8"/>
      <c r="E441" s="81"/>
      <c r="F441" s="34"/>
      <c r="G441" s="34"/>
      <c r="H441" s="34"/>
    </row>
    <row r="442" spans="1:8" ht="20">
      <c r="A442" s="200"/>
      <c r="B442" s="8"/>
      <c r="C442" s="8"/>
      <c r="D442" s="8"/>
      <c r="E442" s="81"/>
      <c r="F442" s="34"/>
      <c r="G442" s="34"/>
      <c r="H442" s="34"/>
    </row>
    <row r="443" spans="1:8" ht="20">
      <c r="A443" s="200"/>
      <c r="B443" s="8"/>
      <c r="C443" s="8"/>
      <c r="D443" s="8"/>
      <c r="E443" s="81"/>
      <c r="F443" s="34"/>
      <c r="G443" s="34"/>
      <c r="H443" s="34"/>
    </row>
    <row r="444" spans="1:8" ht="20">
      <c r="A444" s="200"/>
      <c r="B444" s="8"/>
      <c r="C444" s="8"/>
      <c r="D444" s="8"/>
      <c r="E444" s="81"/>
      <c r="F444" s="34"/>
      <c r="G444" s="34"/>
      <c r="H444" s="34"/>
    </row>
    <row r="445" spans="1:8" ht="20">
      <c r="A445" s="200"/>
      <c r="B445" s="8"/>
      <c r="C445" s="8"/>
      <c r="D445" s="8"/>
      <c r="E445" s="81"/>
      <c r="F445" s="34"/>
      <c r="G445" s="34"/>
      <c r="H445" s="34"/>
    </row>
    <row r="446" spans="1:8" ht="20">
      <c r="A446" s="200"/>
      <c r="B446" s="8"/>
      <c r="C446" s="8"/>
      <c r="D446" s="8"/>
      <c r="E446" s="81"/>
      <c r="F446" s="34"/>
      <c r="G446" s="34"/>
      <c r="H446" s="34"/>
    </row>
    <row r="447" spans="1:8" ht="20">
      <c r="A447" s="200"/>
      <c r="B447" s="8"/>
      <c r="C447" s="8"/>
      <c r="D447" s="8"/>
      <c r="E447" s="81"/>
      <c r="F447" s="34"/>
      <c r="G447" s="34"/>
      <c r="H447" s="34"/>
    </row>
    <row r="448" spans="1:8" ht="20">
      <c r="A448" s="200"/>
      <c r="B448" s="8"/>
      <c r="C448" s="8"/>
      <c r="D448" s="8"/>
      <c r="E448" s="81"/>
      <c r="F448" s="34"/>
      <c r="G448" s="34"/>
      <c r="H448" s="34"/>
    </row>
    <row r="449" spans="1:8" ht="20">
      <c r="A449" s="200"/>
      <c r="B449" s="8"/>
      <c r="C449" s="8"/>
      <c r="D449" s="8"/>
      <c r="E449" s="81"/>
      <c r="F449" s="34"/>
      <c r="G449" s="34"/>
      <c r="H449" s="34"/>
    </row>
    <row r="450" spans="1:8" ht="20">
      <c r="A450" s="200"/>
      <c r="B450" s="8"/>
      <c r="C450" s="8"/>
      <c r="D450" s="8"/>
      <c r="E450" s="81"/>
      <c r="F450" s="34"/>
      <c r="G450" s="34"/>
      <c r="H450" s="34"/>
    </row>
    <row r="451" spans="1:8" ht="20">
      <c r="A451" s="200"/>
      <c r="B451" s="8"/>
      <c r="C451" s="8"/>
      <c r="D451" s="8"/>
      <c r="E451" s="81"/>
      <c r="F451" s="34"/>
      <c r="G451" s="34"/>
      <c r="H451" s="34"/>
    </row>
    <row r="452" spans="1:8" ht="20">
      <c r="A452" s="200"/>
      <c r="B452" s="8"/>
      <c r="C452" s="8"/>
      <c r="D452" s="8"/>
      <c r="E452" s="81"/>
      <c r="F452" s="34"/>
      <c r="G452" s="34"/>
      <c r="H452" s="34"/>
    </row>
    <row r="453" spans="1:8" ht="20">
      <c r="A453" s="200"/>
      <c r="B453" s="8"/>
      <c r="C453" s="8"/>
      <c r="D453" s="8"/>
      <c r="E453" s="81"/>
      <c r="F453" s="34"/>
      <c r="G453" s="34"/>
      <c r="H453" s="34"/>
    </row>
    <row r="454" spans="1:8" ht="20">
      <c r="A454" s="200"/>
      <c r="B454" s="8"/>
      <c r="C454" s="8"/>
      <c r="D454" s="8"/>
      <c r="E454" s="81"/>
      <c r="F454" s="34"/>
      <c r="G454" s="34"/>
      <c r="H454" s="34"/>
    </row>
    <row r="455" spans="1:8" ht="20">
      <c r="A455" s="200"/>
      <c r="B455" s="8"/>
      <c r="C455" s="8"/>
      <c r="D455" s="8"/>
      <c r="E455" s="81"/>
      <c r="F455" s="34"/>
      <c r="G455" s="34"/>
      <c r="H455" s="34"/>
    </row>
    <row r="456" spans="1:8" ht="20">
      <c r="A456" s="200"/>
      <c r="B456" s="8"/>
      <c r="C456" s="8"/>
      <c r="D456" s="8"/>
      <c r="E456" s="81"/>
      <c r="F456" s="34"/>
      <c r="G456" s="34"/>
      <c r="H456" s="34"/>
    </row>
    <row r="457" spans="1:8" ht="20">
      <c r="A457" s="200"/>
      <c r="B457" s="8"/>
      <c r="C457" s="8"/>
      <c r="D457" s="8"/>
      <c r="E457" s="81"/>
      <c r="F457" s="34"/>
      <c r="G457" s="34"/>
      <c r="H457" s="34"/>
    </row>
    <row r="458" spans="1:8" ht="20">
      <c r="A458" s="200"/>
      <c r="B458" s="8"/>
      <c r="C458" s="8"/>
      <c r="D458" s="8"/>
      <c r="E458" s="81"/>
      <c r="F458" s="34"/>
      <c r="G458" s="34"/>
      <c r="H458" s="34"/>
    </row>
    <row r="459" spans="1:8" ht="20">
      <c r="A459" s="200"/>
      <c r="B459" s="8"/>
      <c r="C459" s="8"/>
      <c r="D459" s="8"/>
      <c r="E459" s="81"/>
      <c r="F459" s="34"/>
      <c r="G459" s="34"/>
      <c r="H459" s="34"/>
    </row>
    <row r="460" spans="1:8" ht="20">
      <c r="A460" s="200"/>
      <c r="B460" s="8"/>
      <c r="C460" s="8"/>
      <c r="D460" s="8"/>
      <c r="E460" s="81"/>
      <c r="F460" s="34"/>
      <c r="G460" s="34"/>
      <c r="H460" s="34"/>
    </row>
    <row r="461" spans="1:8" ht="20">
      <c r="A461" s="200"/>
      <c r="B461" s="8"/>
      <c r="C461" s="8"/>
      <c r="D461" s="8"/>
      <c r="E461" s="81"/>
      <c r="F461" s="34"/>
      <c r="G461" s="34"/>
      <c r="H461" s="34"/>
    </row>
    <row r="462" spans="1:8" ht="20">
      <c r="A462" s="200"/>
      <c r="B462" s="8"/>
      <c r="C462" s="8"/>
      <c r="D462" s="8"/>
      <c r="E462" s="81"/>
      <c r="F462" s="34"/>
      <c r="G462" s="34"/>
      <c r="H462" s="34"/>
    </row>
    <row r="463" spans="1:8" ht="20">
      <c r="A463" s="200"/>
      <c r="B463" s="8"/>
      <c r="C463" s="8"/>
      <c r="D463" s="8"/>
      <c r="E463" s="81"/>
      <c r="F463" s="34"/>
      <c r="G463" s="34"/>
      <c r="H463" s="34"/>
    </row>
    <row r="464" spans="1:8" ht="20">
      <c r="A464" s="200"/>
      <c r="B464" s="8"/>
      <c r="C464" s="8"/>
      <c r="D464" s="8"/>
      <c r="E464" s="81"/>
      <c r="F464" s="34"/>
      <c r="G464" s="34"/>
      <c r="H464" s="34"/>
    </row>
    <row r="465" spans="1:8" ht="20">
      <c r="A465" s="200"/>
      <c r="B465" s="8"/>
      <c r="C465" s="8"/>
      <c r="D465" s="8"/>
      <c r="E465" s="81"/>
      <c r="F465" s="34"/>
      <c r="G465" s="34"/>
      <c r="H465" s="34"/>
    </row>
    <row r="466" spans="1:8" ht="20">
      <c r="A466" s="200"/>
      <c r="B466" s="8"/>
      <c r="C466" s="8"/>
      <c r="D466" s="8"/>
      <c r="E466" s="81"/>
      <c r="F466" s="34"/>
      <c r="G466" s="34"/>
      <c r="H466" s="34"/>
    </row>
    <row r="467" spans="1:8" ht="20">
      <c r="A467" s="200"/>
      <c r="B467" s="8"/>
      <c r="C467" s="8"/>
      <c r="D467" s="8"/>
      <c r="E467" s="81"/>
      <c r="F467" s="34"/>
      <c r="G467" s="34"/>
      <c r="H467" s="34"/>
    </row>
    <row r="468" spans="1:8" ht="20">
      <c r="A468" s="200"/>
      <c r="B468" s="8"/>
      <c r="C468" s="8"/>
      <c r="D468" s="8"/>
      <c r="E468" s="81"/>
      <c r="F468" s="34"/>
      <c r="G468" s="34"/>
      <c r="H468" s="34"/>
    </row>
    <row r="469" spans="1:8" ht="20">
      <c r="A469" s="200"/>
      <c r="B469" s="8"/>
      <c r="C469" s="8"/>
      <c r="D469" s="8"/>
      <c r="E469" s="81"/>
      <c r="F469" s="34"/>
      <c r="G469" s="34"/>
      <c r="H469" s="34"/>
    </row>
    <row r="470" spans="1:8" ht="20">
      <c r="A470" s="200"/>
      <c r="B470" s="8"/>
      <c r="C470" s="8"/>
      <c r="D470" s="8"/>
      <c r="E470" s="81"/>
      <c r="F470" s="34"/>
      <c r="G470" s="34"/>
      <c r="H470" s="34"/>
    </row>
    <row r="471" spans="1:8" ht="20">
      <c r="A471" s="200"/>
      <c r="B471" s="8"/>
      <c r="C471" s="8"/>
      <c r="D471" s="8"/>
      <c r="E471" s="81"/>
      <c r="F471" s="34"/>
      <c r="G471" s="34"/>
      <c r="H471" s="34"/>
    </row>
    <row r="472" spans="1:8" ht="20">
      <c r="A472" s="200"/>
      <c r="B472" s="8"/>
      <c r="C472" s="8"/>
      <c r="D472" s="8"/>
      <c r="E472" s="81"/>
      <c r="F472" s="34"/>
      <c r="G472" s="34"/>
      <c r="H472" s="34"/>
    </row>
    <row r="473" spans="1:8" ht="20">
      <c r="A473" s="200"/>
      <c r="B473" s="8"/>
      <c r="C473" s="8"/>
      <c r="D473" s="8"/>
      <c r="E473" s="81"/>
      <c r="F473" s="34"/>
      <c r="G473" s="34"/>
      <c r="H473" s="34"/>
    </row>
    <row r="474" spans="1:8" ht="20">
      <c r="A474" s="200"/>
      <c r="B474" s="8"/>
      <c r="C474" s="8"/>
      <c r="D474" s="8"/>
      <c r="E474" s="81"/>
      <c r="F474" s="34"/>
      <c r="G474" s="34"/>
      <c r="H474" s="34"/>
    </row>
    <row r="475" spans="1:8" ht="20">
      <c r="A475" s="200"/>
      <c r="B475" s="8"/>
      <c r="C475" s="8"/>
      <c r="D475" s="8"/>
      <c r="E475" s="81"/>
      <c r="F475" s="34"/>
      <c r="G475" s="34"/>
      <c r="H475" s="34"/>
    </row>
    <row r="476" spans="1:8" ht="20">
      <c r="A476" s="200"/>
      <c r="B476" s="8"/>
      <c r="C476" s="8"/>
      <c r="D476" s="8"/>
      <c r="E476" s="81"/>
      <c r="F476" s="34"/>
      <c r="G476" s="34"/>
      <c r="H476" s="34"/>
    </row>
    <row r="477" spans="1:8" ht="20">
      <c r="A477" s="200"/>
      <c r="B477" s="8"/>
      <c r="C477" s="8"/>
      <c r="D477" s="8"/>
      <c r="E477" s="81"/>
      <c r="F477" s="34"/>
      <c r="G477" s="34"/>
      <c r="H477" s="34"/>
    </row>
    <row r="478" spans="1:8" ht="20">
      <c r="A478" s="200"/>
      <c r="B478" s="8"/>
      <c r="C478" s="8"/>
      <c r="D478" s="8"/>
      <c r="E478" s="81"/>
      <c r="F478" s="34"/>
      <c r="G478" s="34"/>
      <c r="H478" s="34"/>
    </row>
    <row r="479" spans="1:8" ht="20">
      <c r="A479" s="200"/>
      <c r="B479" s="8"/>
      <c r="C479" s="8"/>
      <c r="D479" s="8"/>
      <c r="E479" s="81"/>
      <c r="F479" s="34"/>
      <c r="G479" s="34"/>
      <c r="H479" s="34"/>
    </row>
    <row r="480" spans="1:8" ht="20">
      <c r="A480" s="200"/>
      <c r="B480" s="8"/>
      <c r="C480" s="8"/>
      <c r="D480" s="8"/>
      <c r="E480" s="81"/>
      <c r="F480" s="34"/>
      <c r="G480" s="34"/>
      <c r="H480" s="34"/>
    </row>
    <row r="481" spans="1:8" ht="20">
      <c r="A481" s="200"/>
      <c r="B481" s="8"/>
      <c r="C481" s="8"/>
      <c r="D481" s="8"/>
      <c r="E481" s="81"/>
      <c r="F481" s="34"/>
      <c r="G481" s="34"/>
      <c r="H481" s="34"/>
    </row>
    <row r="482" spans="1:8" ht="20">
      <c r="A482" s="200"/>
      <c r="B482" s="8"/>
      <c r="C482" s="8"/>
      <c r="D482" s="8"/>
      <c r="E482" s="81"/>
      <c r="F482" s="34"/>
      <c r="G482" s="34"/>
      <c r="H482" s="34"/>
    </row>
    <row r="483" spans="1:8" ht="20">
      <c r="A483" s="200"/>
      <c r="B483" s="8"/>
      <c r="C483" s="8"/>
      <c r="D483" s="8"/>
      <c r="E483" s="81"/>
      <c r="F483" s="34"/>
      <c r="G483" s="34"/>
      <c r="H483" s="34"/>
    </row>
    <row r="484" spans="1:8" ht="20">
      <c r="A484" s="200"/>
      <c r="B484" s="8"/>
      <c r="C484" s="8"/>
      <c r="D484" s="8"/>
      <c r="E484" s="81"/>
      <c r="F484" s="34"/>
      <c r="G484" s="34"/>
      <c r="H484" s="34"/>
    </row>
    <row r="485" spans="1:8" ht="20">
      <c r="A485" s="200"/>
      <c r="B485" s="8"/>
      <c r="C485" s="8"/>
      <c r="D485" s="8"/>
      <c r="E485" s="81"/>
      <c r="F485" s="34"/>
      <c r="G485" s="34"/>
      <c r="H485" s="34"/>
    </row>
    <row r="486" spans="1:8" ht="20">
      <c r="A486" s="200"/>
      <c r="B486" s="8"/>
      <c r="C486" s="8"/>
      <c r="D486" s="8"/>
      <c r="E486" s="81"/>
      <c r="F486" s="34"/>
      <c r="G486" s="34"/>
      <c r="H486" s="34"/>
    </row>
    <row r="487" spans="1:8" ht="20">
      <c r="A487" s="200"/>
      <c r="B487" s="8"/>
      <c r="C487" s="8"/>
      <c r="D487" s="8"/>
      <c r="E487" s="81"/>
      <c r="F487" s="34"/>
      <c r="G487" s="34"/>
      <c r="H487" s="34"/>
    </row>
    <row r="488" spans="1:8" ht="20">
      <c r="A488" s="200"/>
      <c r="B488" s="8"/>
      <c r="C488" s="8"/>
      <c r="D488" s="8"/>
      <c r="E488" s="81"/>
      <c r="F488" s="34"/>
      <c r="G488" s="34"/>
      <c r="H488" s="34"/>
    </row>
    <row r="489" spans="1:8" ht="20">
      <c r="A489" s="200"/>
      <c r="B489" s="8"/>
      <c r="C489" s="8"/>
      <c r="D489" s="8"/>
      <c r="E489" s="81"/>
      <c r="F489" s="34"/>
      <c r="G489" s="34"/>
      <c r="H489" s="34"/>
    </row>
    <row r="490" spans="1:8" ht="20">
      <c r="A490" s="200"/>
      <c r="B490" s="8"/>
      <c r="C490" s="8"/>
      <c r="D490" s="8"/>
      <c r="E490" s="81"/>
      <c r="F490" s="34"/>
      <c r="G490" s="34"/>
      <c r="H490" s="34"/>
    </row>
    <row r="491" spans="1:8" ht="20">
      <c r="A491" s="200"/>
      <c r="B491" s="8"/>
      <c r="C491" s="8"/>
      <c r="D491" s="8"/>
      <c r="E491" s="81"/>
      <c r="F491" s="34"/>
      <c r="G491" s="34"/>
      <c r="H491" s="34"/>
    </row>
    <row r="492" spans="1:8" ht="20">
      <c r="A492" s="200"/>
      <c r="B492" s="8"/>
      <c r="C492" s="8"/>
      <c r="D492" s="8"/>
      <c r="E492" s="81"/>
      <c r="F492" s="34"/>
      <c r="G492" s="34"/>
      <c r="H492" s="34"/>
    </row>
    <row r="493" spans="1:8" ht="20">
      <c r="A493" s="200"/>
      <c r="B493" s="8"/>
      <c r="C493" s="8"/>
      <c r="D493" s="8"/>
      <c r="E493" s="81"/>
      <c r="F493" s="34"/>
      <c r="G493" s="34"/>
      <c r="H493" s="34"/>
    </row>
    <row r="494" spans="1:8" ht="20">
      <c r="A494" s="200"/>
      <c r="B494" s="8"/>
      <c r="C494" s="8"/>
      <c r="D494" s="8"/>
      <c r="E494" s="81"/>
      <c r="F494" s="34"/>
      <c r="G494" s="34"/>
      <c r="H494" s="34"/>
    </row>
    <row r="495" spans="1:8" ht="20">
      <c r="A495" s="200"/>
      <c r="B495" s="8"/>
      <c r="C495" s="8"/>
      <c r="D495" s="8"/>
      <c r="E495" s="81"/>
      <c r="F495" s="34"/>
      <c r="G495" s="34"/>
      <c r="H495" s="34"/>
    </row>
    <row r="496" spans="1:8" ht="20">
      <c r="A496" s="200"/>
      <c r="B496" s="8"/>
      <c r="C496" s="8"/>
      <c r="D496" s="8"/>
      <c r="E496" s="81"/>
      <c r="F496" s="34"/>
      <c r="G496" s="34"/>
      <c r="H496" s="34"/>
    </row>
    <row r="497" spans="1:8" ht="20">
      <c r="A497" s="200"/>
      <c r="B497" s="8"/>
      <c r="C497" s="8"/>
      <c r="D497" s="8"/>
      <c r="E497" s="81"/>
      <c r="F497" s="34"/>
      <c r="G497" s="34"/>
      <c r="H497" s="34"/>
    </row>
    <row r="498" spans="1:8" ht="20">
      <c r="A498" s="200"/>
      <c r="B498" s="8"/>
      <c r="C498" s="8"/>
      <c r="D498" s="8"/>
      <c r="E498" s="81"/>
      <c r="F498" s="34"/>
      <c r="G498" s="34"/>
      <c r="H498" s="34"/>
    </row>
    <row r="499" spans="1:8" ht="20">
      <c r="A499" s="200"/>
      <c r="B499" s="8"/>
      <c r="C499" s="8"/>
      <c r="D499" s="8"/>
      <c r="E499" s="81"/>
      <c r="F499" s="34"/>
      <c r="G499" s="34"/>
      <c r="H499" s="34"/>
    </row>
    <row r="500" spans="1:8" ht="20">
      <c r="A500" s="200"/>
      <c r="B500" s="8"/>
      <c r="C500" s="8"/>
      <c r="D500" s="8"/>
      <c r="E500" s="81"/>
      <c r="F500" s="34"/>
      <c r="G500" s="34"/>
      <c r="H500" s="34"/>
    </row>
    <row r="501" spans="1:8" ht="20">
      <c r="A501" s="200"/>
      <c r="B501" s="8"/>
      <c r="C501" s="8"/>
      <c r="D501" s="8"/>
      <c r="E501" s="81"/>
      <c r="F501" s="34"/>
      <c r="G501" s="34"/>
      <c r="H501" s="34"/>
    </row>
    <row r="502" spans="1:8" ht="20">
      <c r="A502" s="200"/>
      <c r="B502" s="8"/>
      <c r="C502" s="8"/>
      <c r="D502" s="8"/>
      <c r="E502" s="81"/>
      <c r="F502" s="34"/>
      <c r="G502" s="34"/>
      <c r="H502" s="34"/>
    </row>
    <row r="503" spans="1:8" ht="20">
      <c r="A503" s="200"/>
      <c r="B503" s="8"/>
      <c r="C503" s="8"/>
      <c r="D503" s="8"/>
      <c r="E503" s="81"/>
      <c r="F503" s="34"/>
      <c r="G503" s="34"/>
      <c r="H503" s="34"/>
    </row>
    <row r="504" spans="1:8" ht="20">
      <c r="A504" s="200"/>
      <c r="B504" s="8"/>
      <c r="C504" s="8"/>
      <c r="D504" s="8"/>
      <c r="E504" s="81"/>
      <c r="F504" s="34"/>
      <c r="G504" s="34"/>
      <c r="H504" s="34"/>
    </row>
    <row r="505" spans="1:8" ht="20">
      <c r="A505" s="200"/>
      <c r="B505" s="8"/>
      <c r="C505" s="8"/>
      <c r="D505" s="8"/>
      <c r="E505" s="81"/>
      <c r="F505" s="34"/>
      <c r="G505" s="34"/>
      <c r="H505" s="34"/>
    </row>
    <row r="506" spans="1:8" ht="20">
      <c r="A506" s="200"/>
      <c r="B506" s="8"/>
      <c r="C506" s="8"/>
      <c r="D506" s="8"/>
      <c r="E506" s="81"/>
      <c r="F506" s="34"/>
      <c r="G506" s="34"/>
      <c r="H506" s="34"/>
    </row>
    <row r="507" spans="1:8" ht="20">
      <c r="A507" s="200"/>
      <c r="B507" s="8"/>
      <c r="C507" s="8"/>
      <c r="D507" s="8"/>
      <c r="E507" s="81"/>
      <c r="F507" s="34"/>
      <c r="G507" s="34"/>
      <c r="H507" s="34"/>
    </row>
    <row r="508" spans="1:8" ht="20">
      <c r="A508" s="200"/>
      <c r="B508" s="8"/>
      <c r="C508" s="8"/>
      <c r="D508" s="8"/>
      <c r="E508" s="81"/>
      <c r="F508" s="34"/>
      <c r="G508" s="34"/>
      <c r="H508" s="34"/>
    </row>
    <row r="509" spans="1:8" ht="20">
      <c r="A509" s="200"/>
      <c r="B509" s="8"/>
      <c r="C509" s="8"/>
      <c r="D509" s="8"/>
      <c r="E509" s="81"/>
      <c r="F509" s="34"/>
      <c r="G509" s="34"/>
      <c r="H509" s="34"/>
    </row>
    <row r="510" spans="1:8" ht="20">
      <c r="A510" s="200"/>
      <c r="B510" s="8"/>
      <c r="C510" s="8"/>
      <c r="D510" s="8"/>
      <c r="E510" s="81"/>
      <c r="F510" s="34"/>
      <c r="G510" s="34"/>
      <c r="H510" s="34"/>
    </row>
    <row r="511" spans="1:8" ht="20">
      <c r="A511" s="200"/>
      <c r="B511" s="8"/>
      <c r="C511" s="8"/>
      <c r="D511" s="8"/>
      <c r="E511" s="81"/>
      <c r="F511" s="34"/>
      <c r="G511" s="34"/>
      <c r="H511" s="34"/>
    </row>
    <row r="512" spans="1:8" ht="20">
      <c r="A512" s="200"/>
      <c r="B512" s="8"/>
      <c r="C512" s="8"/>
      <c r="D512" s="8"/>
      <c r="E512" s="81"/>
      <c r="F512" s="34"/>
      <c r="G512" s="34"/>
      <c r="H512" s="34"/>
    </row>
    <row r="513" spans="1:8" ht="20">
      <c r="A513" s="200"/>
      <c r="B513" s="8"/>
      <c r="C513" s="8"/>
      <c r="D513" s="8"/>
      <c r="E513" s="81"/>
      <c r="F513" s="34"/>
      <c r="G513" s="34"/>
      <c r="H513" s="34"/>
    </row>
    <row r="514" spans="1:8" ht="20">
      <c r="A514" s="200"/>
      <c r="B514" s="8"/>
      <c r="C514" s="8"/>
      <c r="D514" s="8"/>
      <c r="E514" s="81"/>
      <c r="F514" s="34"/>
      <c r="G514" s="34"/>
      <c r="H514" s="34"/>
    </row>
    <row r="515" spans="1:8" ht="20">
      <c r="A515" s="200"/>
      <c r="B515" s="8"/>
      <c r="C515" s="8"/>
      <c r="D515" s="8"/>
      <c r="E515" s="81"/>
      <c r="F515" s="34"/>
      <c r="G515" s="34"/>
      <c r="H515" s="34"/>
    </row>
    <row r="516" spans="1:8" ht="20">
      <c r="A516" s="200"/>
      <c r="B516" s="8"/>
      <c r="C516" s="8"/>
      <c r="D516" s="8"/>
      <c r="E516" s="81"/>
      <c r="F516" s="34"/>
      <c r="G516" s="34"/>
      <c r="H516" s="34"/>
    </row>
    <row r="517" spans="1:8" ht="20">
      <c r="A517" s="200"/>
      <c r="B517" s="8"/>
      <c r="C517" s="8"/>
      <c r="D517" s="8"/>
      <c r="E517" s="81"/>
      <c r="F517" s="34"/>
      <c r="G517" s="34"/>
      <c r="H517" s="34"/>
    </row>
    <row r="518" spans="1:8" ht="20">
      <c r="A518" s="200"/>
      <c r="B518" s="8"/>
      <c r="C518" s="8"/>
      <c r="D518" s="8"/>
      <c r="E518" s="81"/>
      <c r="F518" s="34"/>
      <c r="G518" s="34"/>
      <c r="H518" s="34"/>
    </row>
    <row r="519" spans="1:8" ht="20">
      <c r="A519" s="200"/>
      <c r="B519" s="8"/>
      <c r="C519" s="8"/>
      <c r="D519" s="8"/>
      <c r="E519" s="81"/>
      <c r="F519" s="34"/>
      <c r="G519" s="34"/>
      <c r="H519" s="34"/>
    </row>
    <row r="520" spans="1:8" ht="20">
      <c r="A520" s="200"/>
      <c r="B520" s="8"/>
      <c r="C520" s="8"/>
      <c r="D520" s="8"/>
      <c r="E520" s="81"/>
      <c r="F520" s="34"/>
      <c r="G520" s="34"/>
      <c r="H520" s="34"/>
    </row>
    <row r="521" spans="1:8" ht="20">
      <c r="A521" s="200"/>
      <c r="B521" s="8"/>
      <c r="C521" s="8"/>
      <c r="D521" s="8"/>
      <c r="E521" s="81"/>
      <c r="F521" s="34"/>
      <c r="G521" s="34"/>
      <c r="H521" s="34"/>
    </row>
    <row r="522" spans="1:8" ht="20">
      <c r="A522" s="200"/>
      <c r="B522" s="8"/>
      <c r="C522" s="8"/>
      <c r="D522" s="8"/>
      <c r="E522" s="81"/>
      <c r="F522" s="34"/>
      <c r="G522" s="34"/>
      <c r="H522" s="34"/>
    </row>
    <row r="523" spans="1:8" ht="20">
      <c r="A523" s="200"/>
      <c r="B523" s="8"/>
      <c r="C523" s="8"/>
      <c r="D523" s="8"/>
      <c r="E523" s="81"/>
      <c r="F523" s="34"/>
      <c r="G523" s="34"/>
      <c r="H523" s="34"/>
    </row>
    <row r="524" spans="1:8" ht="20">
      <c r="A524" s="200"/>
      <c r="B524" s="8"/>
      <c r="C524" s="8"/>
      <c r="D524" s="8"/>
      <c r="E524" s="81"/>
      <c r="F524" s="34"/>
      <c r="G524" s="34"/>
      <c r="H524" s="34"/>
    </row>
    <row r="525" spans="1:8" ht="20">
      <c r="A525" s="200"/>
      <c r="B525" s="8"/>
      <c r="C525" s="8"/>
      <c r="D525" s="8"/>
      <c r="E525" s="81"/>
      <c r="F525" s="34"/>
      <c r="G525" s="34"/>
      <c r="H525" s="34"/>
    </row>
    <row r="526" spans="1:8" ht="20">
      <c r="A526" s="200"/>
      <c r="B526" s="8"/>
      <c r="C526" s="8"/>
      <c r="D526" s="8"/>
      <c r="E526" s="81"/>
      <c r="F526" s="34"/>
      <c r="G526" s="34"/>
      <c r="H526" s="34"/>
    </row>
    <row r="527" spans="1:8" ht="20">
      <c r="A527" s="200"/>
      <c r="B527" s="8"/>
      <c r="C527" s="8"/>
      <c r="D527" s="8"/>
      <c r="E527" s="81"/>
      <c r="F527" s="34"/>
      <c r="G527" s="34"/>
      <c r="H527" s="34"/>
    </row>
    <row r="528" spans="1:8" ht="20">
      <c r="A528" s="200"/>
      <c r="B528" s="8"/>
      <c r="C528" s="8"/>
      <c r="D528" s="8"/>
      <c r="E528" s="81"/>
      <c r="F528" s="34"/>
      <c r="G528" s="34"/>
      <c r="H528" s="34"/>
    </row>
    <row r="529" spans="1:8" ht="20">
      <c r="A529" s="200"/>
      <c r="B529" s="8"/>
      <c r="C529" s="8"/>
      <c r="D529" s="8"/>
      <c r="E529" s="81"/>
      <c r="F529" s="34"/>
      <c r="G529" s="34"/>
      <c r="H529" s="34"/>
    </row>
    <row r="530" spans="1:8" ht="20">
      <c r="A530" s="200"/>
      <c r="B530" s="8"/>
      <c r="C530" s="8"/>
      <c r="D530" s="8"/>
      <c r="E530" s="81"/>
      <c r="F530" s="34"/>
      <c r="G530" s="34"/>
      <c r="H530" s="34"/>
    </row>
    <row r="531" spans="1:8" ht="20">
      <c r="A531" s="200"/>
      <c r="B531" s="8"/>
      <c r="C531" s="8"/>
      <c r="D531" s="8"/>
      <c r="E531" s="81"/>
      <c r="F531" s="34"/>
      <c r="G531" s="34"/>
      <c r="H531" s="34"/>
    </row>
    <row r="532" spans="1:8" ht="20">
      <c r="A532" s="200"/>
      <c r="B532" s="8"/>
      <c r="C532" s="8"/>
      <c r="D532" s="8"/>
      <c r="E532" s="81"/>
      <c r="F532" s="34"/>
      <c r="G532" s="34"/>
      <c r="H532" s="34"/>
    </row>
    <row r="533" spans="1:8" ht="20">
      <c r="A533" s="200"/>
      <c r="B533" s="8"/>
      <c r="C533" s="8"/>
      <c r="D533" s="8"/>
      <c r="E533" s="81"/>
      <c r="F533" s="34"/>
      <c r="G533" s="34"/>
      <c r="H533" s="34"/>
    </row>
    <row r="534" spans="1:8" ht="20">
      <c r="A534" s="200"/>
      <c r="B534" s="8"/>
      <c r="C534" s="8"/>
      <c r="D534" s="8"/>
      <c r="E534" s="81"/>
      <c r="F534" s="34"/>
      <c r="G534" s="34"/>
      <c r="H534" s="34"/>
    </row>
    <row r="535" spans="1:8" ht="20">
      <c r="A535" s="200"/>
      <c r="B535" s="8"/>
      <c r="C535" s="8"/>
      <c r="D535" s="8"/>
      <c r="E535" s="81"/>
      <c r="F535" s="34"/>
      <c r="G535" s="34"/>
      <c r="H535" s="34"/>
    </row>
    <row r="536" spans="1:8" ht="20">
      <c r="A536" s="200"/>
      <c r="B536" s="8"/>
      <c r="C536" s="8"/>
      <c r="D536" s="8"/>
      <c r="E536" s="81"/>
      <c r="F536" s="34"/>
      <c r="G536" s="34"/>
      <c r="H536" s="34"/>
    </row>
    <row r="537" spans="1:8" ht="20">
      <c r="A537" s="200"/>
      <c r="B537" s="8"/>
      <c r="C537" s="8"/>
      <c r="D537" s="8"/>
      <c r="E537" s="81"/>
      <c r="F537" s="34"/>
      <c r="G537" s="34"/>
      <c r="H537" s="34"/>
    </row>
    <row r="538" spans="1:8" ht="20">
      <c r="A538" s="200"/>
      <c r="B538" s="8"/>
      <c r="C538" s="8"/>
      <c r="D538" s="8"/>
      <c r="E538" s="81"/>
      <c r="F538" s="34"/>
      <c r="G538" s="34"/>
      <c r="H538" s="34"/>
    </row>
    <row r="539" spans="1:8" ht="20">
      <c r="A539" s="200"/>
      <c r="B539" s="8"/>
      <c r="C539" s="8"/>
      <c r="D539" s="8"/>
      <c r="E539" s="81"/>
      <c r="F539" s="34"/>
      <c r="G539" s="34"/>
      <c r="H539" s="34"/>
    </row>
    <row r="540" spans="1:8" ht="20">
      <c r="A540" s="200"/>
      <c r="B540" s="8"/>
      <c r="C540" s="8"/>
      <c r="D540" s="8"/>
      <c r="E540" s="81"/>
      <c r="F540" s="34"/>
      <c r="G540" s="34"/>
      <c r="H540" s="34"/>
    </row>
    <row r="541" spans="1:8" ht="20">
      <c r="A541" s="200"/>
      <c r="B541" s="8"/>
      <c r="C541" s="8"/>
      <c r="D541" s="8"/>
      <c r="E541" s="81"/>
      <c r="F541" s="34"/>
      <c r="G541" s="34"/>
      <c r="H541" s="34"/>
    </row>
    <row r="542" spans="1:8" ht="20">
      <c r="A542" s="200"/>
      <c r="B542" s="8"/>
      <c r="C542" s="8"/>
      <c r="D542" s="8"/>
      <c r="E542" s="81"/>
      <c r="F542" s="34"/>
      <c r="G542" s="34"/>
      <c r="H542" s="34"/>
    </row>
    <row r="543" spans="1:8" ht="20">
      <c r="A543" s="200"/>
      <c r="B543" s="8"/>
      <c r="C543" s="8"/>
      <c r="D543" s="8"/>
      <c r="E543" s="81"/>
      <c r="F543" s="34"/>
      <c r="G543" s="34"/>
      <c r="H543" s="34"/>
    </row>
    <row r="544" spans="1:8" ht="20">
      <c r="A544" s="200"/>
      <c r="B544" s="8"/>
      <c r="C544" s="8"/>
      <c r="D544" s="8"/>
      <c r="E544" s="81"/>
      <c r="F544" s="34"/>
      <c r="G544" s="34"/>
      <c r="H544" s="34"/>
    </row>
    <row r="545" spans="1:8" ht="20">
      <c r="A545" s="200"/>
      <c r="B545" s="8"/>
      <c r="C545" s="8"/>
      <c r="D545" s="8"/>
      <c r="E545" s="81"/>
      <c r="F545" s="34"/>
      <c r="G545" s="34"/>
      <c r="H545" s="34"/>
    </row>
    <row r="546" spans="1:8" ht="20">
      <c r="A546" s="200"/>
      <c r="B546" s="8"/>
      <c r="C546" s="8"/>
      <c r="D546" s="8"/>
      <c r="E546" s="81"/>
      <c r="F546" s="34"/>
      <c r="G546" s="34"/>
      <c r="H546" s="34"/>
    </row>
    <row r="547" spans="1:8" ht="20">
      <c r="A547" s="200"/>
      <c r="B547" s="8"/>
      <c r="C547" s="8"/>
      <c r="D547" s="8"/>
      <c r="E547" s="81"/>
      <c r="F547" s="34"/>
      <c r="G547" s="34"/>
      <c r="H547" s="34"/>
    </row>
    <row r="548" spans="1:8" ht="20">
      <c r="A548" s="200"/>
      <c r="B548" s="8"/>
      <c r="C548" s="8"/>
      <c r="D548" s="8"/>
      <c r="E548" s="81"/>
      <c r="F548" s="34"/>
      <c r="G548" s="34"/>
      <c r="H548" s="34"/>
    </row>
    <row r="549" spans="1:8" ht="20">
      <c r="A549" s="200"/>
      <c r="B549" s="8"/>
      <c r="C549" s="8"/>
      <c r="D549" s="8"/>
      <c r="E549" s="81"/>
      <c r="F549" s="34"/>
      <c r="G549" s="34"/>
      <c r="H549" s="34"/>
    </row>
    <row r="550" spans="1:8" ht="20">
      <c r="A550" s="200"/>
      <c r="B550" s="8"/>
      <c r="C550" s="8"/>
      <c r="D550" s="8"/>
      <c r="E550" s="81"/>
      <c r="F550" s="34"/>
      <c r="G550" s="34"/>
      <c r="H550" s="34"/>
    </row>
    <row r="551" spans="1:8" ht="20">
      <c r="A551" s="200"/>
      <c r="B551" s="8"/>
      <c r="C551" s="8"/>
      <c r="D551" s="8"/>
      <c r="E551" s="81"/>
      <c r="F551" s="34"/>
      <c r="G551" s="34"/>
      <c r="H551" s="34"/>
    </row>
    <row r="552" spans="1:8" ht="20">
      <c r="A552" s="200"/>
      <c r="B552" s="8"/>
      <c r="C552" s="8"/>
      <c r="D552" s="8"/>
      <c r="E552" s="81"/>
      <c r="F552" s="34"/>
      <c r="G552" s="34"/>
      <c r="H552" s="34"/>
    </row>
    <row r="553" spans="1:8" ht="20">
      <c r="A553" s="200"/>
      <c r="B553" s="8"/>
      <c r="C553" s="8"/>
      <c r="D553" s="8"/>
      <c r="E553" s="81"/>
      <c r="F553" s="34"/>
      <c r="G553" s="34"/>
      <c r="H553" s="34"/>
    </row>
    <row r="554" spans="1:8" ht="20">
      <c r="A554" s="200"/>
      <c r="B554" s="8"/>
      <c r="C554" s="8"/>
      <c r="D554" s="8"/>
      <c r="E554" s="81"/>
      <c r="F554" s="34"/>
      <c r="G554" s="34"/>
      <c r="H554" s="34"/>
    </row>
    <row r="555" spans="1:8" ht="20">
      <c r="A555" s="200"/>
      <c r="B555" s="8"/>
      <c r="C555" s="8"/>
      <c r="D555" s="8"/>
      <c r="E555" s="81"/>
      <c r="F555" s="34"/>
      <c r="G555" s="34"/>
      <c r="H555" s="34"/>
    </row>
    <row r="556" spans="1:8" ht="20">
      <c r="A556" s="200"/>
      <c r="B556" s="8"/>
      <c r="C556" s="8"/>
      <c r="D556" s="8"/>
      <c r="E556" s="81"/>
      <c r="F556" s="34"/>
      <c r="G556" s="34"/>
      <c r="H556" s="34"/>
    </row>
    <row r="557" spans="1:8" ht="20">
      <c r="A557" s="200"/>
      <c r="B557" s="8"/>
      <c r="C557" s="8"/>
      <c r="D557" s="8"/>
      <c r="E557" s="81"/>
      <c r="F557" s="34"/>
      <c r="G557" s="34"/>
      <c r="H557" s="34"/>
    </row>
    <row r="558" spans="1:8" ht="20">
      <c r="A558" s="200"/>
      <c r="B558" s="8"/>
      <c r="C558" s="8"/>
      <c r="D558" s="8"/>
      <c r="E558" s="81"/>
      <c r="F558" s="34"/>
      <c r="G558" s="34"/>
      <c r="H558" s="34"/>
    </row>
    <row r="559" spans="1:8" ht="20">
      <c r="A559" s="200"/>
      <c r="B559" s="8"/>
      <c r="C559" s="8"/>
      <c r="D559" s="8"/>
      <c r="E559" s="81"/>
      <c r="F559" s="34"/>
      <c r="G559" s="34"/>
      <c r="H559" s="34"/>
    </row>
    <row r="560" spans="1:8" ht="20">
      <c r="A560" s="200"/>
      <c r="B560" s="8"/>
      <c r="C560" s="8"/>
      <c r="D560" s="8"/>
      <c r="E560" s="81"/>
      <c r="F560" s="34"/>
      <c r="G560" s="34"/>
      <c r="H560" s="34"/>
    </row>
    <row r="561" spans="1:8" ht="20">
      <c r="A561" s="200"/>
      <c r="B561" s="8"/>
      <c r="C561" s="8"/>
      <c r="D561" s="8"/>
      <c r="E561" s="81"/>
      <c r="F561" s="34"/>
      <c r="G561" s="34"/>
      <c r="H561" s="34"/>
    </row>
    <row r="562" spans="1:8" ht="20">
      <c r="A562" s="200"/>
      <c r="B562" s="8"/>
      <c r="C562" s="8"/>
      <c r="D562" s="8"/>
      <c r="E562" s="81"/>
      <c r="F562" s="34"/>
      <c r="G562" s="34"/>
      <c r="H562" s="34"/>
    </row>
    <row r="563" spans="1:8" ht="20">
      <c r="A563" s="200"/>
      <c r="B563" s="8"/>
      <c r="C563" s="8"/>
      <c r="D563" s="8"/>
      <c r="E563" s="81"/>
      <c r="F563" s="34"/>
      <c r="G563" s="34"/>
      <c r="H563" s="34"/>
    </row>
    <row r="564" spans="1:8" ht="20">
      <c r="A564" s="200"/>
      <c r="B564" s="8"/>
      <c r="C564" s="8"/>
      <c r="D564" s="8"/>
      <c r="E564" s="81"/>
      <c r="F564" s="34"/>
      <c r="G564" s="34"/>
      <c r="H564" s="34"/>
    </row>
    <row r="565" spans="1:8" ht="20">
      <c r="A565" s="200"/>
      <c r="B565" s="8"/>
      <c r="C565" s="8"/>
      <c r="D565" s="8"/>
      <c r="E565" s="81"/>
      <c r="F565" s="34"/>
      <c r="G565" s="34"/>
      <c r="H565" s="34"/>
    </row>
    <row r="566" spans="1:8" ht="20">
      <c r="A566" s="200"/>
      <c r="B566" s="8"/>
      <c r="C566" s="8"/>
      <c r="D566" s="8"/>
      <c r="E566" s="81"/>
      <c r="F566" s="34"/>
      <c r="G566" s="34"/>
      <c r="H566" s="34"/>
    </row>
    <row r="567" spans="1:8" ht="20">
      <c r="A567" s="200"/>
      <c r="B567" s="8"/>
      <c r="C567" s="8"/>
      <c r="D567" s="8"/>
      <c r="E567" s="81"/>
      <c r="F567" s="34"/>
      <c r="G567" s="34"/>
      <c r="H567" s="34"/>
    </row>
    <row r="568" spans="1:8" ht="20">
      <c r="A568" s="200"/>
      <c r="B568" s="8"/>
      <c r="C568" s="8"/>
      <c r="D568" s="8"/>
      <c r="E568" s="81"/>
      <c r="F568" s="34"/>
      <c r="G568" s="34"/>
      <c r="H568" s="34"/>
    </row>
    <row r="569" spans="1:8" ht="20">
      <c r="A569" s="200"/>
      <c r="B569" s="8"/>
      <c r="C569" s="8"/>
      <c r="D569" s="8"/>
      <c r="E569" s="81"/>
      <c r="F569" s="34"/>
      <c r="G569" s="34"/>
      <c r="H569" s="34"/>
    </row>
    <row r="570" spans="1:8" ht="20">
      <c r="A570" s="200"/>
      <c r="B570" s="8"/>
      <c r="C570" s="8"/>
      <c r="D570" s="8"/>
      <c r="E570" s="81"/>
      <c r="F570" s="34"/>
      <c r="G570" s="34"/>
      <c r="H570" s="34"/>
    </row>
    <row r="571" spans="1:8" ht="20">
      <c r="A571" s="200"/>
      <c r="B571" s="8"/>
      <c r="C571" s="8"/>
      <c r="D571" s="8"/>
      <c r="E571" s="81"/>
      <c r="F571" s="34"/>
      <c r="G571" s="34"/>
      <c r="H571" s="34"/>
    </row>
    <row r="572" spans="1:8" ht="20">
      <c r="A572" s="200"/>
      <c r="B572" s="8"/>
      <c r="C572" s="8"/>
      <c r="D572" s="8"/>
      <c r="E572" s="81"/>
      <c r="F572" s="34"/>
      <c r="G572" s="34"/>
      <c r="H572" s="34"/>
    </row>
    <row r="573" spans="1:8" ht="20">
      <c r="A573" s="200"/>
      <c r="B573" s="8"/>
      <c r="C573" s="8"/>
      <c r="D573" s="8"/>
      <c r="E573" s="81"/>
      <c r="F573" s="34"/>
      <c r="G573" s="34"/>
      <c r="H573" s="34"/>
    </row>
    <row r="574" spans="1:8" ht="20">
      <c r="A574" s="200"/>
      <c r="B574" s="8"/>
      <c r="C574" s="8"/>
      <c r="D574" s="8"/>
      <c r="E574" s="81"/>
      <c r="F574" s="34"/>
      <c r="G574" s="34"/>
      <c r="H574" s="34"/>
    </row>
    <row r="575" spans="1:8" ht="20">
      <c r="A575" s="200"/>
      <c r="B575" s="8"/>
      <c r="C575" s="8"/>
      <c r="D575" s="8"/>
      <c r="E575" s="81"/>
      <c r="F575" s="34"/>
      <c r="G575" s="34"/>
      <c r="H575" s="34"/>
    </row>
    <row r="576" spans="1:8" ht="20">
      <c r="A576" s="200"/>
      <c r="B576" s="8"/>
      <c r="C576" s="8"/>
      <c r="D576" s="8"/>
      <c r="E576" s="81"/>
      <c r="F576" s="34"/>
      <c r="G576" s="34"/>
      <c r="H576" s="34"/>
    </row>
    <row r="577" spans="1:8" ht="20">
      <c r="A577" s="200"/>
      <c r="B577" s="8"/>
      <c r="C577" s="8"/>
      <c r="D577" s="8"/>
      <c r="E577" s="81"/>
      <c r="F577" s="34"/>
      <c r="G577" s="34"/>
      <c r="H577" s="34"/>
    </row>
    <row r="578" spans="1:8" ht="20">
      <c r="A578" s="200"/>
      <c r="B578" s="8"/>
      <c r="C578" s="8"/>
      <c r="D578" s="8"/>
      <c r="E578" s="81"/>
      <c r="F578" s="34"/>
      <c r="G578" s="34"/>
      <c r="H578" s="34"/>
    </row>
    <row r="579" spans="1:8" ht="20">
      <c r="A579" s="200"/>
      <c r="B579" s="8"/>
      <c r="C579" s="8"/>
      <c r="D579" s="8"/>
      <c r="E579" s="81"/>
      <c r="F579" s="34"/>
      <c r="G579" s="34"/>
      <c r="H579" s="34"/>
    </row>
    <row r="580" spans="1:8" ht="20">
      <c r="A580" s="200"/>
      <c r="B580" s="8"/>
      <c r="C580" s="8"/>
      <c r="D580" s="8"/>
      <c r="E580" s="81"/>
      <c r="F580" s="34"/>
      <c r="G580" s="34"/>
      <c r="H580" s="34"/>
    </row>
    <row r="581" spans="1:8" ht="20">
      <c r="A581" s="200"/>
      <c r="B581" s="8"/>
      <c r="C581" s="8"/>
      <c r="D581" s="8"/>
      <c r="E581" s="81"/>
      <c r="F581" s="34"/>
      <c r="G581" s="34"/>
      <c r="H581" s="34"/>
    </row>
    <row r="582" spans="1:8" ht="20">
      <c r="A582" s="200"/>
      <c r="B582" s="8"/>
      <c r="C582" s="8"/>
      <c r="D582" s="8"/>
      <c r="E582" s="81"/>
      <c r="F582" s="34"/>
      <c r="G582" s="34"/>
      <c r="H582" s="34"/>
    </row>
    <row r="583" spans="1:8" ht="20">
      <c r="A583" s="200"/>
      <c r="B583" s="8"/>
      <c r="C583" s="8"/>
      <c r="D583" s="8"/>
      <c r="E583" s="81"/>
      <c r="F583" s="34"/>
      <c r="G583" s="34"/>
      <c r="H583" s="34"/>
    </row>
    <row r="584" spans="1:8" ht="20">
      <c r="A584" s="200"/>
      <c r="B584" s="8"/>
      <c r="C584" s="8"/>
      <c r="D584" s="8"/>
      <c r="E584" s="81"/>
      <c r="F584" s="34"/>
      <c r="G584" s="34"/>
      <c r="H584" s="34"/>
    </row>
    <row r="585" spans="1:8" ht="20">
      <c r="A585" s="200"/>
      <c r="B585" s="8"/>
      <c r="C585" s="8"/>
      <c r="D585" s="8"/>
      <c r="E585" s="81"/>
      <c r="F585" s="34"/>
      <c r="G585" s="34"/>
      <c r="H585" s="34"/>
    </row>
    <row r="586" spans="1:8" ht="20">
      <c r="A586" s="200"/>
      <c r="B586" s="8"/>
      <c r="C586" s="8"/>
      <c r="D586" s="8"/>
      <c r="E586" s="81"/>
      <c r="F586" s="34"/>
      <c r="G586" s="34"/>
      <c r="H586" s="34"/>
    </row>
    <row r="587" spans="1:8" ht="20">
      <c r="A587" s="200"/>
      <c r="B587" s="8"/>
      <c r="C587" s="8"/>
      <c r="D587" s="8"/>
      <c r="E587" s="81"/>
      <c r="F587" s="34"/>
      <c r="G587" s="34"/>
      <c r="H587" s="34"/>
    </row>
    <row r="588" spans="1:8" ht="20">
      <c r="A588" s="200"/>
      <c r="B588" s="8"/>
      <c r="C588" s="8"/>
      <c r="D588" s="8"/>
      <c r="E588" s="81"/>
      <c r="F588" s="34"/>
      <c r="G588" s="34"/>
      <c r="H588" s="34"/>
    </row>
    <row r="589" spans="1:8" ht="20">
      <c r="A589" s="200"/>
      <c r="B589" s="8"/>
      <c r="C589" s="8"/>
      <c r="D589" s="8"/>
      <c r="E589" s="81"/>
      <c r="F589" s="34"/>
      <c r="G589" s="34"/>
      <c r="H589" s="34"/>
    </row>
    <row r="590" spans="1:8" ht="20">
      <c r="A590" s="200"/>
      <c r="B590" s="8"/>
      <c r="C590" s="8"/>
      <c r="D590" s="8"/>
      <c r="E590" s="81"/>
      <c r="F590" s="34"/>
      <c r="G590" s="34"/>
      <c r="H590" s="34"/>
    </row>
    <row r="591" spans="1:8" ht="20">
      <c r="A591" s="200"/>
      <c r="B591" s="8"/>
      <c r="C591" s="8"/>
      <c r="D591" s="8"/>
      <c r="E591" s="81"/>
      <c r="F591" s="34"/>
      <c r="G591" s="34"/>
      <c r="H591" s="34"/>
    </row>
    <row r="592" spans="1:8" ht="20">
      <c r="A592" s="200"/>
      <c r="B592" s="8"/>
      <c r="C592" s="8"/>
      <c r="D592" s="8"/>
      <c r="E592" s="81"/>
      <c r="F592" s="34"/>
      <c r="G592" s="34"/>
      <c r="H592" s="34"/>
    </row>
    <row r="593" spans="1:8" ht="20">
      <c r="A593" s="200"/>
      <c r="B593" s="8"/>
      <c r="C593" s="8"/>
      <c r="D593" s="8"/>
      <c r="E593" s="81"/>
      <c r="F593" s="34"/>
      <c r="G593" s="34"/>
      <c r="H593" s="34"/>
    </row>
    <row r="594" spans="1:8" ht="20">
      <c r="A594" s="200"/>
      <c r="B594" s="8"/>
      <c r="C594" s="8"/>
      <c r="D594" s="8"/>
      <c r="E594" s="81"/>
      <c r="F594" s="34"/>
      <c r="G594" s="34"/>
      <c r="H594" s="34"/>
    </row>
    <row r="595" spans="1:8" ht="20">
      <c r="A595" s="200"/>
      <c r="B595" s="8"/>
      <c r="C595" s="8"/>
      <c r="D595" s="8"/>
      <c r="E595" s="81"/>
      <c r="F595" s="34"/>
      <c r="G595" s="34"/>
      <c r="H595" s="34"/>
    </row>
    <row r="596" spans="1:8" ht="20">
      <c r="A596" s="200"/>
      <c r="B596" s="8"/>
      <c r="C596" s="8"/>
      <c r="D596" s="8"/>
      <c r="E596" s="81"/>
      <c r="F596" s="34"/>
      <c r="G596" s="34"/>
      <c r="H596" s="34"/>
    </row>
    <row r="597" spans="1:8" ht="20">
      <c r="A597" s="200"/>
      <c r="B597" s="8"/>
      <c r="C597" s="8"/>
      <c r="D597" s="8"/>
      <c r="E597" s="81"/>
      <c r="F597" s="34"/>
      <c r="G597" s="34"/>
      <c r="H597" s="34"/>
    </row>
    <row r="598" spans="1:8" ht="20">
      <c r="A598" s="200"/>
      <c r="B598" s="8"/>
      <c r="C598" s="8"/>
      <c r="D598" s="8"/>
      <c r="E598" s="81"/>
      <c r="F598" s="34"/>
      <c r="G598" s="34"/>
      <c r="H598" s="34"/>
    </row>
    <row r="599" spans="1:8" ht="20">
      <c r="A599" s="200"/>
      <c r="B599" s="8"/>
      <c r="C599" s="8"/>
      <c r="D599" s="8"/>
      <c r="E599" s="81"/>
      <c r="F599" s="34"/>
      <c r="G599" s="34"/>
      <c r="H599" s="34"/>
    </row>
    <row r="600" spans="1:8" ht="20">
      <c r="A600" s="200"/>
      <c r="B600" s="8"/>
      <c r="C600" s="8"/>
      <c r="D600" s="8"/>
      <c r="E600" s="81"/>
      <c r="F600" s="34"/>
      <c r="G600" s="34"/>
      <c r="H600" s="34"/>
    </row>
    <row r="601" spans="1:8" ht="20">
      <c r="A601" s="200"/>
      <c r="B601" s="8"/>
      <c r="C601" s="8"/>
      <c r="D601" s="8"/>
      <c r="E601" s="81"/>
      <c r="F601" s="34"/>
      <c r="G601" s="34"/>
      <c r="H601" s="34"/>
    </row>
    <row r="602" spans="1:8" ht="20">
      <c r="A602" s="200"/>
      <c r="B602" s="8"/>
      <c r="C602" s="8"/>
      <c r="D602" s="8"/>
      <c r="E602" s="81"/>
      <c r="F602" s="34"/>
      <c r="G602" s="34"/>
      <c r="H602" s="34"/>
    </row>
    <row r="603" spans="1:8" ht="20">
      <c r="A603" s="200"/>
      <c r="B603" s="8"/>
      <c r="C603" s="8"/>
      <c r="D603" s="8"/>
      <c r="E603" s="81"/>
      <c r="F603" s="34"/>
      <c r="G603" s="34"/>
      <c r="H603" s="34"/>
    </row>
    <row r="604" spans="1:8" ht="20">
      <c r="A604" s="200"/>
      <c r="B604" s="8"/>
      <c r="C604" s="8"/>
      <c r="D604" s="8"/>
      <c r="E604" s="81"/>
      <c r="F604" s="34"/>
      <c r="G604" s="34"/>
      <c r="H604" s="34"/>
    </row>
    <row r="605" spans="1:8" ht="20">
      <c r="A605" s="200"/>
      <c r="B605" s="8"/>
      <c r="C605" s="8"/>
      <c r="D605" s="8"/>
      <c r="E605" s="81"/>
      <c r="F605" s="34"/>
      <c r="G605" s="34"/>
      <c r="H605" s="34"/>
    </row>
    <row r="606" spans="1:8" ht="20">
      <c r="A606" s="200"/>
      <c r="B606" s="8"/>
      <c r="C606" s="8"/>
      <c r="D606" s="8"/>
      <c r="E606" s="81"/>
      <c r="F606" s="34"/>
      <c r="G606" s="34"/>
      <c r="H606" s="34"/>
    </row>
    <row r="607" spans="1:8" ht="20">
      <c r="A607" s="200"/>
      <c r="B607" s="8"/>
      <c r="C607" s="8"/>
      <c r="D607" s="8"/>
      <c r="E607" s="81"/>
      <c r="F607" s="34"/>
      <c r="G607" s="34"/>
      <c r="H607" s="34"/>
    </row>
    <row r="608" spans="1:8" ht="20">
      <c r="A608" s="200"/>
      <c r="B608" s="8"/>
      <c r="C608" s="8"/>
      <c r="D608" s="8"/>
      <c r="E608" s="81"/>
      <c r="F608" s="34"/>
      <c r="G608" s="34"/>
      <c r="H608" s="34"/>
    </row>
    <row r="609" spans="1:8" ht="20">
      <c r="A609" s="200"/>
      <c r="B609" s="8"/>
      <c r="C609" s="8"/>
      <c r="D609" s="8"/>
      <c r="E609" s="81"/>
      <c r="F609" s="34"/>
      <c r="G609" s="34"/>
      <c r="H609" s="34"/>
    </row>
    <row r="610" spans="1:8" ht="20">
      <c r="A610" s="200"/>
      <c r="B610" s="8"/>
      <c r="C610" s="8"/>
      <c r="D610" s="8"/>
      <c r="E610" s="81"/>
      <c r="F610" s="34"/>
      <c r="G610" s="34"/>
      <c r="H610" s="34"/>
    </row>
    <row r="611" spans="1:8" ht="20">
      <c r="A611" s="200"/>
      <c r="B611" s="8"/>
      <c r="C611" s="8"/>
      <c r="D611" s="8"/>
      <c r="E611" s="81"/>
      <c r="F611" s="34"/>
      <c r="G611" s="34"/>
      <c r="H611" s="34"/>
    </row>
    <row r="612" spans="1:8" ht="20">
      <c r="A612" s="200"/>
      <c r="B612" s="8"/>
      <c r="C612" s="8"/>
      <c r="D612" s="8"/>
      <c r="E612" s="81"/>
      <c r="F612" s="34"/>
      <c r="G612" s="34"/>
      <c r="H612" s="34"/>
    </row>
    <row r="613" spans="1:8" ht="20">
      <c r="A613" s="200"/>
      <c r="B613" s="8"/>
      <c r="C613" s="8"/>
      <c r="D613" s="8"/>
      <c r="E613" s="81"/>
      <c r="F613" s="34"/>
      <c r="G613" s="34"/>
      <c r="H613" s="34"/>
    </row>
    <row r="614" spans="1:8" ht="20">
      <c r="A614" s="200"/>
      <c r="B614" s="8"/>
      <c r="C614" s="8"/>
      <c r="D614" s="8"/>
      <c r="E614" s="81"/>
      <c r="F614" s="34"/>
      <c r="G614" s="34"/>
      <c r="H614" s="34"/>
    </row>
    <row r="615" spans="1:8" ht="20">
      <c r="A615" s="200"/>
      <c r="B615" s="8"/>
      <c r="C615" s="8"/>
      <c r="D615" s="8"/>
      <c r="E615" s="81"/>
      <c r="F615" s="34"/>
      <c r="G615" s="34"/>
      <c r="H615" s="34"/>
    </row>
    <row r="616" spans="1:8" ht="20">
      <c r="A616" s="200"/>
      <c r="B616" s="8"/>
      <c r="C616" s="8"/>
      <c r="D616" s="8"/>
      <c r="E616" s="81"/>
      <c r="F616" s="34"/>
      <c r="G616" s="34"/>
      <c r="H616" s="34"/>
    </row>
    <row r="617" spans="1:8" ht="20">
      <c r="A617" s="200"/>
      <c r="B617" s="8"/>
      <c r="C617" s="8"/>
      <c r="D617" s="8"/>
      <c r="E617" s="81"/>
      <c r="F617" s="34"/>
      <c r="G617" s="34"/>
      <c r="H617" s="34"/>
    </row>
    <row r="618" spans="1:8" ht="20">
      <c r="A618" s="200"/>
      <c r="B618" s="8"/>
      <c r="C618" s="8"/>
      <c r="D618" s="8"/>
      <c r="E618" s="81"/>
      <c r="F618" s="34"/>
      <c r="G618" s="34"/>
      <c r="H618" s="34"/>
    </row>
    <row r="619" spans="1:8" ht="20">
      <c r="A619" s="200"/>
      <c r="B619" s="8"/>
      <c r="C619" s="8"/>
      <c r="D619" s="8"/>
      <c r="E619" s="81"/>
      <c r="F619" s="34"/>
      <c r="G619" s="34"/>
      <c r="H619" s="34"/>
    </row>
    <row r="620" spans="1:8" ht="20">
      <c r="A620" s="200"/>
      <c r="B620" s="8"/>
      <c r="C620" s="8"/>
      <c r="D620" s="8"/>
      <c r="E620" s="81"/>
      <c r="F620" s="34"/>
      <c r="G620" s="34"/>
      <c r="H620" s="34"/>
    </row>
    <row r="621" spans="1:8" ht="20">
      <c r="A621" s="200"/>
      <c r="B621" s="8"/>
      <c r="C621" s="8"/>
      <c r="D621" s="8"/>
      <c r="E621" s="81"/>
      <c r="F621" s="34"/>
      <c r="G621" s="34"/>
      <c r="H621" s="34"/>
    </row>
    <row r="622" spans="1:8" ht="20">
      <c r="A622" s="200"/>
      <c r="B622" s="8"/>
      <c r="C622" s="8"/>
      <c r="D622" s="8"/>
      <c r="E622" s="81"/>
      <c r="F622" s="34"/>
      <c r="G622" s="34"/>
      <c r="H622" s="34"/>
    </row>
    <row r="623" spans="1:8" ht="20">
      <c r="A623" s="200"/>
      <c r="B623" s="8"/>
      <c r="C623" s="8"/>
      <c r="D623" s="8"/>
      <c r="E623" s="81"/>
      <c r="F623" s="34"/>
      <c r="G623" s="34"/>
      <c r="H623" s="34"/>
    </row>
    <row r="624" spans="1:8" ht="20">
      <c r="A624" s="200"/>
      <c r="B624" s="8"/>
      <c r="C624" s="8"/>
      <c r="D624" s="8"/>
      <c r="E624" s="81"/>
      <c r="F624" s="34"/>
      <c r="G624" s="34"/>
      <c r="H624" s="34"/>
    </row>
    <row r="625" spans="1:8" ht="20">
      <c r="A625" s="200"/>
      <c r="B625" s="8"/>
      <c r="C625" s="8"/>
      <c r="D625" s="8"/>
      <c r="E625" s="81"/>
      <c r="F625" s="34"/>
      <c r="G625" s="34"/>
      <c r="H625" s="34"/>
    </row>
    <row r="626" spans="1:8" ht="20">
      <c r="A626" s="200"/>
      <c r="B626" s="8"/>
      <c r="C626" s="8"/>
      <c r="D626" s="8"/>
      <c r="E626" s="81"/>
      <c r="F626" s="34"/>
      <c r="G626" s="34"/>
      <c r="H626" s="34"/>
    </row>
    <row r="627" spans="1:8" ht="20">
      <c r="A627" s="200"/>
      <c r="B627" s="8"/>
      <c r="C627" s="8"/>
      <c r="D627" s="8"/>
      <c r="E627" s="81"/>
      <c r="F627" s="34"/>
      <c r="G627" s="34"/>
      <c r="H627" s="34"/>
    </row>
    <row r="628" spans="1:8" ht="20">
      <c r="A628" s="200"/>
      <c r="B628" s="8"/>
      <c r="C628" s="8"/>
      <c r="D628" s="8"/>
      <c r="E628" s="81"/>
      <c r="F628" s="34"/>
      <c r="G628" s="34"/>
      <c r="H628" s="34"/>
    </row>
    <row r="629" spans="1:8" ht="20">
      <c r="A629" s="200"/>
      <c r="B629" s="8"/>
      <c r="C629" s="8"/>
      <c r="D629" s="8"/>
      <c r="E629" s="81"/>
      <c r="F629" s="34"/>
      <c r="G629" s="34"/>
      <c r="H629" s="34"/>
    </row>
    <row r="630" spans="1:8" ht="20">
      <c r="A630" s="200"/>
      <c r="B630" s="8"/>
      <c r="C630" s="8"/>
      <c r="D630" s="8"/>
      <c r="E630" s="81"/>
      <c r="F630" s="34"/>
      <c r="G630" s="34"/>
      <c r="H630" s="34"/>
    </row>
    <row r="631" spans="1:8" ht="20">
      <c r="A631" s="200"/>
      <c r="B631" s="8"/>
      <c r="C631" s="8"/>
      <c r="D631" s="8"/>
      <c r="E631" s="81"/>
      <c r="F631" s="34"/>
      <c r="G631" s="34"/>
      <c r="H631" s="34"/>
    </row>
    <row r="632" spans="1:8" ht="20">
      <c r="A632" s="200"/>
      <c r="B632" s="8"/>
      <c r="C632" s="8"/>
      <c r="D632" s="8"/>
      <c r="E632" s="81"/>
      <c r="F632" s="34"/>
      <c r="G632" s="34"/>
      <c r="H632" s="34"/>
    </row>
    <row r="633" spans="1:8" ht="20">
      <c r="A633" s="200"/>
      <c r="B633" s="8"/>
      <c r="C633" s="8"/>
      <c r="D633" s="8"/>
      <c r="E633" s="81"/>
      <c r="F633" s="34"/>
      <c r="G633" s="34"/>
      <c r="H633" s="34"/>
    </row>
    <row r="634" spans="1:8" ht="20">
      <c r="A634" s="200"/>
      <c r="B634" s="8"/>
      <c r="C634" s="8"/>
      <c r="D634" s="8"/>
      <c r="E634" s="81"/>
      <c r="F634" s="34"/>
      <c r="G634" s="34"/>
      <c r="H634" s="34"/>
    </row>
    <row r="635" spans="1:8" ht="20">
      <c r="A635" s="200"/>
      <c r="B635" s="8"/>
      <c r="C635" s="8"/>
      <c r="D635" s="8"/>
      <c r="E635" s="81"/>
      <c r="F635" s="34"/>
      <c r="G635" s="34"/>
      <c r="H635" s="34"/>
    </row>
    <row r="636" spans="1:8" ht="20">
      <c r="A636" s="200"/>
      <c r="B636" s="8"/>
      <c r="C636" s="8"/>
      <c r="D636" s="8"/>
      <c r="E636" s="81"/>
      <c r="F636" s="34"/>
      <c r="G636" s="34"/>
      <c r="H636" s="34"/>
    </row>
    <row r="637" spans="1:8" ht="20">
      <c r="A637" s="200"/>
      <c r="B637" s="8"/>
      <c r="C637" s="8"/>
      <c r="D637" s="8"/>
      <c r="E637" s="81"/>
      <c r="F637" s="34"/>
      <c r="G637" s="34"/>
      <c r="H637" s="34"/>
    </row>
    <row r="638" spans="1:8" ht="20">
      <c r="A638" s="200"/>
      <c r="B638" s="8"/>
      <c r="C638" s="8"/>
      <c r="D638" s="8"/>
      <c r="E638" s="81"/>
      <c r="F638" s="34"/>
      <c r="G638" s="34"/>
      <c r="H638" s="34"/>
    </row>
    <row r="639" spans="1:8" ht="20">
      <c r="A639" s="200"/>
      <c r="B639" s="8"/>
      <c r="C639" s="8"/>
      <c r="D639" s="8"/>
      <c r="E639" s="81"/>
      <c r="F639" s="34"/>
      <c r="G639" s="34"/>
      <c r="H639" s="34"/>
    </row>
    <row r="640" spans="1:8" ht="20">
      <c r="A640" s="200"/>
      <c r="B640" s="8"/>
      <c r="C640" s="8"/>
      <c r="D640" s="8"/>
      <c r="E640" s="81"/>
      <c r="F640" s="34"/>
      <c r="G640" s="34"/>
      <c r="H640" s="34"/>
    </row>
    <row r="641" spans="1:8" ht="20">
      <c r="A641" s="200"/>
      <c r="B641" s="8"/>
      <c r="C641" s="8"/>
      <c r="D641" s="8"/>
      <c r="E641" s="81"/>
      <c r="F641" s="34"/>
      <c r="G641" s="34"/>
      <c r="H641" s="34"/>
    </row>
    <row r="642" spans="1:8" ht="20">
      <c r="A642" s="200"/>
      <c r="B642" s="8"/>
      <c r="C642" s="8"/>
      <c r="D642" s="8"/>
      <c r="E642" s="81"/>
      <c r="F642" s="34"/>
      <c r="G642" s="34"/>
      <c r="H642" s="34"/>
    </row>
    <row r="643" spans="1:8" ht="20">
      <c r="A643" s="200"/>
      <c r="B643" s="8"/>
      <c r="C643" s="8"/>
      <c r="D643" s="8"/>
      <c r="E643" s="81"/>
      <c r="F643" s="34"/>
      <c r="G643" s="34"/>
      <c r="H643" s="34"/>
    </row>
    <row r="644" spans="1:8" ht="20">
      <c r="A644" s="200"/>
      <c r="B644" s="8"/>
      <c r="C644" s="8"/>
      <c r="D644" s="8"/>
      <c r="E644" s="81"/>
      <c r="F644" s="34"/>
      <c r="G644" s="34"/>
      <c r="H644" s="34"/>
    </row>
    <row r="645" spans="1:8" ht="20">
      <c r="A645" s="200"/>
      <c r="B645" s="8"/>
      <c r="C645" s="8"/>
      <c r="D645" s="8"/>
      <c r="E645" s="81"/>
      <c r="F645" s="34"/>
      <c r="G645" s="34"/>
      <c r="H645" s="34"/>
    </row>
    <row r="646" spans="1:8" ht="20">
      <c r="A646" s="200"/>
      <c r="B646" s="8"/>
      <c r="C646" s="8"/>
      <c r="D646" s="8"/>
      <c r="E646" s="81"/>
      <c r="F646" s="34"/>
      <c r="G646" s="34"/>
      <c r="H646" s="34"/>
    </row>
    <row r="647" spans="1:8" ht="20">
      <c r="A647" s="200"/>
      <c r="B647" s="8"/>
      <c r="C647" s="8"/>
      <c r="D647" s="8"/>
      <c r="E647" s="81"/>
      <c r="F647" s="34"/>
      <c r="G647" s="34"/>
      <c r="H647" s="34"/>
    </row>
    <row r="648" spans="1:8" ht="20">
      <c r="A648" s="200"/>
      <c r="B648" s="8"/>
      <c r="C648" s="8"/>
      <c r="D648" s="8"/>
      <c r="E648" s="81"/>
      <c r="F648" s="34"/>
      <c r="G648" s="34"/>
      <c r="H648" s="34"/>
    </row>
    <row r="649" spans="1:8" ht="20">
      <c r="A649" s="200"/>
      <c r="B649" s="8"/>
      <c r="C649" s="8"/>
      <c r="D649" s="8"/>
      <c r="E649" s="81"/>
      <c r="F649" s="34"/>
      <c r="G649" s="34"/>
      <c r="H649" s="34"/>
    </row>
    <row r="650" spans="1:8" ht="20">
      <c r="A650" s="200"/>
      <c r="B650" s="8"/>
      <c r="C650" s="8"/>
      <c r="D650" s="8"/>
      <c r="E650" s="81"/>
      <c r="F650" s="34"/>
      <c r="G650" s="34"/>
      <c r="H650" s="34"/>
    </row>
    <row r="651" spans="1:8" ht="20">
      <c r="A651" s="200"/>
      <c r="B651" s="8"/>
      <c r="C651" s="8"/>
      <c r="D651" s="8"/>
      <c r="E651" s="81"/>
      <c r="F651" s="34"/>
      <c r="G651" s="34"/>
      <c r="H651" s="34"/>
    </row>
    <row r="652" spans="1:8" ht="20">
      <c r="A652" s="200"/>
      <c r="B652" s="8"/>
      <c r="C652" s="8"/>
      <c r="D652" s="8"/>
      <c r="E652" s="81"/>
      <c r="F652" s="34"/>
      <c r="G652" s="34"/>
      <c r="H652" s="34"/>
    </row>
    <row r="653" spans="1:8" ht="20">
      <c r="A653" s="200"/>
      <c r="B653" s="8"/>
      <c r="C653" s="8"/>
      <c r="D653" s="8"/>
      <c r="E653" s="81"/>
      <c r="F653" s="34"/>
      <c r="G653" s="34"/>
      <c r="H653" s="34"/>
    </row>
    <row r="654" spans="1:8" ht="20">
      <c r="A654" s="200"/>
      <c r="B654" s="8"/>
      <c r="C654" s="8"/>
      <c r="D654" s="8"/>
      <c r="E654" s="81"/>
      <c r="F654" s="34"/>
      <c r="G654" s="34"/>
      <c r="H654" s="34"/>
    </row>
    <row r="655" spans="1:8" ht="20">
      <c r="A655" s="200"/>
      <c r="B655" s="8"/>
      <c r="C655" s="8"/>
      <c r="D655" s="8"/>
      <c r="E655" s="81"/>
      <c r="F655" s="34"/>
      <c r="G655" s="34"/>
      <c r="H655" s="34"/>
    </row>
    <row r="656" spans="1:8" ht="20">
      <c r="A656" s="200"/>
      <c r="B656" s="8"/>
      <c r="C656" s="8"/>
      <c r="D656" s="8"/>
      <c r="E656" s="81"/>
      <c r="F656" s="34"/>
      <c r="G656" s="34"/>
      <c r="H656" s="34"/>
    </row>
    <row r="657" spans="1:8" ht="20">
      <c r="A657" s="200"/>
      <c r="B657" s="8"/>
      <c r="C657" s="8"/>
      <c r="D657" s="8"/>
      <c r="E657" s="81"/>
      <c r="F657" s="34"/>
      <c r="G657" s="34"/>
      <c r="H657" s="34"/>
    </row>
    <row r="658" spans="1:8" ht="20">
      <c r="A658" s="200"/>
      <c r="B658" s="8"/>
      <c r="C658" s="8"/>
      <c r="D658" s="8"/>
      <c r="E658" s="81"/>
      <c r="F658" s="34"/>
      <c r="G658" s="34"/>
      <c r="H658" s="34"/>
    </row>
    <row r="659" spans="1:8" ht="20">
      <c r="A659" s="200"/>
      <c r="B659" s="8"/>
      <c r="C659" s="8"/>
      <c r="D659" s="8"/>
      <c r="E659" s="81"/>
      <c r="F659" s="34"/>
      <c r="G659" s="34"/>
      <c r="H659" s="34"/>
    </row>
    <row r="660" spans="1:8" ht="20">
      <c r="A660" s="200"/>
      <c r="B660" s="8"/>
      <c r="C660" s="8"/>
      <c r="D660" s="8"/>
      <c r="E660" s="81"/>
      <c r="F660" s="34"/>
      <c r="G660" s="34"/>
      <c r="H660" s="34"/>
    </row>
    <row r="661" spans="1:8" ht="20">
      <c r="A661" s="200"/>
      <c r="B661" s="8"/>
      <c r="C661" s="8"/>
      <c r="D661" s="8"/>
      <c r="E661" s="81"/>
      <c r="F661" s="34"/>
      <c r="G661" s="34"/>
      <c r="H661" s="34"/>
    </row>
    <row r="662" spans="1:8" ht="20">
      <c r="A662" s="200"/>
      <c r="B662" s="8"/>
      <c r="C662" s="8"/>
      <c r="D662" s="8"/>
      <c r="E662" s="81"/>
      <c r="F662" s="34"/>
      <c r="G662" s="34"/>
      <c r="H662" s="34"/>
    </row>
    <row r="663" spans="1:8" ht="20">
      <c r="A663" s="200"/>
      <c r="B663" s="8"/>
      <c r="C663" s="8"/>
      <c r="D663" s="8"/>
      <c r="E663" s="81"/>
      <c r="F663" s="34"/>
      <c r="G663" s="34"/>
      <c r="H663" s="34"/>
    </row>
    <row r="664" spans="1:8" ht="20">
      <c r="A664" s="200"/>
      <c r="B664" s="8"/>
      <c r="C664" s="8"/>
      <c r="D664" s="8"/>
      <c r="E664" s="81"/>
      <c r="F664" s="34"/>
      <c r="G664" s="34"/>
      <c r="H664" s="34"/>
    </row>
    <row r="665" spans="1:8" ht="20">
      <c r="A665" s="200"/>
      <c r="B665" s="8"/>
      <c r="C665" s="8"/>
      <c r="D665" s="8"/>
      <c r="E665" s="81"/>
      <c r="F665" s="34"/>
      <c r="G665" s="34"/>
      <c r="H665" s="34"/>
    </row>
    <row r="666" spans="1:8" ht="20">
      <c r="A666" s="200"/>
      <c r="B666" s="8"/>
      <c r="C666" s="8"/>
      <c r="D666" s="8"/>
      <c r="E666" s="81"/>
      <c r="F666" s="34"/>
      <c r="G666" s="34"/>
      <c r="H666" s="34"/>
    </row>
    <row r="667" spans="1:8" ht="20">
      <c r="A667" s="200"/>
      <c r="B667" s="8"/>
      <c r="C667" s="8"/>
      <c r="D667" s="8"/>
      <c r="E667" s="81"/>
      <c r="F667" s="34"/>
      <c r="G667" s="34"/>
      <c r="H667" s="34"/>
    </row>
    <row r="668" spans="1:8" ht="20">
      <c r="A668" s="200"/>
      <c r="B668" s="8"/>
      <c r="C668" s="8"/>
      <c r="D668" s="8"/>
      <c r="E668" s="81"/>
      <c r="F668" s="34"/>
      <c r="G668" s="34"/>
      <c r="H668" s="34"/>
    </row>
    <row r="669" spans="1:8" ht="20">
      <c r="A669" s="200"/>
      <c r="B669" s="8"/>
      <c r="C669" s="8"/>
      <c r="D669" s="8"/>
      <c r="E669" s="81"/>
      <c r="F669" s="34"/>
      <c r="G669" s="34"/>
      <c r="H669" s="34"/>
    </row>
    <row r="670" spans="1:8" ht="20">
      <c r="A670" s="200"/>
      <c r="B670" s="8"/>
      <c r="C670" s="8"/>
      <c r="D670" s="8"/>
      <c r="E670" s="81"/>
      <c r="F670" s="34"/>
      <c r="G670" s="34"/>
      <c r="H670" s="34"/>
    </row>
    <row r="671" spans="1:8" ht="20">
      <c r="A671" s="200"/>
      <c r="B671" s="8"/>
      <c r="C671" s="8"/>
      <c r="D671" s="8"/>
      <c r="E671" s="81"/>
      <c r="F671" s="34"/>
      <c r="G671" s="34"/>
      <c r="H671" s="34"/>
    </row>
    <row r="672" spans="1:8" ht="20">
      <c r="A672" s="200"/>
      <c r="B672" s="8"/>
      <c r="C672" s="8"/>
      <c r="D672" s="8"/>
      <c r="E672" s="81"/>
      <c r="F672" s="34"/>
      <c r="G672" s="34"/>
      <c r="H672" s="34"/>
    </row>
    <row r="673" spans="1:8" ht="20">
      <c r="A673" s="200"/>
      <c r="B673" s="8"/>
      <c r="C673" s="8"/>
      <c r="D673" s="8"/>
      <c r="E673" s="81"/>
      <c r="F673" s="34"/>
      <c r="G673" s="34"/>
      <c r="H673" s="34"/>
    </row>
    <row r="674" spans="1:8" ht="20">
      <c r="A674" s="200"/>
      <c r="B674" s="8"/>
      <c r="C674" s="8"/>
      <c r="D674" s="8"/>
      <c r="E674" s="81"/>
      <c r="F674" s="34"/>
      <c r="G674" s="34"/>
      <c r="H674" s="34"/>
    </row>
    <row r="675" spans="1:8" ht="20">
      <c r="A675" s="200"/>
      <c r="B675" s="8"/>
      <c r="C675" s="8"/>
      <c r="D675" s="8"/>
      <c r="E675" s="81"/>
      <c r="F675" s="34"/>
      <c r="G675" s="34"/>
      <c r="H675" s="34"/>
    </row>
    <row r="676" spans="1:8" ht="20">
      <c r="A676" s="200"/>
      <c r="B676" s="8"/>
      <c r="C676" s="8"/>
      <c r="D676" s="8"/>
      <c r="E676" s="81"/>
      <c r="F676" s="34"/>
      <c r="G676" s="34"/>
      <c r="H676" s="34"/>
    </row>
    <row r="677" spans="1:8" ht="20">
      <c r="A677" s="200"/>
      <c r="B677" s="8"/>
      <c r="C677" s="8"/>
      <c r="D677" s="8"/>
      <c r="E677" s="81"/>
      <c r="F677" s="34"/>
      <c r="G677" s="34"/>
      <c r="H677" s="34"/>
    </row>
    <row r="678" spans="1:8" ht="20">
      <c r="A678" s="200"/>
      <c r="B678" s="8"/>
      <c r="C678" s="8"/>
      <c r="D678" s="8"/>
      <c r="E678" s="81"/>
      <c r="F678" s="34"/>
      <c r="G678" s="34"/>
      <c r="H678" s="34"/>
    </row>
    <row r="679" spans="1:8" ht="20">
      <c r="A679" s="200"/>
      <c r="B679" s="8"/>
      <c r="C679" s="8"/>
      <c r="D679" s="8"/>
      <c r="E679" s="81"/>
      <c r="F679" s="34"/>
      <c r="G679" s="34"/>
      <c r="H679" s="34"/>
    </row>
    <row r="680" spans="1:8" ht="20">
      <c r="A680" s="200"/>
      <c r="B680" s="8"/>
      <c r="C680" s="8"/>
      <c r="D680" s="8"/>
      <c r="E680" s="81"/>
      <c r="F680" s="34"/>
      <c r="G680" s="34"/>
      <c r="H680" s="34"/>
    </row>
    <row r="681" spans="1:8" ht="20">
      <c r="A681" s="200"/>
      <c r="B681" s="8"/>
      <c r="C681" s="8"/>
      <c r="D681" s="8"/>
      <c r="E681" s="81"/>
      <c r="F681" s="34"/>
      <c r="G681" s="34"/>
      <c r="H681" s="34"/>
    </row>
    <row r="682" spans="1:8" ht="20">
      <c r="A682" s="200"/>
      <c r="B682" s="8"/>
      <c r="C682" s="8"/>
      <c r="D682" s="8"/>
      <c r="E682" s="81"/>
      <c r="F682" s="34"/>
      <c r="G682" s="34"/>
      <c r="H682" s="34"/>
    </row>
    <row r="683" spans="1:8" ht="20">
      <c r="A683" s="200"/>
      <c r="B683" s="8"/>
      <c r="C683" s="8"/>
      <c r="D683" s="8"/>
      <c r="E683" s="81"/>
      <c r="F683" s="34"/>
      <c r="G683" s="34"/>
      <c r="H683" s="34"/>
    </row>
    <row r="684" spans="1:8" ht="20">
      <c r="A684" s="200"/>
      <c r="B684" s="8"/>
      <c r="C684" s="8"/>
      <c r="D684" s="8"/>
      <c r="E684" s="81"/>
      <c r="F684" s="34"/>
      <c r="G684" s="34"/>
      <c r="H684" s="34"/>
    </row>
    <row r="685" spans="1:8" ht="20">
      <c r="A685" s="200"/>
      <c r="B685" s="8"/>
      <c r="C685" s="8"/>
      <c r="D685" s="8"/>
      <c r="E685" s="81"/>
      <c r="F685" s="34"/>
      <c r="G685" s="34"/>
      <c r="H685" s="34"/>
    </row>
    <row r="686" spans="1:8" ht="20">
      <c r="A686" s="200"/>
      <c r="B686" s="8"/>
      <c r="C686" s="8"/>
      <c r="D686" s="8"/>
      <c r="E686" s="81"/>
      <c r="F686" s="34"/>
      <c r="G686" s="34"/>
      <c r="H686" s="34"/>
    </row>
    <row r="687" spans="1:8" ht="20">
      <c r="A687" s="200"/>
      <c r="B687" s="8"/>
      <c r="C687" s="8"/>
      <c r="D687" s="8"/>
      <c r="E687" s="81"/>
      <c r="F687" s="34"/>
      <c r="G687" s="34"/>
      <c r="H687" s="34"/>
    </row>
    <row r="688" spans="1:8" ht="20">
      <c r="A688" s="200"/>
      <c r="B688" s="8"/>
      <c r="C688" s="8"/>
      <c r="D688" s="8"/>
      <c r="E688" s="81"/>
      <c r="F688" s="34"/>
      <c r="G688" s="34"/>
      <c r="H688" s="34"/>
    </row>
    <row r="689" spans="1:8" ht="20">
      <c r="A689" s="200"/>
      <c r="B689" s="8"/>
      <c r="C689" s="8"/>
      <c r="D689" s="8"/>
      <c r="E689" s="81"/>
      <c r="F689" s="34"/>
      <c r="G689" s="34"/>
      <c r="H689" s="34"/>
    </row>
    <row r="690" spans="1:8" ht="20">
      <c r="A690" s="200"/>
      <c r="B690" s="8"/>
      <c r="C690" s="8"/>
      <c r="D690" s="8"/>
      <c r="E690" s="81"/>
      <c r="F690" s="34"/>
      <c r="G690" s="34"/>
      <c r="H690" s="34"/>
    </row>
    <row r="691" spans="1:8" ht="20">
      <c r="A691" s="200"/>
      <c r="B691" s="8"/>
      <c r="C691" s="8"/>
      <c r="D691" s="8"/>
      <c r="E691" s="81"/>
      <c r="F691" s="34"/>
      <c r="G691" s="34"/>
      <c r="H691" s="34"/>
    </row>
    <row r="692" spans="1:8" ht="20">
      <c r="A692" s="200"/>
      <c r="B692" s="8"/>
      <c r="C692" s="8"/>
      <c r="D692" s="8"/>
      <c r="E692" s="81"/>
      <c r="F692" s="34"/>
      <c r="G692" s="34"/>
      <c r="H692" s="34"/>
    </row>
    <row r="693" spans="1:8" ht="20">
      <c r="A693" s="200"/>
      <c r="B693" s="8"/>
      <c r="C693" s="8"/>
      <c r="D693" s="8"/>
      <c r="E693" s="81"/>
      <c r="F693" s="34"/>
      <c r="G693" s="34"/>
      <c r="H693" s="34"/>
    </row>
    <row r="694" spans="1:8" ht="20">
      <c r="A694" s="200"/>
      <c r="B694" s="8"/>
      <c r="C694" s="8"/>
      <c r="D694" s="8"/>
      <c r="E694" s="81"/>
      <c r="F694" s="34"/>
      <c r="G694" s="34"/>
      <c r="H694" s="34"/>
    </row>
    <row r="695" spans="1:8" ht="20">
      <c r="A695" s="200"/>
      <c r="B695" s="8"/>
      <c r="C695" s="8"/>
      <c r="D695" s="8"/>
      <c r="E695" s="81"/>
      <c r="F695" s="34"/>
      <c r="G695" s="34"/>
      <c r="H695" s="34"/>
    </row>
    <row r="696" spans="1:8" ht="20">
      <c r="A696" s="200"/>
      <c r="B696" s="8"/>
      <c r="C696" s="8"/>
      <c r="D696" s="8"/>
      <c r="E696" s="81"/>
      <c r="F696" s="34"/>
      <c r="G696" s="34"/>
      <c r="H696" s="34"/>
    </row>
    <row r="697" spans="1:8" ht="20">
      <c r="A697" s="200"/>
      <c r="B697" s="8"/>
      <c r="C697" s="8"/>
      <c r="D697" s="8"/>
      <c r="E697" s="81"/>
      <c r="F697" s="34"/>
      <c r="G697" s="34"/>
      <c r="H697" s="34"/>
    </row>
    <row r="698" spans="1:8" ht="20">
      <c r="A698" s="200"/>
      <c r="B698" s="8"/>
      <c r="C698" s="8"/>
      <c r="D698" s="8"/>
      <c r="E698" s="81"/>
      <c r="F698" s="34"/>
      <c r="G698" s="34"/>
      <c r="H698" s="34"/>
    </row>
    <row r="699" spans="1:8" ht="20">
      <c r="A699" s="200"/>
      <c r="B699" s="8"/>
      <c r="C699" s="8"/>
      <c r="D699" s="8"/>
      <c r="E699" s="81"/>
      <c r="F699" s="34"/>
      <c r="G699" s="34"/>
      <c r="H699" s="34"/>
    </row>
    <row r="700" spans="1:8" ht="20">
      <c r="A700" s="200"/>
      <c r="B700" s="8"/>
      <c r="C700" s="8"/>
      <c r="D700" s="8"/>
      <c r="E700" s="81"/>
      <c r="F700" s="34"/>
      <c r="G700" s="34"/>
      <c r="H700" s="34"/>
    </row>
    <row r="701" spans="1:8" ht="20">
      <c r="A701" s="200"/>
      <c r="B701" s="8"/>
      <c r="C701" s="8"/>
      <c r="D701" s="8"/>
      <c r="E701" s="81"/>
      <c r="F701" s="34"/>
      <c r="G701" s="34"/>
      <c r="H701" s="34"/>
    </row>
    <row r="702" spans="1:8" ht="20">
      <c r="A702" s="200"/>
      <c r="B702" s="8"/>
      <c r="C702" s="8"/>
      <c r="D702" s="8"/>
      <c r="E702" s="81"/>
      <c r="F702" s="34"/>
      <c r="G702" s="34"/>
      <c r="H702" s="34"/>
    </row>
    <row r="703" spans="1:8" ht="20">
      <c r="A703" s="200"/>
      <c r="B703" s="8"/>
      <c r="C703" s="8"/>
      <c r="D703" s="8"/>
      <c r="E703" s="81"/>
      <c r="F703" s="34"/>
      <c r="G703" s="34"/>
      <c r="H703" s="34"/>
    </row>
    <row r="704" spans="1:8" ht="20">
      <c r="A704" s="200"/>
      <c r="B704" s="8"/>
      <c r="C704" s="8"/>
      <c r="D704" s="8"/>
      <c r="E704" s="81"/>
      <c r="F704" s="34"/>
      <c r="G704" s="34"/>
      <c r="H704" s="34"/>
    </row>
    <row r="705" spans="1:8" ht="20">
      <c r="A705" s="200"/>
      <c r="B705" s="8"/>
      <c r="C705" s="8"/>
      <c r="D705" s="8"/>
      <c r="E705" s="81"/>
      <c r="F705" s="34"/>
      <c r="G705" s="34"/>
      <c r="H705" s="34"/>
    </row>
    <row r="706" spans="1:8" ht="20">
      <c r="A706" s="200"/>
      <c r="B706" s="8"/>
      <c r="C706" s="8"/>
      <c r="D706" s="8"/>
      <c r="E706" s="81"/>
      <c r="F706" s="34"/>
      <c r="G706" s="34"/>
      <c r="H706" s="34"/>
    </row>
    <row r="707" spans="1:8" ht="20">
      <c r="A707" s="200"/>
      <c r="B707" s="8"/>
      <c r="C707" s="8"/>
      <c r="D707" s="8"/>
      <c r="E707" s="81"/>
      <c r="F707" s="34"/>
      <c r="G707" s="34"/>
      <c r="H707" s="34"/>
    </row>
    <row r="708" spans="1:8" ht="20">
      <c r="A708" s="200"/>
      <c r="B708" s="8"/>
      <c r="C708" s="8"/>
      <c r="D708" s="8"/>
      <c r="E708" s="81"/>
      <c r="F708" s="34"/>
      <c r="G708" s="34"/>
      <c r="H708" s="34"/>
    </row>
    <row r="709" spans="1:8" ht="20">
      <c r="A709" s="200"/>
      <c r="B709" s="8"/>
      <c r="C709" s="8"/>
      <c r="D709" s="8"/>
      <c r="E709" s="81"/>
      <c r="F709" s="34"/>
      <c r="G709" s="34"/>
      <c r="H709" s="34"/>
    </row>
    <row r="710" spans="1:8" ht="20">
      <c r="A710" s="200"/>
      <c r="B710" s="8"/>
      <c r="C710" s="8"/>
      <c r="D710" s="8"/>
      <c r="E710" s="81"/>
      <c r="F710" s="34"/>
      <c r="G710" s="34"/>
      <c r="H710" s="34"/>
    </row>
    <row r="711" spans="1:8" ht="20">
      <c r="A711" s="200"/>
      <c r="B711" s="8"/>
      <c r="C711" s="8"/>
      <c r="D711" s="8"/>
      <c r="E711" s="81"/>
      <c r="F711" s="34"/>
      <c r="G711" s="34"/>
      <c r="H711" s="34"/>
    </row>
    <row r="712" spans="1:8" ht="20">
      <c r="A712" s="200"/>
      <c r="B712" s="8"/>
      <c r="C712" s="8"/>
      <c r="D712" s="8"/>
      <c r="E712" s="81"/>
      <c r="F712" s="34"/>
      <c r="G712" s="34"/>
      <c r="H712" s="34"/>
    </row>
    <row r="713" spans="1:8" ht="20">
      <c r="A713" s="200"/>
      <c r="B713" s="8"/>
      <c r="C713" s="8"/>
      <c r="D713" s="8"/>
      <c r="E713" s="81"/>
      <c r="F713" s="34"/>
      <c r="G713" s="34"/>
      <c r="H713" s="34"/>
    </row>
    <row r="714" spans="1:8" ht="20">
      <c r="A714" s="200"/>
      <c r="B714" s="8"/>
      <c r="C714" s="8"/>
      <c r="D714" s="8"/>
      <c r="E714" s="81"/>
      <c r="F714" s="34"/>
      <c r="G714" s="34"/>
      <c r="H714" s="34"/>
    </row>
    <row r="715" spans="1:8" ht="20">
      <c r="A715" s="200"/>
      <c r="B715" s="8"/>
      <c r="C715" s="8"/>
      <c r="D715" s="8"/>
      <c r="E715" s="81"/>
      <c r="F715" s="34"/>
      <c r="G715" s="34"/>
      <c r="H715" s="34"/>
    </row>
    <row r="716" spans="1:8" ht="20">
      <c r="A716" s="200"/>
      <c r="B716" s="8"/>
      <c r="C716" s="8"/>
      <c r="D716" s="8"/>
      <c r="E716" s="81"/>
      <c r="F716" s="34"/>
      <c r="G716" s="34"/>
      <c r="H716" s="34"/>
    </row>
    <row r="717" spans="1:8" ht="20">
      <c r="A717" s="200"/>
      <c r="B717" s="8"/>
      <c r="C717" s="8"/>
      <c r="D717" s="8"/>
      <c r="E717" s="81"/>
      <c r="F717" s="34"/>
      <c r="G717" s="34"/>
      <c r="H717" s="34"/>
    </row>
    <row r="718" spans="1:8" ht="20">
      <c r="A718" s="200"/>
      <c r="B718" s="8"/>
      <c r="C718" s="8"/>
      <c r="D718" s="8"/>
      <c r="E718" s="81"/>
      <c r="F718" s="34"/>
      <c r="G718" s="34"/>
      <c r="H718" s="34"/>
    </row>
    <row r="719" spans="1:8" ht="20">
      <c r="A719" s="200"/>
      <c r="B719" s="8"/>
      <c r="C719" s="8"/>
      <c r="D719" s="8"/>
      <c r="E719" s="81"/>
      <c r="F719" s="34"/>
      <c r="G719" s="34"/>
      <c r="H719" s="34"/>
    </row>
    <row r="720" spans="1:8" ht="20">
      <c r="A720" s="200"/>
      <c r="B720" s="8"/>
      <c r="C720" s="8"/>
      <c r="D720" s="8"/>
      <c r="E720" s="81"/>
      <c r="F720" s="34"/>
      <c r="G720" s="34"/>
      <c r="H720" s="34"/>
    </row>
    <row r="721" spans="1:8" ht="20">
      <c r="A721" s="200"/>
      <c r="B721" s="8"/>
      <c r="C721" s="8"/>
      <c r="D721" s="8"/>
      <c r="E721" s="81"/>
      <c r="F721" s="34"/>
      <c r="G721" s="34"/>
      <c r="H721" s="34"/>
    </row>
    <row r="722" spans="1:8" ht="20">
      <c r="A722" s="200"/>
      <c r="B722" s="8"/>
      <c r="C722" s="8"/>
      <c r="D722" s="8"/>
      <c r="E722" s="81"/>
      <c r="F722" s="34"/>
      <c r="G722" s="34"/>
      <c r="H722" s="34"/>
    </row>
    <row r="723" spans="1:8" ht="20">
      <c r="A723" s="200"/>
      <c r="B723" s="8"/>
      <c r="C723" s="8"/>
      <c r="D723" s="8"/>
      <c r="E723" s="81"/>
      <c r="F723" s="34"/>
      <c r="G723" s="34"/>
      <c r="H723" s="34"/>
    </row>
    <row r="724" spans="1:8" ht="20">
      <c r="A724" s="200"/>
      <c r="B724" s="8"/>
      <c r="C724" s="8"/>
      <c r="D724" s="8"/>
      <c r="E724" s="81"/>
      <c r="F724" s="34"/>
      <c r="G724" s="34"/>
      <c r="H724" s="34"/>
    </row>
    <row r="725" spans="1:8" ht="20">
      <c r="A725" s="200"/>
      <c r="B725" s="8"/>
      <c r="C725" s="8"/>
      <c r="D725" s="8"/>
      <c r="E725" s="81"/>
      <c r="F725" s="34"/>
      <c r="G725" s="34"/>
      <c r="H725" s="34"/>
    </row>
    <row r="726" spans="1:8" ht="20">
      <c r="A726" s="200"/>
      <c r="B726" s="8"/>
      <c r="C726" s="8"/>
      <c r="D726" s="8"/>
      <c r="E726" s="81"/>
      <c r="F726" s="34"/>
      <c r="G726" s="34"/>
      <c r="H726" s="34"/>
    </row>
    <row r="727" spans="1:8" ht="20">
      <c r="A727" s="200"/>
      <c r="B727" s="8"/>
      <c r="C727" s="8"/>
      <c r="D727" s="8"/>
      <c r="E727" s="81"/>
      <c r="F727" s="34"/>
      <c r="G727" s="34"/>
      <c r="H727" s="34"/>
    </row>
    <row r="728" spans="1:8" ht="20">
      <c r="A728" s="200"/>
      <c r="B728" s="8"/>
      <c r="C728" s="8"/>
      <c r="D728" s="8"/>
      <c r="E728" s="81"/>
      <c r="F728" s="34"/>
      <c r="G728" s="34"/>
      <c r="H728" s="34"/>
    </row>
    <row r="729" spans="1:8" ht="20">
      <c r="A729" s="200"/>
      <c r="B729" s="8"/>
      <c r="C729" s="8"/>
      <c r="D729" s="8"/>
      <c r="E729" s="81"/>
      <c r="F729" s="34"/>
      <c r="G729" s="34"/>
      <c r="H729" s="34"/>
    </row>
    <row r="730" spans="1:8" ht="20">
      <c r="A730" s="200"/>
      <c r="B730" s="8"/>
      <c r="C730" s="8"/>
      <c r="D730" s="8"/>
      <c r="E730" s="81"/>
      <c r="F730" s="34"/>
      <c r="G730" s="34"/>
      <c r="H730" s="34"/>
    </row>
    <row r="731" spans="1:8" ht="20">
      <c r="A731" s="200"/>
      <c r="B731" s="8"/>
      <c r="C731" s="8"/>
      <c r="D731" s="8"/>
      <c r="E731" s="81"/>
      <c r="F731" s="34"/>
      <c r="G731" s="34"/>
      <c r="H731" s="34"/>
    </row>
    <row r="732" spans="1:8" ht="20">
      <c r="A732" s="200"/>
      <c r="B732" s="8"/>
      <c r="C732" s="8"/>
      <c r="D732" s="8"/>
      <c r="E732" s="81"/>
      <c r="F732" s="34"/>
      <c r="G732" s="34"/>
      <c r="H732" s="34"/>
    </row>
    <row r="733" spans="1:8" ht="20">
      <c r="A733" s="200"/>
      <c r="B733" s="8"/>
      <c r="C733" s="8"/>
      <c r="D733" s="8"/>
      <c r="E733" s="81"/>
      <c r="F733" s="34"/>
      <c r="G733" s="34"/>
      <c r="H733" s="34"/>
    </row>
    <row r="734" spans="1:8" ht="20">
      <c r="A734" s="200"/>
      <c r="B734" s="8"/>
      <c r="C734" s="8"/>
      <c r="D734" s="8"/>
      <c r="E734" s="81"/>
      <c r="F734" s="34"/>
      <c r="G734" s="34"/>
      <c r="H734" s="34"/>
    </row>
    <row r="735" spans="1:8" ht="20">
      <c r="A735" s="200"/>
      <c r="B735" s="8"/>
      <c r="C735" s="8"/>
      <c r="D735" s="8"/>
      <c r="E735" s="81"/>
      <c r="F735" s="34"/>
      <c r="G735" s="34"/>
      <c r="H735" s="34"/>
    </row>
    <row r="736" spans="1:8" ht="20">
      <c r="A736" s="200"/>
      <c r="B736" s="8"/>
      <c r="C736" s="8"/>
      <c r="D736" s="8"/>
      <c r="E736" s="81"/>
      <c r="F736" s="34"/>
      <c r="G736" s="34"/>
      <c r="H736" s="34"/>
    </row>
    <row r="737" spans="1:8" ht="20">
      <c r="A737" s="200"/>
      <c r="B737" s="8"/>
      <c r="C737" s="8"/>
      <c r="D737" s="8"/>
      <c r="E737" s="81"/>
      <c r="F737" s="34"/>
      <c r="G737" s="34"/>
      <c r="H737" s="34"/>
    </row>
    <row r="738" spans="1:8" ht="20">
      <c r="A738" s="200"/>
      <c r="B738" s="8"/>
      <c r="C738" s="8"/>
      <c r="D738" s="8"/>
      <c r="E738" s="81"/>
      <c r="F738" s="34"/>
      <c r="G738" s="34"/>
      <c r="H738" s="34"/>
    </row>
    <row r="739" spans="1:8" ht="20">
      <c r="A739" s="200"/>
      <c r="B739" s="8"/>
      <c r="C739" s="8"/>
      <c r="D739" s="8"/>
      <c r="E739" s="81"/>
      <c r="F739" s="34"/>
      <c r="G739" s="34"/>
      <c r="H739" s="34"/>
    </row>
    <row r="740" spans="1:8" ht="20">
      <c r="A740" s="200"/>
      <c r="B740" s="8"/>
      <c r="C740" s="8"/>
      <c r="D740" s="8"/>
      <c r="E740" s="81"/>
      <c r="F740" s="34"/>
      <c r="G740" s="34"/>
      <c r="H740" s="34"/>
    </row>
    <row r="741" spans="1:8" ht="20">
      <c r="A741" s="200"/>
      <c r="B741" s="8"/>
      <c r="C741" s="8"/>
      <c r="D741" s="8"/>
      <c r="E741" s="81"/>
      <c r="F741" s="34"/>
      <c r="G741" s="34"/>
      <c r="H741" s="34"/>
    </row>
    <row r="742" spans="1:8" ht="20">
      <c r="A742" s="200"/>
      <c r="B742" s="8"/>
      <c r="C742" s="8"/>
      <c r="D742" s="8"/>
      <c r="E742" s="81"/>
      <c r="F742" s="34"/>
      <c r="G742" s="34"/>
      <c r="H742" s="34"/>
    </row>
    <row r="743" spans="1:8" ht="20">
      <c r="A743" s="200"/>
      <c r="B743" s="8"/>
      <c r="C743" s="8"/>
      <c r="D743" s="8"/>
      <c r="E743" s="81"/>
      <c r="F743" s="34"/>
      <c r="G743" s="34"/>
      <c r="H743" s="34"/>
    </row>
    <row r="744" spans="1:8" ht="20">
      <c r="A744" s="200"/>
      <c r="B744" s="8"/>
      <c r="C744" s="8"/>
      <c r="D744" s="8"/>
      <c r="E744" s="81"/>
      <c r="F744" s="34"/>
      <c r="G744" s="34"/>
      <c r="H744" s="34"/>
    </row>
    <row r="745" spans="1:8" ht="20">
      <c r="A745" s="200"/>
      <c r="B745" s="8"/>
      <c r="C745" s="8"/>
      <c r="D745" s="8"/>
      <c r="E745" s="81"/>
      <c r="F745" s="34"/>
      <c r="G745" s="34"/>
      <c r="H745" s="34"/>
    </row>
    <row r="746" spans="1:8" ht="20">
      <c r="A746" s="200"/>
      <c r="B746" s="8"/>
      <c r="C746" s="8"/>
      <c r="D746" s="8"/>
      <c r="E746" s="81"/>
      <c r="F746" s="34"/>
      <c r="G746" s="34"/>
      <c r="H746" s="34"/>
    </row>
    <row r="747" spans="1:8" ht="20">
      <c r="A747" s="200"/>
      <c r="B747" s="8"/>
      <c r="C747" s="8"/>
      <c r="D747" s="8"/>
      <c r="E747" s="81"/>
      <c r="F747" s="34"/>
      <c r="G747" s="34"/>
      <c r="H747" s="34"/>
    </row>
    <row r="748" spans="1:8" ht="20">
      <c r="A748" s="200"/>
      <c r="B748" s="8"/>
      <c r="C748" s="8"/>
      <c r="D748" s="8"/>
      <c r="E748" s="81"/>
      <c r="F748" s="34"/>
      <c r="G748" s="34"/>
      <c r="H748" s="34"/>
    </row>
    <row r="749" spans="1:8" ht="20">
      <c r="A749" s="200"/>
      <c r="B749" s="8"/>
      <c r="C749" s="8"/>
      <c r="D749" s="8"/>
      <c r="E749" s="81"/>
      <c r="F749" s="34"/>
      <c r="G749" s="34"/>
      <c r="H749" s="34"/>
    </row>
    <row r="750" spans="1:8" ht="20">
      <c r="A750" s="200"/>
      <c r="B750" s="8"/>
      <c r="C750" s="8"/>
      <c r="D750" s="8"/>
      <c r="E750" s="81"/>
      <c r="F750" s="34"/>
      <c r="G750" s="34"/>
      <c r="H750" s="34"/>
    </row>
    <row r="751" spans="1:8" ht="20">
      <c r="A751" s="200"/>
      <c r="B751" s="8"/>
      <c r="C751" s="8"/>
      <c r="D751" s="8"/>
      <c r="E751" s="81"/>
      <c r="F751" s="34"/>
      <c r="G751" s="34"/>
      <c r="H751" s="34"/>
    </row>
    <row r="752" spans="1:8" ht="20">
      <c r="A752" s="200"/>
      <c r="B752" s="8"/>
      <c r="C752" s="8"/>
      <c r="D752" s="8"/>
      <c r="E752" s="81"/>
      <c r="F752" s="34"/>
      <c r="G752" s="34"/>
      <c r="H752" s="34"/>
    </row>
    <row r="753" spans="1:8" ht="20">
      <c r="A753" s="200"/>
      <c r="B753" s="8"/>
      <c r="C753" s="8"/>
      <c r="D753" s="8"/>
      <c r="E753" s="81"/>
      <c r="F753" s="34"/>
      <c r="G753" s="34"/>
      <c r="H753" s="34"/>
    </row>
    <row r="754" spans="1:8" ht="20">
      <c r="A754" s="200"/>
      <c r="B754" s="8"/>
      <c r="C754" s="8"/>
      <c r="D754" s="8"/>
      <c r="E754" s="81"/>
      <c r="F754" s="34"/>
      <c r="G754" s="34"/>
      <c r="H754" s="34"/>
    </row>
    <row r="755" spans="1:8" ht="20">
      <c r="A755" s="200"/>
      <c r="B755" s="8"/>
      <c r="C755" s="8"/>
      <c r="D755" s="8"/>
      <c r="E755" s="81"/>
      <c r="F755" s="34"/>
      <c r="G755" s="34"/>
      <c r="H755" s="34"/>
    </row>
    <row r="756" spans="1:8" ht="20">
      <c r="A756" s="200"/>
      <c r="B756" s="8"/>
      <c r="C756" s="8"/>
      <c r="D756" s="8"/>
      <c r="E756" s="81"/>
      <c r="F756" s="34"/>
      <c r="G756" s="34"/>
      <c r="H756" s="34"/>
    </row>
    <row r="757" spans="1:8" ht="20">
      <c r="A757" s="200"/>
      <c r="B757" s="8"/>
      <c r="C757" s="8"/>
      <c r="D757" s="8"/>
      <c r="E757" s="81"/>
      <c r="F757" s="34"/>
      <c r="G757" s="34"/>
      <c r="H757" s="34"/>
    </row>
    <row r="758" spans="1:8" ht="20">
      <c r="A758" s="200"/>
      <c r="B758" s="8"/>
      <c r="C758" s="8"/>
      <c r="D758" s="8"/>
      <c r="E758" s="81"/>
      <c r="F758" s="34"/>
      <c r="G758" s="34"/>
      <c r="H758" s="34"/>
    </row>
    <row r="759" spans="1:8" ht="20">
      <c r="A759" s="200"/>
      <c r="B759" s="8"/>
      <c r="C759" s="8"/>
      <c r="D759" s="8"/>
      <c r="E759" s="81"/>
      <c r="F759" s="34"/>
      <c r="G759" s="34"/>
      <c r="H759" s="34"/>
    </row>
    <row r="760" spans="1:8" ht="20">
      <c r="A760" s="200"/>
      <c r="B760" s="8"/>
      <c r="C760" s="8"/>
      <c r="D760" s="8"/>
      <c r="E760" s="81"/>
      <c r="F760" s="34"/>
      <c r="G760" s="34"/>
      <c r="H760" s="34"/>
    </row>
    <row r="761" spans="1:8" ht="20">
      <c r="A761" s="200"/>
      <c r="B761" s="8"/>
      <c r="C761" s="8"/>
      <c r="D761" s="8"/>
      <c r="E761" s="81"/>
      <c r="F761" s="34"/>
      <c r="G761" s="34"/>
      <c r="H761" s="34"/>
    </row>
    <row r="762" spans="1:8" ht="20">
      <c r="A762" s="200"/>
      <c r="B762" s="8"/>
      <c r="C762" s="8"/>
      <c r="D762" s="8"/>
      <c r="E762" s="81"/>
      <c r="F762" s="34"/>
      <c r="G762" s="34"/>
      <c r="H762" s="34"/>
    </row>
    <row r="763" spans="1:8" ht="20">
      <c r="A763" s="200"/>
      <c r="B763" s="8"/>
      <c r="C763" s="8"/>
      <c r="D763" s="8"/>
      <c r="E763" s="81"/>
      <c r="F763" s="34"/>
      <c r="G763" s="34"/>
      <c r="H763" s="34"/>
    </row>
    <row r="764" spans="1:8" ht="20">
      <c r="A764" s="200"/>
      <c r="B764" s="8"/>
      <c r="C764" s="8"/>
      <c r="D764" s="8"/>
      <c r="E764" s="81"/>
      <c r="F764" s="34"/>
      <c r="G764" s="34"/>
      <c r="H764" s="34"/>
    </row>
    <row r="765" spans="1:8" ht="20">
      <c r="A765" s="200"/>
      <c r="B765" s="8"/>
      <c r="C765" s="8"/>
      <c r="D765" s="8"/>
      <c r="E765" s="81"/>
      <c r="F765" s="34"/>
      <c r="G765" s="34"/>
      <c r="H765" s="34"/>
    </row>
    <row r="766" spans="1:8" ht="20">
      <c r="A766" s="200"/>
      <c r="B766" s="8"/>
      <c r="C766" s="8"/>
      <c r="D766" s="8"/>
      <c r="E766" s="81"/>
      <c r="F766" s="34"/>
      <c r="G766" s="34"/>
      <c r="H766" s="34"/>
    </row>
    <row r="767" spans="1:8" ht="20">
      <c r="A767" s="200"/>
      <c r="B767" s="8"/>
      <c r="C767" s="8"/>
      <c r="D767" s="8"/>
      <c r="E767" s="81"/>
      <c r="F767" s="34"/>
      <c r="G767" s="34"/>
      <c r="H767" s="34"/>
    </row>
    <row r="768" spans="1:8" ht="20">
      <c r="A768" s="200"/>
      <c r="B768" s="8"/>
      <c r="C768" s="8"/>
      <c r="D768" s="8"/>
      <c r="E768" s="81"/>
      <c r="F768" s="34"/>
      <c r="G768" s="34"/>
      <c r="H768" s="34"/>
    </row>
    <row r="769" spans="1:8" ht="20">
      <c r="A769" s="200"/>
      <c r="B769" s="8"/>
      <c r="C769" s="8"/>
      <c r="D769" s="8"/>
      <c r="E769" s="81"/>
      <c r="F769" s="34"/>
      <c r="G769" s="34"/>
      <c r="H769" s="34"/>
    </row>
    <row r="770" spans="1:8" ht="20">
      <c r="A770" s="200"/>
      <c r="B770" s="8"/>
      <c r="C770" s="8"/>
      <c r="D770" s="8"/>
      <c r="E770" s="81"/>
      <c r="F770" s="34"/>
      <c r="G770" s="34"/>
      <c r="H770" s="34"/>
    </row>
    <row r="771" spans="1:8" ht="20">
      <c r="A771" s="200"/>
      <c r="B771" s="8"/>
      <c r="C771" s="8"/>
      <c r="D771" s="8"/>
      <c r="E771" s="81"/>
      <c r="F771" s="34"/>
      <c r="G771" s="34"/>
      <c r="H771" s="34"/>
    </row>
    <row r="772" spans="1:8" ht="20">
      <c r="A772" s="200"/>
      <c r="B772" s="8"/>
      <c r="C772" s="8"/>
      <c r="D772" s="8"/>
      <c r="E772" s="81"/>
      <c r="F772" s="34"/>
      <c r="G772" s="34"/>
      <c r="H772" s="34"/>
    </row>
    <row r="773" spans="1:8" ht="20">
      <c r="A773" s="200"/>
      <c r="B773" s="8"/>
      <c r="C773" s="8"/>
      <c r="D773" s="8"/>
      <c r="E773" s="81"/>
      <c r="F773" s="34"/>
      <c r="G773" s="34"/>
      <c r="H773" s="34"/>
    </row>
    <row r="774" spans="1:8" ht="20">
      <c r="A774" s="200"/>
      <c r="B774" s="8"/>
      <c r="C774" s="8"/>
      <c r="D774" s="8"/>
      <c r="E774" s="81"/>
      <c r="F774" s="34"/>
      <c r="G774" s="34"/>
      <c r="H774" s="34"/>
    </row>
    <row r="775" spans="1:8" ht="20">
      <c r="A775" s="200"/>
      <c r="B775" s="8"/>
      <c r="C775" s="8"/>
      <c r="D775" s="8"/>
      <c r="E775" s="81"/>
      <c r="F775" s="34"/>
      <c r="G775" s="34"/>
      <c r="H775" s="34"/>
    </row>
    <row r="776" spans="1:8" ht="20">
      <c r="A776" s="200"/>
      <c r="B776" s="8"/>
      <c r="C776" s="8"/>
      <c r="D776" s="8"/>
      <c r="E776" s="81"/>
      <c r="F776" s="34"/>
      <c r="G776" s="34"/>
      <c r="H776" s="34"/>
    </row>
    <row r="777" spans="1:8" ht="20">
      <c r="A777" s="200"/>
      <c r="B777" s="8"/>
      <c r="C777" s="8"/>
      <c r="D777" s="8"/>
      <c r="E777" s="81"/>
      <c r="F777" s="34"/>
      <c r="G777" s="34"/>
      <c r="H777" s="34"/>
    </row>
    <row r="778" spans="1:8" ht="20">
      <c r="A778" s="200"/>
      <c r="B778" s="8"/>
      <c r="C778" s="8"/>
      <c r="D778" s="8"/>
      <c r="E778" s="81"/>
      <c r="F778" s="34"/>
      <c r="G778" s="34"/>
      <c r="H778" s="34"/>
    </row>
    <row r="779" spans="1:8" ht="20">
      <c r="A779" s="200"/>
      <c r="B779" s="8"/>
      <c r="C779" s="8"/>
      <c r="D779" s="8"/>
      <c r="E779" s="81"/>
      <c r="F779" s="34"/>
      <c r="G779" s="34"/>
      <c r="H779" s="34"/>
    </row>
    <row r="780" spans="1:8" ht="20">
      <c r="A780" s="200"/>
      <c r="B780" s="8"/>
      <c r="C780" s="8"/>
      <c r="D780" s="8"/>
      <c r="E780" s="81"/>
      <c r="F780" s="34"/>
      <c r="G780" s="34"/>
      <c r="H780" s="34"/>
    </row>
    <row r="781" spans="1:8" ht="20">
      <c r="A781" s="200"/>
      <c r="B781" s="8"/>
      <c r="C781" s="8"/>
      <c r="D781" s="8"/>
      <c r="E781" s="81"/>
      <c r="F781" s="34"/>
      <c r="G781" s="34"/>
      <c r="H781" s="34"/>
    </row>
    <row r="782" spans="1:8" ht="20">
      <c r="A782" s="200"/>
      <c r="B782" s="8"/>
      <c r="C782" s="8"/>
      <c r="D782" s="8"/>
      <c r="E782" s="81"/>
      <c r="F782" s="34"/>
      <c r="G782" s="34"/>
      <c r="H782" s="34"/>
    </row>
    <row r="783" spans="1:8" ht="20">
      <c r="A783" s="200"/>
      <c r="B783" s="8"/>
      <c r="C783" s="8"/>
      <c r="D783" s="8"/>
      <c r="E783" s="81"/>
      <c r="F783" s="34"/>
      <c r="G783" s="34"/>
      <c r="H783" s="34"/>
    </row>
    <row r="784" spans="1:8" ht="20">
      <c r="A784" s="200"/>
      <c r="B784" s="8"/>
      <c r="C784" s="8"/>
      <c r="D784" s="8"/>
      <c r="E784" s="81"/>
      <c r="F784" s="34"/>
      <c r="G784" s="34"/>
      <c r="H784" s="34"/>
    </row>
    <row r="785" spans="1:8" ht="20">
      <c r="A785" s="200"/>
      <c r="B785" s="8"/>
      <c r="C785" s="8"/>
      <c r="D785" s="8"/>
      <c r="E785" s="81"/>
      <c r="F785" s="34"/>
      <c r="G785" s="34"/>
      <c r="H785" s="34"/>
    </row>
    <row r="786" spans="1:8" ht="20">
      <c r="A786" s="200"/>
      <c r="B786" s="8"/>
      <c r="C786" s="8"/>
      <c r="D786" s="8"/>
      <c r="E786" s="81"/>
      <c r="F786" s="34"/>
      <c r="G786" s="34"/>
      <c r="H786" s="34"/>
    </row>
    <row r="787" spans="1:8" ht="20">
      <c r="A787" s="200"/>
      <c r="B787" s="8"/>
      <c r="C787" s="8"/>
      <c r="D787" s="8"/>
      <c r="E787" s="81"/>
      <c r="F787" s="34"/>
      <c r="G787" s="34"/>
      <c r="H787" s="34"/>
    </row>
    <row r="788" spans="1:8" ht="20">
      <c r="A788" s="200"/>
      <c r="B788" s="8"/>
      <c r="C788" s="8"/>
      <c r="D788" s="8"/>
      <c r="E788" s="81"/>
      <c r="F788" s="34"/>
      <c r="G788" s="34"/>
      <c r="H788" s="34"/>
    </row>
    <row r="789" spans="1:8" ht="20">
      <c r="A789" s="200"/>
      <c r="B789" s="8"/>
      <c r="C789" s="8"/>
      <c r="D789" s="8"/>
      <c r="E789" s="81"/>
      <c r="F789" s="34"/>
      <c r="G789" s="34"/>
      <c r="H789" s="34"/>
    </row>
    <row r="790" spans="1:8" ht="20">
      <c r="A790" s="200"/>
      <c r="B790" s="8"/>
      <c r="C790" s="8"/>
      <c r="D790" s="8"/>
      <c r="E790" s="81"/>
      <c r="F790" s="34"/>
      <c r="G790" s="34"/>
      <c r="H790" s="34"/>
    </row>
    <row r="791" spans="1:8" ht="20">
      <c r="A791" s="200"/>
      <c r="B791" s="8"/>
      <c r="C791" s="8"/>
      <c r="D791" s="8"/>
      <c r="E791" s="81"/>
      <c r="F791" s="34"/>
      <c r="G791" s="34"/>
      <c r="H791" s="34"/>
    </row>
    <row r="792" spans="1:8" ht="20">
      <c r="A792" s="200"/>
      <c r="B792" s="8"/>
      <c r="C792" s="8"/>
      <c r="D792" s="8"/>
      <c r="E792" s="81"/>
      <c r="F792" s="34"/>
      <c r="G792" s="34"/>
      <c r="H792" s="34"/>
    </row>
    <row r="793" spans="1:8" ht="20">
      <c r="A793" s="200"/>
      <c r="B793" s="8"/>
      <c r="C793" s="8"/>
      <c r="D793" s="8"/>
      <c r="E793" s="81"/>
      <c r="F793" s="34"/>
      <c r="G793" s="34"/>
      <c r="H793" s="34"/>
    </row>
    <row r="794" spans="1:8" ht="20">
      <c r="A794" s="200"/>
      <c r="B794" s="8"/>
      <c r="C794" s="8"/>
      <c r="D794" s="8"/>
      <c r="E794" s="81"/>
      <c r="F794" s="34"/>
      <c r="G794" s="34"/>
      <c r="H794" s="34"/>
    </row>
    <row r="795" spans="1:8" ht="20">
      <c r="A795" s="200"/>
      <c r="B795" s="8"/>
      <c r="C795" s="8"/>
      <c r="D795" s="8"/>
      <c r="E795" s="81"/>
      <c r="F795" s="34"/>
      <c r="G795" s="34"/>
      <c r="H795" s="34"/>
    </row>
    <row r="796" spans="1:8" ht="20">
      <c r="A796" s="200"/>
      <c r="B796" s="8"/>
      <c r="C796" s="8"/>
      <c r="D796" s="8"/>
      <c r="E796" s="81"/>
      <c r="F796" s="34"/>
      <c r="G796" s="34"/>
      <c r="H796" s="34"/>
    </row>
    <row r="797" spans="1:8" ht="20">
      <c r="A797" s="200"/>
      <c r="B797" s="8"/>
      <c r="C797" s="8"/>
      <c r="D797" s="8"/>
      <c r="E797" s="81"/>
      <c r="F797" s="34"/>
      <c r="G797" s="34"/>
      <c r="H797" s="34"/>
    </row>
    <row r="798" spans="1:8" ht="20">
      <c r="A798" s="200"/>
      <c r="B798" s="8"/>
      <c r="C798" s="8"/>
      <c r="D798" s="8"/>
      <c r="E798" s="81"/>
      <c r="F798" s="34"/>
      <c r="G798" s="34"/>
      <c r="H798" s="34"/>
    </row>
    <row r="799" spans="1:8" ht="20">
      <c r="A799" s="200"/>
      <c r="B799" s="8"/>
      <c r="C799" s="8"/>
      <c r="D799" s="8"/>
      <c r="E799" s="81"/>
      <c r="F799" s="34"/>
      <c r="G799" s="34"/>
      <c r="H799" s="34"/>
    </row>
    <row r="800" spans="1:8" ht="20">
      <c r="A800" s="200"/>
      <c r="B800" s="8"/>
      <c r="C800" s="8"/>
      <c r="D800" s="8"/>
      <c r="E800" s="81"/>
      <c r="F800" s="34"/>
      <c r="G800" s="34"/>
      <c r="H800" s="34"/>
    </row>
    <row r="801" spans="1:8" ht="20">
      <c r="A801" s="200"/>
      <c r="B801" s="8"/>
      <c r="C801" s="8"/>
      <c r="D801" s="8"/>
      <c r="E801" s="81"/>
      <c r="F801" s="34"/>
      <c r="G801" s="34"/>
      <c r="H801" s="34"/>
    </row>
    <row r="802" spans="1:8" ht="20">
      <c r="A802" s="200"/>
      <c r="B802" s="8"/>
      <c r="C802" s="8"/>
      <c r="D802" s="8"/>
      <c r="E802" s="81"/>
      <c r="F802" s="34"/>
      <c r="G802" s="34"/>
      <c r="H802" s="34"/>
    </row>
    <row r="803" spans="1:8" ht="20">
      <c r="A803" s="200"/>
      <c r="B803" s="8"/>
      <c r="C803" s="8"/>
      <c r="D803" s="8"/>
      <c r="E803" s="81"/>
      <c r="F803" s="34"/>
      <c r="G803" s="34"/>
      <c r="H803" s="34"/>
    </row>
    <row r="804" spans="1:8" ht="20">
      <c r="A804" s="200"/>
      <c r="B804" s="8"/>
      <c r="C804" s="8"/>
      <c r="D804" s="8"/>
      <c r="E804" s="81"/>
      <c r="F804" s="34"/>
      <c r="G804" s="34"/>
      <c r="H804" s="34"/>
    </row>
    <row r="805" spans="1:8" ht="20">
      <c r="A805" s="200"/>
      <c r="B805" s="8"/>
      <c r="C805" s="8"/>
      <c r="D805" s="8"/>
      <c r="E805" s="81"/>
      <c r="F805" s="34"/>
      <c r="G805" s="34"/>
      <c r="H805" s="34"/>
    </row>
    <row r="806" spans="1:8" ht="20">
      <c r="A806" s="200"/>
      <c r="B806" s="8"/>
      <c r="C806" s="8"/>
      <c r="D806" s="8"/>
      <c r="E806" s="81"/>
      <c r="F806" s="34"/>
      <c r="G806" s="34"/>
      <c r="H806" s="34"/>
    </row>
    <row r="807" spans="1:8" ht="20">
      <c r="A807" s="200"/>
      <c r="B807" s="8"/>
      <c r="C807" s="8"/>
      <c r="D807" s="8"/>
      <c r="E807" s="81"/>
      <c r="F807" s="34"/>
      <c r="G807" s="34"/>
      <c r="H807" s="34"/>
    </row>
    <row r="808" spans="1:8" ht="20">
      <c r="A808" s="200"/>
      <c r="B808" s="8"/>
      <c r="C808" s="8"/>
      <c r="D808" s="8"/>
      <c r="E808" s="81"/>
      <c r="F808" s="34"/>
      <c r="G808" s="34"/>
      <c r="H808" s="34"/>
    </row>
    <row r="809" spans="1:8" ht="20">
      <c r="A809" s="200"/>
      <c r="B809" s="8"/>
      <c r="C809" s="8"/>
      <c r="D809" s="8"/>
      <c r="E809" s="81"/>
      <c r="F809" s="34"/>
      <c r="G809" s="34"/>
      <c r="H809" s="34"/>
    </row>
    <row r="810" spans="1:8" ht="20">
      <c r="A810" s="200"/>
      <c r="B810" s="8"/>
      <c r="C810" s="8"/>
      <c r="D810" s="8"/>
      <c r="E810" s="81"/>
      <c r="F810" s="34"/>
      <c r="G810" s="34"/>
      <c r="H810" s="34"/>
    </row>
    <row r="811" spans="1:8" ht="20">
      <c r="A811" s="200"/>
      <c r="B811" s="8"/>
      <c r="C811" s="8"/>
      <c r="D811" s="8"/>
      <c r="E811" s="81"/>
      <c r="F811" s="34"/>
      <c r="G811" s="34"/>
      <c r="H811" s="34"/>
    </row>
    <row r="812" spans="1:8" ht="20">
      <c r="A812" s="200"/>
      <c r="B812" s="8"/>
      <c r="C812" s="8"/>
      <c r="D812" s="8"/>
      <c r="E812" s="81"/>
      <c r="F812" s="34"/>
      <c r="G812" s="34"/>
      <c r="H812" s="34"/>
    </row>
    <row r="813" spans="1:8" ht="20">
      <c r="A813" s="200"/>
      <c r="B813" s="8"/>
      <c r="C813" s="8"/>
      <c r="D813" s="8"/>
      <c r="E813" s="81"/>
      <c r="F813" s="34"/>
      <c r="G813" s="34"/>
      <c r="H813" s="34"/>
    </row>
    <row r="814" spans="1:8" ht="20">
      <c r="A814" s="200"/>
      <c r="B814" s="8"/>
      <c r="C814" s="8"/>
      <c r="D814" s="8"/>
      <c r="E814" s="81"/>
      <c r="F814" s="34"/>
      <c r="G814" s="34"/>
      <c r="H814" s="34"/>
    </row>
    <row r="815" spans="1:8" ht="20">
      <c r="A815" s="200"/>
      <c r="B815" s="8"/>
      <c r="C815" s="8"/>
      <c r="D815" s="8"/>
      <c r="E815" s="81"/>
      <c r="F815" s="34"/>
      <c r="G815" s="34"/>
      <c r="H815" s="34"/>
    </row>
    <row r="816" spans="1:8" ht="20">
      <c r="A816" s="200"/>
      <c r="B816" s="8"/>
      <c r="C816" s="8"/>
      <c r="D816" s="8"/>
      <c r="E816" s="81"/>
      <c r="F816" s="34"/>
      <c r="G816" s="34"/>
      <c r="H816" s="34"/>
    </row>
    <row r="817" spans="1:8" ht="20">
      <c r="A817" s="200"/>
      <c r="B817" s="8"/>
      <c r="C817" s="8"/>
      <c r="D817" s="8"/>
      <c r="E817" s="81"/>
      <c r="F817" s="34"/>
      <c r="G817" s="34"/>
      <c r="H817" s="34"/>
    </row>
    <row r="818" spans="1:8" ht="20">
      <c r="A818" s="200"/>
      <c r="B818" s="8"/>
      <c r="C818" s="8"/>
      <c r="D818" s="8"/>
      <c r="E818" s="81"/>
      <c r="F818" s="34"/>
      <c r="G818" s="34"/>
      <c r="H818" s="34"/>
    </row>
    <row r="819" spans="1:8" ht="20">
      <c r="A819" s="200"/>
      <c r="B819" s="8"/>
      <c r="C819" s="8"/>
      <c r="D819" s="8"/>
      <c r="E819" s="81"/>
      <c r="F819" s="34"/>
      <c r="G819" s="34"/>
      <c r="H819" s="34"/>
    </row>
    <row r="820" spans="1:8" ht="20">
      <c r="A820" s="200"/>
      <c r="B820" s="8"/>
      <c r="C820" s="8"/>
      <c r="D820" s="8"/>
      <c r="E820" s="81"/>
      <c r="F820" s="34"/>
      <c r="G820" s="34"/>
      <c r="H820" s="34"/>
    </row>
    <row r="821" spans="1:8" ht="20">
      <c r="A821" s="200"/>
      <c r="B821" s="8"/>
      <c r="C821" s="8"/>
      <c r="D821" s="8"/>
      <c r="E821" s="81"/>
      <c r="F821" s="34"/>
      <c r="G821" s="34"/>
      <c r="H821" s="34"/>
    </row>
    <row r="822" spans="1:8" ht="20">
      <c r="A822" s="200"/>
      <c r="B822" s="8"/>
      <c r="C822" s="8"/>
      <c r="D822" s="8"/>
      <c r="E822" s="81"/>
      <c r="F822" s="34"/>
      <c r="G822" s="34"/>
      <c r="H822" s="34"/>
    </row>
    <row r="823" spans="1:8" ht="20">
      <c r="A823" s="200"/>
      <c r="B823" s="8"/>
      <c r="C823" s="8"/>
      <c r="D823" s="8"/>
      <c r="E823" s="81"/>
      <c r="F823" s="34"/>
      <c r="G823" s="34"/>
      <c r="H823" s="34"/>
    </row>
    <row r="824" spans="1:8" ht="20">
      <c r="A824" s="200"/>
      <c r="B824" s="8"/>
      <c r="C824" s="8"/>
      <c r="D824" s="8"/>
      <c r="E824" s="81"/>
      <c r="F824" s="34"/>
      <c r="G824" s="34"/>
      <c r="H824" s="34"/>
    </row>
    <row r="825" spans="1:8" ht="20">
      <c r="A825" s="200"/>
      <c r="B825" s="8"/>
      <c r="C825" s="8"/>
      <c r="D825" s="8"/>
      <c r="E825" s="81"/>
      <c r="F825" s="34"/>
      <c r="G825" s="34"/>
      <c r="H825" s="34"/>
    </row>
    <row r="826" spans="1:8" ht="20">
      <c r="A826" s="200"/>
      <c r="B826" s="8"/>
      <c r="C826" s="8"/>
      <c r="D826" s="8"/>
      <c r="E826" s="81"/>
      <c r="F826" s="34"/>
      <c r="G826" s="34"/>
      <c r="H826" s="34"/>
    </row>
    <row r="827" spans="1:8" ht="20">
      <c r="A827" s="200"/>
      <c r="B827" s="8"/>
      <c r="C827" s="8"/>
      <c r="D827" s="8"/>
      <c r="E827" s="81"/>
      <c r="F827" s="34"/>
      <c r="G827" s="34"/>
      <c r="H827" s="34"/>
    </row>
    <row r="828" spans="1:8" ht="20">
      <c r="A828" s="200"/>
      <c r="B828" s="8"/>
      <c r="C828" s="8"/>
      <c r="D828" s="8"/>
      <c r="E828" s="81"/>
      <c r="F828" s="34"/>
      <c r="G828" s="34"/>
      <c r="H828" s="34"/>
    </row>
    <row r="829" spans="1:8" ht="20">
      <c r="A829" s="200"/>
      <c r="B829" s="8"/>
      <c r="C829" s="8"/>
      <c r="D829" s="8"/>
      <c r="E829" s="81"/>
      <c r="F829" s="34"/>
      <c r="G829" s="34"/>
      <c r="H829" s="34"/>
    </row>
    <row r="830" spans="1:8" ht="20">
      <c r="A830" s="200"/>
      <c r="B830" s="8"/>
      <c r="C830" s="8"/>
      <c r="D830" s="8"/>
      <c r="E830" s="81"/>
      <c r="F830" s="34"/>
      <c r="G830" s="34"/>
      <c r="H830" s="34"/>
    </row>
    <row r="831" spans="1:8" ht="20">
      <c r="A831" s="200"/>
      <c r="B831" s="8"/>
      <c r="C831" s="8"/>
      <c r="D831" s="8"/>
      <c r="E831" s="81"/>
      <c r="F831" s="34"/>
      <c r="G831" s="34"/>
      <c r="H831" s="34"/>
    </row>
    <row r="832" spans="1:8" ht="20">
      <c r="A832" s="200"/>
      <c r="B832" s="8"/>
      <c r="C832" s="8"/>
      <c r="D832" s="8"/>
      <c r="E832" s="81"/>
      <c r="F832" s="34"/>
      <c r="G832" s="34"/>
      <c r="H832" s="34"/>
    </row>
    <row r="833" spans="1:8" ht="20">
      <c r="A833" s="200"/>
      <c r="B833" s="8"/>
      <c r="C833" s="8"/>
      <c r="D833" s="8"/>
      <c r="E833" s="81"/>
      <c r="F833" s="34"/>
      <c r="G833" s="34"/>
      <c r="H833" s="34"/>
    </row>
    <row r="834" spans="1:8" ht="20">
      <c r="A834" s="200"/>
      <c r="B834" s="8"/>
      <c r="C834" s="8"/>
      <c r="D834" s="8"/>
      <c r="E834" s="81"/>
      <c r="F834" s="34"/>
      <c r="G834" s="34"/>
      <c r="H834" s="34"/>
    </row>
    <row r="835" spans="1:8" ht="20">
      <c r="A835" s="200"/>
      <c r="B835" s="8"/>
      <c r="C835" s="8"/>
      <c r="D835" s="8"/>
      <c r="E835" s="81"/>
      <c r="F835" s="34"/>
      <c r="G835" s="34"/>
      <c r="H835" s="34"/>
    </row>
    <row r="836" spans="1:8" ht="20">
      <c r="A836" s="200"/>
      <c r="B836" s="8"/>
      <c r="C836" s="8"/>
      <c r="D836" s="8"/>
      <c r="E836" s="81"/>
      <c r="F836" s="34"/>
      <c r="G836" s="34"/>
      <c r="H836" s="34"/>
    </row>
    <row r="837" spans="1:8" ht="20">
      <c r="A837" s="200"/>
      <c r="B837" s="8"/>
      <c r="C837" s="8"/>
      <c r="D837" s="8"/>
      <c r="E837" s="81"/>
      <c r="F837" s="34"/>
      <c r="G837" s="34"/>
      <c r="H837" s="34"/>
    </row>
    <row r="838" spans="1:8" ht="20">
      <c r="A838" s="200"/>
      <c r="B838" s="8"/>
      <c r="C838" s="8"/>
      <c r="D838" s="8"/>
      <c r="E838" s="81"/>
      <c r="F838" s="34"/>
      <c r="G838" s="34"/>
      <c r="H838" s="34"/>
    </row>
    <row r="839" spans="1:8" ht="20">
      <c r="A839" s="200"/>
      <c r="B839" s="8"/>
      <c r="C839" s="8"/>
      <c r="D839" s="8"/>
      <c r="E839" s="81"/>
      <c r="F839" s="34"/>
      <c r="G839" s="34"/>
      <c r="H839" s="34"/>
    </row>
    <row r="840" spans="1:8" ht="20">
      <c r="A840" s="200"/>
      <c r="B840" s="8"/>
      <c r="C840" s="8"/>
      <c r="D840" s="8"/>
      <c r="E840" s="81"/>
      <c r="F840" s="34"/>
      <c r="G840" s="34"/>
      <c r="H840" s="34"/>
    </row>
    <row r="841" spans="1:8" ht="20">
      <c r="A841" s="200"/>
      <c r="B841" s="8"/>
      <c r="C841" s="8"/>
      <c r="D841" s="8"/>
      <c r="E841" s="81"/>
      <c r="F841" s="34"/>
      <c r="G841" s="34"/>
      <c r="H841" s="34"/>
    </row>
    <row r="842" spans="1:8" ht="20">
      <c r="A842" s="200"/>
      <c r="B842" s="8"/>
      <c r="C842" s="8"/>
      <c r="D842" s="8"/>
      <c r="E842" s="81"/>
      <c r="F842" s="34"/>
      <c r="G842" s="34"/>
      <c r="H842" s="34"/>
    </row>
    <row r="843" spans="1:8" ht="20">
      <c r="A843" s="200"/>
      <c r="B843" s="8"/>
      <c r="C843" s="8"/>
      <c r="D843" s="8"/>
      <c r="E843" s="81"/>
      <c r="F843" s="34"/>
      <c r="G843" s="34"/>
      <c r="H843" s="34"/>
    </row>
    <row r="844" spans="1:8" ht="20">
      <c r="A844" s="200"/>
      <c r="B844" s="8"/>
      <c r="C844" s="8"/>
      <c r="D844" s="8"/>
      <c r="E844" s="81"/>
      <c r="F844" s="34"/>
      <c r="G844" s="34"/>
      <c r="H844" s="34"/>
    </row>
    <row r="845" spans="1:8" ht="20">
      <c r="A845" s="200"/>
      <c r="B845" s="8"/>
      <c r="C845" s="8"/>
      <c r="D845" s="8"/>
      <c r="E845" s="81"/>
      <c r="F845" s="34"/>
      <c r="G845" s="34"/>
      <c r="H845" s="34"/>
    </row>
    <row r="846" spans="1:8" ht="20">
      <c r="A846" s="200"/>
      <c r="B846" s="8"/>
      <c r="C846" s="8"/>
      <c r="D846" s="8"/>
      <c r="E846" s="81"/>
      <c r="F846" s="34"/>
      <c r="G846" s="34"/>
      <c r="H846" s="34"/>
    </row>
    <row r="847" spans="1:8" ht="20">
      <c r="A847" s="200"/>
      <c r="B847" s="8"/>
      <c r="C847" s="8"/>
      <c r="D847" s="8"/>
      <c r="E847" s="81"/>
      <c r="F847" s="34"/>
      <c r="G847" s="34"/>
      <c r="H847" s="34"/>
    </row>
    <row r="848" spans="1:8" ht="20">
      <c r="A848" s="200"/>
      <c r="B848" s="8"/>
      <c r="C848" s="8"/>
      <c r="D848" s="8"/>
      <c r="E848" s="81"/>
      <c r="F848" s="34"/>
      <c r="G848" s="34"/>
      <c r="H848" s="34"/>
    </row>
    <row r="849" spans="1:8" ht="20">
      <c r="A849" s="200"/>
      <c r="B849" s="8"/>
      <c r="C849" s="8"/>
      <c r="D849" s="8"/>
      <c r="E849" s="81"/>
      <c r="F849" s="34"/>
      <c r="G849" s="34"/>
      <c r="H849" s="34"/>
    </row>
    <row r="850" spans="1:8" ht="20">
      <c r="A850" s="200"/>
      <c r="B850" s="8"/>
      <c r="C850" s="8"/>
      <c r="D850" s="8"/>
      <c r="E850" s="81"/>
      <c r="F850" s="34"/>
      <c r="G850" s="34"/>
      <c r="H850" s="34"/>
    </row>
    <row r="851" spans="1:8" ht="20">
      <c r="A851" s="200"/>
      <c r="B851" s="8"/>
      <c r="C851" s="8"/>
      <c r="D851" s="8"/>
      <c r="E851" s="81"/>
      <c r="F851" s="34"/>
      <c r="G851" s="34"/>
      <c r="H851" s="34"/>
    </row>
    <row r="852" spans="1:8" ht="20">
      <c r="A852" s="200"/>
      <c r="B852" s="8"/>
      <c r="C852" s="8"/>
      <c r="D852" s="8"/>
      <c r="E852" s="81"/>
      <c r="F852" s="34"/>
      <c r="G852" s="34"/>
      <c r="H852" s="34"/>
    </row>
    <row r="853" spans="1:8" ht="20">
      <c r="A853" s="200"/>
      <c r="B853" s="8"/>
      <c r="C853" s="8"/>
      <c r="D853" s="8"/>
      <c r="E853" s="81"/>
      <c r="F853" s="34"/>
      <c r="G853" s="34"/>
      <c r="H853" s="34"/>
    </row>
    <row r="854" spans="1:8" ht="20">
      <c r="A854" s="200"/>
      <c r="B854" s="8"/>
      <c r="C854" s="8"/>
      <c r="D854" s="8"/>
      <c r="E854" s="81"/>
      <c r="F854" s="34"/>
      <c r="G854" s="34"/>
      <c r="H854" s="34"/>
    </row>
    <row r="855" spans="1:8" ht="20">
      <c r="A855" s="200"/>
      <c r="B855" s="8"/>
      <c r="C855" s="8"/>
      <c r="D855" s="8"/>
      <c r="E855" s="81"/>
      <c r="F855" s="34"/>
      <c r="G855" s="34"/>
      <c r="H855" s="34"/>
    </row>
    <row r="856" spans="1:8" ht="20">
      <c r="A856" s="200"/>
      <c r="B856" s="8"/>
      <c r="C856" s="8"/>
      <c r="D856" s="8"/>
      <c r="E856" s="81"/>
      <c r="F856" s="34"/>
      <c r="G856" s="34"/>
      <c r="H856" s="34"/>
    </row>
    <row r="857" spans="1:8" ht="20">
      <c r="A857" s="200"/>
      <c r="B857" s="8"/>
      <c r="C857" s="8"/>
      <c r="D857" s="8"/>
      <c r="E857" s="81"/>
      <c r="F857" s="34"/>
      <c r="G857" s="34"/>
      <c r="H857" s="34"/>
    </row>
    <row r="858" spans="1:8" ht="20">
      <c r="A858" s="200"/>
      <c r="B858" s="8"/>
      <c r="C858" s="8"/>
      <c r="D858" s="8"/>
      <c r="E858" s="81"/>
      <c r="F858" s="34"/>
      <c r="G858" s="34"/>
      <c r="H858" s="34"/>
    </row>
    <row r="859" spans="1:8" ht="20">
      <c r="A859" s="200"/>
      <c r="B859" s="8"/>
      <c r="C859" s="8"/>
      <c r="D859" s="8"/>
      <c r="E859" s="81"/>
      <c r="F859" s="34"/>
      <c r="G859" s="34"/>
      <c r="H859" s="34"/>
    </row>
    <row r="860" spans="1:8" ht="20">
      <c r="A860" s="200"/>
      <c r="B860" s="8"/>
      <c r="C860" s="8"/>
      <c r="D860" s="8"/>
      <c r="E860" s="81"/>
      <c r="F860" s="34"/>
      <c r="G860" s="34"/>
      <c r="H860" s="34"/>
    </row>
    <row r="861" spans="1:8" ht="20">
      <c r="A861" s="200"/>
      <c r="B861" s="8"/>
      <c r="C861" s="8"/>
      <c r="D861" s="8"/>
      <c r="E861" s="81"/>
      <c r="F861" s="34"/>
      <c r="G861" s="34"/>
      <c r="H861" s="34"/>
    </row>
    <row r="862" spans="1:8" ht="20">
      <c r="A862" s="200"/>
      <c r="B862" s="8"/>
      <c r="C862" s="8"/>
      <c r="D862" s="8"/>
      <c r="E862" s="81"/>
      <c r="F862" s="34"/>
      <c r="G862" s="34"/>
      <c r="H862" s="34"/>
    </row>
    <row r="863" spans="1:8" ht="20">
      <c r="A863" s="200"/>
      <c r="B863" s="8"/>
      <c r="C863" s="8"/>
      <c r="D863" s="8"/>
      <c r="E863" s="81"/>
      <c r="F863" s="34"/>
      <c r="G863" s="34"/>
      <c r="H863" s="34"/>
    </row>
    <row r="864" spans="1:8" ht="20">
      <c r="A864" s="200"/>
      <c r="B864" s="8"/>
      <c r="C864" s="8"/>
      <c r="D864" s="8"/>
      <c r="E864" s="81"/>
      <c r="F864" s="34"/>
      <c r="G864" s="34"/>
      <c r="H864" s="34"/>
    </row>
    <row r="865" spans="1:8" ht="20">
      <c r="A865" s="200"/>
      <c r="B865" s="8"/>
      <c r="C865" s="8"/>
      <c r="D865" s="8"/>
      <c r="E865" s="81"/>
      <c r="F865" s="34"/>
      <c r="G865" s="34"/>
      <c r="H865" s="34"/>
    </row>
    <row r="866" spans="1:8" ht="20">
      <c r="A866" s="200"/>
      <c r="B866" s="8"/>
      <c r="C866" s="8"/>
      <c r="D866" s="8"/>
      <c r="E866" s="81"/>
      <c r="F866" s="34"/>
      <c r="G866" s="34"/>
      <c r="H866" s="34"/>
    </row>
    <row r="867" spans="1:8" ht="20">
      <c r="A867" s="200"/>
      <c r="B867" s="8"/>
      <c r="C867" s="8"/>
      <c r="D867" s="8"/>
      <c r="E867" s="81"/>
      <c r="F867" s="34"/>
      <c r="G867" s="34"/>
      <c r="H867" s="34"/>
    </row>
    <row r="868" spans="1:8" ht="20">
      <c r="A868" s="200"/>
      <c r="B868" s="8"/>
      <c r="C868" s="8"/>
      <c r="D868" s="8"/>
      <c r="E868" s="81"/>
      <c r="F868" s="34"/>
      <c r="G868" s="34"/>
      <c r="H868" s="34"/>
    </row>
    <row r="869" spans="1:8" ht="20">
      <c r="A869" s="200"/>
      <c r="B869" s="8"/>
      <c r="C869" s="8"/>
      <c r="D869" s="8"/>
      <c r="E869" s="81"/>
      <c r="F869" s="34"/>
      <c r="G869" s="34"/>
      <c r="H869" s="34"/>
    </row>
    <row r="870" spans="1:8" ht="20">
      <c r="A870" s="200"/>
      <c r="B870" s="8"/>
      <c r="C870" s="8"/>
      <c r="D870" s="8"/>
      <c r="E870" s="81"/>
      <c r="F870" s="34"/>
      <c r="G870" s="34"/>
      <c r="H870" s="34"/>
    </row>
    <row r="871" spans="1:8" ht="20">
      <c r="A871" s="200"/>
      <c r="B871" s="8"/>
      <c r="C871" s="8"/>
      <c r="D871" s="8"/>
      <c r="E871" s="81"/>
      <c r="F871" s="34"/>
      <c r="G871" s="34"/>
      <c r="H871" s="34"/>
    </row>
    <row r="872" spans="1:8" ht="20">
      <c r="A872" s="200"/>
      <c r="B872" s="8"/>
      <c r="C872" s="8"/>
      <c r="D872" s="8"/>
      <c r="E872" s="81"/>
      <c r="F872" s="34"/>
      <c r="G872" s="34"/>
      <c r="H872" s="34"/>
    </row>
    <row r="873" spans="1:8" ht="20">
      <c r="A873" s="200"/>
      <c r="B873" s="8"/>
      <c r="C873" s="8"/>
      <c r="D873" s="8"/>
      <c r="E873" s="81"/>
      <c r="F873" s="34"/>
      <c r="G873" s="34"/>
      <c r="H873" s="34"/>
    </row>
    <row r="874" spans="1:8" ht="20">
      <c r="A874" s="200"/>
      <c r="B874" s="8"/>
      <c r="C874" s="8"/>
      <c r="D874" s="8"/>
      <c r="E874" s="81"/>
      <c r="F874" s="34"/>
      <c r="G874" s="34"/>
      <c r="H874" s="34"/>
    </row>
    <row r="875" spans="1:8" ht="20">
      <c r="A875" s="200"/>
      <c r="B875" s="8"/>
      <c r="C875" s="8"/>
      <c r="D875" s="8"/>
      <c r="E875" s="81"/>
      <c r="F875" s="34"/>
      <c r="G875" s="34"/>
      <c r="H875" s="34"/>
    </row>
    <row r="876" spans="1:8" ht="20">
      <c r="A876" s="200"/>
      <c r="B876" s="8"/>
      <c r="C876" s="8"/>
      <c r="D876" s="8"/>
      <c r="E876" s="81"/>
      <c r="F876" s="34"/>
      <c r="G876" s="34"/>
      <c r="H876" s="34"/>
    </row>
    <row r="877" spans="1:8" ht="20">
      <c r="A877" s="200"/>
      <c r="B877" s="8"/>
      <c r="C877" s="8"/>
      <c r="D877" s="8"/>
      <c r="E877" s="81"/>
      <c r="F877" s="34"/>
      <c r="G877" s="34"/>
      <c r="H877" s="34"/>
    </row>
    <row r="878" spans="1:8" ht="20">
      <c r="A878" s="200"/>
      <c r="B878" s="8"/>
      <c r="C878" s="8"/>
      <c r="D878" s="8"/>
      <c r="E878" s="81"/>
      <c r="F878" s="34"/>
      <c r="G878" s="34"/>
      <c r="H878" s="34"/>
    </row>
    <row r="879" spans="1:8" ht="20">
      <c r="A879" s="200"/>
      <c r="B879" s="8"/>
      <c r="C879" s="8"/>
      <c r="D879" s="8"/>
      <c r="E879" s="81"/>
      <c r="F879" s="34"/>
      <c r="G879" s="34"/>
      <c r="H879" s="34"/>
    </row>
    <row r="880" spans="1:8" ht="20">
      <c r="A880" s="200"/>
      <c r="B880" s="8"/>
      <c r="C880" s="8"/>
      <c r="D880" s="8"/>
      <c r="E880" s="81"/>
      <c r="F880" s="34"/>
      <c r="G880" s="34"/>
      <c r="H880" s="34"/>
    </row>
    <row r="881" spans="1:8" ht="20">
      <c r="A881" s="200"/>
      <c r="B881" s="8"/>
      <c r="C881" s="8"/>
      <c r="D881" s="8"/>
      <c r="E881" s="81"/>
      <c r="F881" s="34"/>
      <c r="G881" s="34"/>
      <c r="H881" s="34"/>
    </row>
    <row r="882" spans="1:8" ht="20">
      <c r="A882" s="200"/>
      <c r="B882" s="8"/>
      <c r="C882" s="8"/>
      <c r="D882" s="8"/>
      <c r="E882" s="81"/>
      <c r="F882" s="34"/>
      <c r="G882" s="34"/>
      <c r="H882" s="34"/>
    </row>
    <row r="883" spans="1:8" ht="20">
      <c r="A883" s="200"/>
      <c r="B883" s="8"/>
      <c r="C883" s="8"/>
      <c r="D883" s="8"/>
      <c r="E883" s="81"/>
      <c r="F883" s="34"/>
      <c r="G883" s="34"/>
      <c r="H883" s="34"/>
    </row>
    <row r="884" spans="1:8" ht="20">
      <c r="A884" s="200"/>
      <c r="B884" s="8"/>
      <c r="C884" s="8"/>
      <c r="D884" s="8"/>
      <c r="E884" s="81"/>
      <c r="F884" s="34"/>
      <c r="G884" s="34"/>
      <c r="H884" s="34"/>
    </row>
    <row r="885" spans="1:8" ht="20">
      <c r="A885" s="200"/>
      <c r="B885" s="8"/>
      <c r="C885" s="8"/>
      <c r="D885" s="8"/>
      <c r="E885" s="81"/>
      <c r="F885" s="34"/>
      <c r="G885" s="34"/>
      <c r="H885" s="34"/>
    </row>
    <row r="886" spans="1:8" ht="20">
      <c r="A886" s="200"/>
      <c r="B886" s="8"/>
      <c r="C886" s="8"/>
      <c r="D886" s="8"/>
      <c r="E886" s="81"/>
      <c r="F886" s="34"/>
      <c r="G886" s="34"/>
      <c r="H886" s="34"/>
    </row>
    <row r="887" spans="1:8" ht="20">
      <c r="A887" s="200"/>
      <c r="B887" s="8"/>
      <c r="C887" s="8"/>
      <c r="D887" s="8"/>
      <c r="E887" s="81"/>
      <c r="F887" s="34"/>
      <c r="G887" s="34"/>
      <c r="H887" s="34"/>
    </row>
    <row r="888" spans="1:8" ht="20">
      <c r="A888" s="200"/>
      <c r="B888" s="8"/>
      <c r="C888" s="8"/>
      <c r="D888" s="8"/>
      <c r="E888" s="81"/>
      <c r="F888" s="34"/>
      <c r="G888" s="34"/>
      <c r="H888" s="34"/>
    </row>
    <row r="889" spans="1:8" ht="20">
      <c r="A889" s="200"/>
      <c r="B889" s="8"/>
      <c r="C889" s="8"/>
      <c r="D889" s="8"/>
      <c r="E889" s="81"/>
      <c r="F889" s="34"/>
      <c r="G889" s="34"/>
      <c r="H889" s="34"/>
    </row>
    <row r="890" spans="1:8" ht="20">
      <c r="A890" s="200"/>
      <c r="B890" s="8"/>
      <c r="C890" s="8"/>
      <c r="D890" s="8"/>
      <c r="E890" s="81"/>
      <c r="F890" s="34"/>
      <c r="G890" s="34"/>
      <c r="H890" s="34"/>
    </row>
    <row r="891" spans="1:8" ht="20">
      <c r="A891" s="200"/>
      <c r="B891" s="8"/>
      <c r="C891" s="8"/>
      <c r="D891" s="8"/>
      <c r="E891" s="81"/>
      <c r="F891" s="34"/>
      <c r="G891" s="34"/>
      <c r="H891" s="34"/>
    </row>
    <row r="892" spans="1:8" ht="20">
      <c r="A892" s="200"/>
      <c r="B892" s="8"/>
      <c r="C892" s="8"/>
      <c r="D892" s="8"/>
      <c r="E892" s="81"/>
      <c r="F892" s="34"/>
      <c r="G892" s="34"/>
      <c r="H892" s="34"/>
    </row>
    <row r="893" spans="1:8" ht="20">
      <c r="A893" s="200"/>
      <c r="B893" s="8"/>
      <c r="C893" s="8"/>
      <c r="D893" s="8"/>
      <c r="E893" s="81"/>
      <c r="F893" s="34"/>
      <c r="G893" s="34"/>
      <c r="H893" s="34"/>
    </row>
    <row r="894" spans="1:8" ht="20">
      <c r="A894" s="200"/>
      <c r="B894" s="8"/>
      <c r="C894" s="8"/>
      <c r="D894" s="8"/>
      <c r="E894" s="81"/>
      <c r="F894" s="34"/>
      <c r="G894" s="34"/>
      <c r="H894" s="34"/>
    </row>
    <row r="895" spans="1:8" ht="20">
      <c r="A895" s="200"/>
      <c r="B895" s="8"/>
      <c r="C895" s="8"/>
      <c r="D895" s="8"/>
      <c r="E895" s="81"/>
      <c r="F895" s="34"/>
      <c r="G895" s="34"/>
      <c r="H895" s="34"/>
    </row>
    <row r="896" spans="1:8" ht="20">
      <c r="A896" s="200"/>
      <c r="B896" s="8"/>
      <c r="C896" s="8"/>
      <c r="D896" s="8"/>
      <c r="E896" s="81"/>
      <c r="F896" s="34"/>
      <c r="G896" s="34"/>
      <c r="H896" s="34"/>
    </row>
    <row r="897" spans="1:8" ht="20">
      <c r="A897" s="200"/>
      <c r="B897" s="8"/>
      <c r="C897" s="8"/>
      <c r="D897" s="8"/>
      <c r="E897" s="81"/>
      <c r="F897" s="34"/>
      <c r="G897" s="34"/>
      <c r="H897" s="34"/>
    </row>
    <row r="898" spans="1:8" ht="20">
      <c r="A898" s="200"/>
      <c r="B898" s="8"/>
      <c r="C898" s="8"/>
      <c r="D898" s="8"/>
      <c r="E898" s="81"/>
      <c r="F898" s="34"/>
      <c r="G898" s="34"/>
      <c r="H898" s="34"/>
    </row>
    <row r="899" spans="1:8" ht="20">
      <c r="A899" s="200"/>
      <c r="B899" s="8"/>
      <c r="C899" s="8"/>
      <c r="D899" s="8"/>
      <c r="E899" s="81"/>
      <c r="F899" s="34"/>
      <c r="G899" s="34"/>
      <c r="H899" s="34"/>
    </row>
    <row r="900" spans="1:8" ht="20">
      <c r="A900" s="200"/>
      <c r="B900" s="8"/>
      <c r="C900" s="8"/>
      <c r="D900" s="8"/>
      <c r="E900" s="81"/>
      <c r="F900" s="34"/>
      <c r="G900" s="34"/>
      <c r="H900" s="34"/>
    </row>
    <row r="901" spans="1:8" ht="20">
      <c r="A901" s="200"/>
      <c r="B901" s="8"/>
      <c r="C901" s="8"/>
      <c r="D901" s="8"/>
      <c r="E901" s="81"/>
      <c r="F901" s="34"/>
      <c r="G901" s="34"/>
      <c r="H901" s="34"/>
    </row>
    <row r="902" spans="1:8" ht="20">
      <c r="A902" s="200"/>
      <c r="B902" s="8"/>
      <c r="C902" s="8"/>
      <c r="D902" s="8"/>
      <c r="E902" s="81"/>
      <c r="F902" s="34"/>
      <c r="G902" s="34"/>
      <c r="H902" s="34"/>
    </row>
    <row r="903" spans="1:8" ht="20">
      <c r="A903" s="200"/>
      <c r="B903" s="8"/>
      <c r="C903" s="8"/>
      <c r="D903" s="8"/>
      <c r="E903" s="81"/>
      <c r="F903" s="34"/>
      <c r="G903" s="34"/>
      <c r="H903" s="34"/>
    </row>
    <row r="904" spans="1:8" ht="20">
      <c r="A904" s="200"/>
      <c r="B904" s="8"/>
      <c r="C904" s="8"/>
      <c r="D904" s="8"/>
      <c r="E904" s="81"/>
      <c r="F904" s="34"/>
      <c r="G904" s="34"/>
      <c r="H904" s="34"/>
    </row>
    <row r="905" spans="1:8" ht="20">
      <c r="A905" s="200"/>
      <c r="B905" s="8"/>
      <c r="C905" s="8"/>
      <c r="D905" s="8"/>
      <c r="E905" s="81"/>
      <c r="F905" s="34"/>
      <c r="G905" s="34"/>
      <c r="H905" s="34"/>
    </row>
    <row r="906" spans="1:8" ht="20">
      <c r="A906" s="200"/>
      <c r="B906" s="8"/>
      <c r="C906" s="8"/>
      <c r="D906" s="8"/>
      <c r="E906" s="81"/>
      <c r="F906" s="34"/>
      <c r="G906" s="34"/>
      <c r="H906" s="34"/>
    </row>
    <row r="907" spans="1:8" ht="20">
      <c r="A907" s="200"/>
      <c r="B907" s="8"/>
      <c r="C907" s="8"/>
      <c r="D907" s="8"/>
      <c r="E907" s="81"/>
      <c r="F907" s="34"/>
      <c r="G907" s="34"/>
      <c r="H907" s="34"/>
    </row>
    <row r="908" spans="1:8" ht="20">
      <c r="A908" s="200"/>
      <c r="B908" s="8"/>
      <c r="C908" s="8"/>
      <c r="D908" s="8"/>
      <c r="E908" s="81"/>
      <c r="F908" s="34"/>
      <c r="G908" s="34"/>
      <c r="H908" s="34"/>
    </row>
    <row r="909" spans="1:8" ht="20">
      <c r="A909" s="200"/>
      <c r="B909" s="8"/>
      <c r="C909" s="8"/>
      <c r="D909" s="8"/>
      <c r="E909" s="81"/>
      <c r="F909" s="34"/>
      <c r="G909" s="34"/>
      <c r="H909" s="34"/>
    </row>
    <row r="910" spans="1:8" ht="20">
      <c r="A910" s="200"/>
      <c r="B910" s="8"/>
      <c r="C910" s="8"/>
      <c r="D910" s="8"/>
      <c r="E910" s="81"/>
      <c r="F910" s="34"/>
      <c r="G910" s="34"/>
      <c r="H910" s="34"/>
    </row>
    <row r="911" spans="1:8" ht="20">
      <c r="A911" s="200"/>
      <c r="B911" s="8"/>
      <c r="C911" s="8"/>
      <c r="D911" s="8"/>
      <c r="E911" s="81"/>
      <c r="F911" s="34"/>
      <c r="G911" s="34"/>
      <c r="H911" s="34"/>
    </row>
    <row r="912" spans="1:8" ht="20">
      <c r="A912" s="200"/>
      <c r="B912" s="8"/>
      <c r="C912" s="8"/>
      <c r="D912" s="8"/>
      <c r="E912" s="81"/>
      <c r="F912" s="34"/>
      <c r="G912" s="34"/>
      <c r="H912" s="34"/>
    </row>
    <row r="913" spans="1:8" ht="20">
      <c r="A913" s="200"/>
      <c r="B913" s="8"/>
      <c r="C913" s="8"/>
      <c r="D913" s="8"/>
      <c r="E913" s="81"/>
      <c r="F913" s="34"/>
      <c r="G913" s="34"/>
      <c r="H913" s="34"/>
    </row>
    <row r="914" spans="1:8" ht="20">
      <c r="A914" s="200"/>
      <c r="B914" s="8"/>
      <c r="C914" s="8"/>
      <c r="D914" s="8"/>
      <c r="E914" s="81"/>
      <c r="F914" s="34"/>
      <c r="G914" s="34"/>
      <c r="H914" s="34"/>
    </row>
    <row r="915" spans="1:8" ht="20">
      <c r="A915" s="200"/>
      <c r="B915" s="8"/>
      <c r="C915" s="8"/>
      <c r="D915" s="8"/>
      <c r="E915" s="81"/>
      <c r="F915" s="34"/>
      <c r="G915" s="34"/>
      <c r="H915" s="34"/>
    </row>
    <row r="916" spans="1:8" ht="20">
      <c r="A916" s="200"/>
      <c r="B916" s="8"/>
      <c r="C916" s="8"/>
      <c r="D916" s="8"/>
      <c r="E916" s="81"/>
      <c r="F916" s="34"/>
      <c r="G916" s="34"/>
      <c r="H916" s="34"/>
    </row>
    <row r="917" spans="1:8" ht="20">
      <c r="A917" s="200"/>
      <c r="B917" s="8"/>
      <c r="C917" s="8"/>
      <c r="D917" s="8"/>
      <c r="E917" s="81"/>
      <c r="F917" s="34"/>
      <c r="G917" s="34"/>
      <c r="H917" s="34"/>
    </row>
    <row r="918" spans="1:8" ht="20">
      <c r="A918" s="200"/>
      <c r="B918" s="8"/>
      <c r="C918" s="8"/>
      <c r="D918" s="8"/>
      <c r="E918" s="81"/>
      <c r="F918" s="34"/>
      <c r="G918" s="34"/>
      <c r="H918" s="34"/>
    </row>
    <row r="919" spans="1:8" ht="20">
      <c r="A919" s="200"/>
      <c r="B919" s="8"/>
      <c r="C919" s="8"/>
      <c r="D919" s="8"/>
      <c r="E919" s="81"/>
      <c r="F919" s="34"/>
      <c r="G919" s="34"/>
      <c r="H919" s="34"/>
    </row>
    <row r="920" spans="1:8" ht="20">
      <c r="A920" s="200"/>
      <c r="B920" s="8"/>
      <c r="C920" s="8"/>
      <c r="D920" s="8"/>
      <c r="E920" s="81"/>
      <c r="F920" s="34"/>
      <c r="G920" s="34"/>
      <c r="H920" s="34"/>
    </row>
    <row r="921" spans="1:8" ht="20">
      <c r="A921" s="200"/>
      <c r="B921" s="8"/>
      <c r="C921" s="8"/>
      <c r="D921" s="8"/>
      <c r="E921" s="81"/>
      <c r="F921" s="34"/>
      <c r="G921" s="34"/>
      <c r="H921" s="34"/>
    </row>
    <row r="922" spans="1:8" ht="20">
      <c r="A922" s="200"/>
      <c r="B922" s="8"/>
      <c r="C922" s="8"/>
      <c r="D922" s="8"/>
      <c r="E922" s="81"/>
      <c r="F922" s="34"/>
      <c r="G922" s="34"/>
      <c r="H922" s="34"/>
    </row>
    <row r="923" spans="1:8" ht="20">
      <c r="A923" s="200"/>
      <c r="B923" s="8"/>
      <c r="C923" s="8"/>
      <c r="D923" s="8"/>
      <c r="E923" s="81"/>
      <c r="F923" s="34"/>
      <c r="G923" s="34"/>
      <c r="H923" s="34"/>
    </row>
    <row r="924" spans="1:8" ht="20">
      <c r="A924" s="200"/>
      <c r="B924" s="8"/>
      <c r="C924" s="8"/>
      <c r="D924" s="8"/>
      <c r="E924" s="81"/>
      <c r="F924" s="34"/>
      <c r="G924" s="34"/>
      <c r="H924" s="34"/>
    </row>
    <row r="925" spans="1:8" ht="20">
      <c r="A925" s="200"/>
      <c r="B925" s="8"/>
      <c r="C925" s="8"/>
      <c r="D925" s="8"/>
      <c r="E925" s="81"/>
      <c r="F925" s="34"/>
      <c r="G925" s="34"/>
      <c r="H925" s="34"/>
    </row>
    <row r="926" spans="1:8" ht="20">
      <c r="A926" s="200"/>
      <c r="B926" s="8"/>
      <c r="C926" s="8"/>
      <c r="D926" s="8"/>
      <c r="E926" s="81"/>
      <c r="F926" s="34"/>
      <c r="G926" s="34"/>
      <c r="H926" s="34"/>
    </row>
    <row r="927" spans="1:8" ht="20">
      <c r="A927" s="200"/>
      <c r="B927" s="8"/>
      <c r="C927" s="8"/>
      <c r="D927" s="8"/>
      <c r="E927" s="81"/>
      <c r="F927" s="34"/>
      <c r="G927" s="34"/>
      <c r="H927" s="34"/>
    </row>
    <row r="928" spans="1:8" ht="20">
      <c r="A928" s="200"/>
      <c r="B928" s="8"/>
      <c r="C928" s="8"/>
      <c r="D928" s="8"/>
      <c r="E928" s="81"/>
      <c r="F928" s="34"/>
      <c r="G928" s="34"/>
      <c r="H928" s="34"/>
    </row>
    <row r="929" spans="1:8" ht="20">
      <c r="A929" s="200"/>
      <c r="B929" s="8"/>
      <c r="C929" s="8"/>
      <c r="D929" s="8"/>
      <c r="E929" s="81"/>
      <c r="F929" s="34"/>
      <c r="G929" s="34"/>
      <c r="H929" s="34"/>
    </row>
    <row r="930" spans="1:8" ht="20">
      <c r="A930" s="200"/>
      <c r="B930" s="8"/>
      <c r="C930" s="8"/>
      <c r="D930" s="8"/>
      <c r="E930" s="81"/>
      <c r="F930" s="34"/>
      <c r="G930" s="34"/>
      <c r="H930" s="34"/>
    </row>
    <row r="931" spans="1:8" ht="20">
      <c r="A931" s="200"/>
      <c r="B931" s="8"/>
      <c r="C931" s="8"/>
      <c r="D931" s="8"/>
      <c r="E931" s="81"/>
      <c r="F931" s="34"/>
      <c r="G931" s="34"/>
      <c r="H931" s="34"/>
    </row>
    <row r="932" spans="1:8" ht="20">
      <c r="A932" s="200"/>
      <c r="B932" s="8"/>
      <c r="C932" s="8"/>
      <c r="D932" s="8"/>
      <c r="E932" s="81"/>
      <c r="F932" s="34"/>
      <c r="G932" s="34"/>
      <c r="H932" s="34"/>
    </row>
    <row r="933" spans="1:8" ht="20">
      <c r="A933" s="200"/>
      <c r="B933" s="8"/>
      <c r="C933" s="8"/>
      <c r="D933" s="8"/>
      <c r="E933" s="81"/>
      <c r="F933" s="34"/>
      <c r="G933" s="34"/>
      <c r="H933" s="34"/>
    </row>
    <row r="934" spans="1:8" ht="20">
      <c r="A934" s="200"/>
      <c r="B934" s="8"/>
      <c r="C934" s="8"/>
      <c r="D934" s="8"/>
      <c r="E934" s="81"/>
      <c r="F934" s="34"/>
      <c r="G934" s="34"/>
      <c r="H934" s="34"/>
    </row>
    <row r="935" spans="1:8" ht="20">
      <c r="A935" s="200"/>
      <c r="B935" s="8"/>
      <c r="C935" s="8"/>
      <c r="D935" s="8"/>
      <c r="E935" s="81"/>
      <c r="F935" s="34"/>
      <c r="G935" s="34"/>
      <c r="H935" s="34"/>
    </row>
    <row r="936" spans="1:8" ht="20">
      <c r="A936" s="200"/>
      <c r="B936" s="8"/>
      <c r="C936" s="8"/>
      <c r="D936" s="8"/>
      <c r="E936" s="81"/>
      <c r="F936" s="34"/>
      <c r="G936" s="34"/>
      <c r="H936" s="34"/>
    </row>
    <row r="937" spans="1:8" ht="20">
      <c r="A937" s="200"/>
      <c r="B937" s="8"/>
      <c r="C937" s="8"/>
      <c r="D937" s="8"/>
      <c r="E937" s="81"/>
      <c r="F937" s="34"/>
      <c r="G937" s="34"/>
      <c r="H937" s="34"/>
    </row>
    <row r="938" spans="1:8" ht="20">
      <c r="A938" s="200"/>
      <c r="B938" s="8"/>
      <c r="C938" s="8"/>
      <c r="D938" s="8"/>
      <c r="E938" s="81"/>
      <c r="F938" s="34"/>
      <c r="G938" s="34"/>
      <c r="H938" s="34"/>
    </row>
    <row r="939" spans="1:8" ht="20">
      <c r="A939" s="200"/>
      <c r="B939" s="8"/>
      <c r="C939" s="8"/>
      <c r="D939" s="8"/>
      <c r="E939" s="81"/>
      <c r="F939" s="34"/>
      <c r="G939" s="34"/>
      <c r="H939" s="34"/>
    </row>
    <row r="940" spans="1:8" ht="20">
      <c r="A940" s="200"/>
      <c r="B940" s="8"/>
      <c r="C940" s="8"/>
      <c r="D940" s="8"/>
      <c r="E940" s="81"/>
      <c r="F940" s="34"/>
      <c r="G940" s="34"/>
      <c r="H940" s="34"/>
    </row>
    <row r="941" spans="1:8" ht="20">
      <c r="A941" s="200"/>
      <c r="B941" s="8"/>
      <c r="C941" s="8"/>
      <c r="D941" s="8"/>
      <c r="E941" s="81"/>
      <c r="F941" s="34"/>
      <c r="G941" s="34"/>
      <c r="H941" s="34"/>
    </row>
    <row r="942" spans="1:8" ht="20">
      <c r="A942" s="200"/>
      <c r="B942" s="8"/>
      <c r="C942" s="8"/>
      <c r="D942" s="8"/>
      <c r="E942" s="81"/>
      <c r="F942" s="34"/>
      <c r="G942" s="34"/>
      <c r="H942" s="34"/>
    </row>
    <row r="943" spans="1:8" ht="20">
      <c r="A943" s="200"/>
      <c r="B943" s="8"/>
      <c r="C943" s="8"/>
      <c r="D943" s="8"/>
      <c r="E943" s="81"/>
      <c r="F943" s="34"/>
      <c r="G943" s="34"/>
      <c r="H943" s="34"/>
    </row>
    <row r="944" spans="1:8" ht="20">
      <c r="A944" s="200"/>
      <c r="B944" s="8"/>
      <c r="C944" s="8"/>
      <c r="D944" s="8"/>
      <c r="E944" s="81"/>
      <c r="F944" s="34"/>
      <c r="G944" s="34"/>
      <c r="H944" s="34"/>
    </row>
    <row r="945" spans="1:8" ht="20">
      <c r="A945" s="200"/>
      <c r="B945" s="8"/>
      <c r="C945" s="8"/>
      <c r="D945" s="8"/>
      <c r="E945" s="81"/>
      <c r="F945" s="34"/>
      <c r="G945" s="34"/>
      <c r="H945" s="34"/>
    </row>
    <row r="946" spans="1:8" ht="20">
      <c r="A946" s="200"/>
      <c r="B946" s="8"/>
      <c r="C946" s="8"/>
      <c r="D946" s="8"/>
      <c r="E946" s="81"/>
      <c r="F946" s="34"/>
      <c r="G946" s="34"/>
      <c r="H946" s="34"/>
    </row>
    <row r="947" spans="1:8" ht="20">
      <c r="A947" s="200"/>
      <c r="B947" s="8"/>
      <c r="C947" s="8"/>
      <c r="D947" s="8"/>
      <c r="E947" s="81"/>
      <c r="F947" s="34"/>
      <c r="G947" s="34"/>
      <c r="H947" s="34"/>
    </row>
    <row r="948" spans="1:8" ht="20">
      <c r="A948" s="200"/>
      <c r="B948" s="8"/>
      <c r="C948" s="8"/>
      <c r="D948" s="8"/>
      <c r="E948" s="81"/>
      <c r="F948" s="34"/>
      <c r="G948" s="34"/>
      <c r="H948" s="34"/>
    </row>
    <row r="949" spans="1:8" ht="20">
      <c r="A949" s="200"/>
      <c r="B949" s="8"/>
      <c r="C949" s="8"/>
      <c r="D949" s="8"/>
      <c r="E949" s="81"/>
      <c r="F949" s="34"/>
      <c r="G949" s="34"/>
      <c r="H949" s="34"/>
    </row>
    <row r="950" spans="1:8" ht="20">
      <c r="A950" s="200"/>
      <c r="B950" s="8"/>
      <c r="C950" s="8"/>
      <c r="D950" s="8"/>
      <c r="E950" s="81"/>
      <c r="F950" s="34"/>
      <c r="G950" s="34"/>
      <c r="H950" s="34"/>
    </row>
    <row r="951" spans="1:8" ht="20">
      <c r="A951" s="200"/>
      <c r="B951" s="8"/>
      <c r="C951" s="8"/>
      <c r="D951" s="8"/>
      <c r="E951" s="81"/>
      <c r="F951" s="34"/>
      <c r="G951" s="34"/>
      <c r="H951" s="34"/>
    </row>
    <row r="952" spans="1:8" ht="20">
      <c r="A952" s="200"/>
      <c r="B952" s="8"/>
      <c r="C952" s="8"/>
      <c r="D952" s="8"/>
      <c r="E952" s="81"/>
      <c r="F952" s="34"/>
      <c r="G952" s="34"/>
      <c r="H952" s="34"/>
    </row>
    <row r="953" spans="1:8" ht="20">
      <c r="A953" s="200"/>
      <c r="B953" s="8"/>
      <c r="C953" s="8"/>
      <c r="D953" s="8"/>
      <c r="E953" s="81"/>
      <c r="F953" s="34"/>
      <c r="G953" s="34"/>
      <c r="H953" s="34"/>
    </row>
    <row r="954" spans="1:8" ht="20">
      <c r="A954" s="200"/>
      <c r="B954" s="8"/>
      <c r="C954" s="8"/>
      <c r="D954" s="8"/>
      <c r="E954" s="81"/>
      <c r="F954" s="34"/>
      <c r="G954" s="34"/>
      <c r="H954" s="34"/>
    </row>
    <row r="955" spans="1:8" ht="20">
      <c r="A955" s="200"/>
      <c r="B955" s="8"/>
      <c r="C955" s="8"/>
      <c r="D955" s="8"/>
      <c r="E955" s="81"/>
      <c r="F955" s="34"/>
      <c r="G955" s="34"/>
      <c r="H955" s="34"/>
    </row>
    <row r="956" spans="1:8" ht="20">
      <c r="A956" s="200"/>
      <c r="B956" s="8"/>
      <c r="C956" s="8"/>
      <c r="D956" s="8"/>
      <c r="E956" s="81"/>
      <c r="F956" s="34"/>
      <c r="G956" s="34"/>
      <c r="H956" s="34"/>
    </row>
    <row r="957" spans="1:8" ht="20">
      <c r="A957" s="200"/>
      <c r="B957" s="8"/>
      <c r="C957" s="8"/>
      <c r="D957" s="8"/>
      <c r="E957" s="81"/>
      <c r="F957" s="34"/>
      <c r="G957" s="34"/>
      <c r="H957" s="34"/>
    </row>
    <row r="958" spans="1:8" ht="20">
      <c r="A958" s="200"/>
      <c r="B958" s="8"/>
      <c r="C958" s="8"/>
      <c r="D958" s="8"/>
      <c r="E958" s="81"/>
      <c r="F958" s="34"/>
      <c r="G958" s="34"/>
      <c r="H958" s="34"/>
    </row>
    <row r="959" spans="1:8" ht="20">
      <c r="A959" s="200"/>
      <c r="B959" s="8"/>
      <c r="C959" s="8"/>
      <c r="D959" s="8"/>
      <c r="E959" s="81"/>
      <c r="F959" s="34"/>
      <c r="G959" s="34"/>
      <c r="H959" s="34"/>
    </row>
    <row r="960" spans="1:8" ht="20">
      <c r="A960" s="200"/>
      <c r="B960" s="8"/>
      <c r="C960" s="8"/>
      <c r="D960" s="8"/>
      <c r="E960" s="81"/>
      <c r="F960" s="34"/>
      <c r="G960" s="34"/>
      <c r="H960" s="34"/>
    </row>
    <row r="961" spans="1:8" ht="20">
      <c r="A961" s="200"/>
      <c r="B961" s="8"/>
      <c r="C961" s="8"/>
      <c r="D961" s="8"/>
      <c r="E961" s="81"/>
      <c r="F961" s="34"/>
      <c r="G961" s="34"/>
      <c r="H961" s="34"/>
    </row>
    <row r="962" spans="1:8" ht="20">
      <c r="A962" s="200"/>
      <c r="B962" s="8"/>
      <c r="C962" s="8"/>
      <c r="D962" s="8"/>
      <c r="E962" s="81"/>
      <c r="F962" s="34"/>
      <c r="G962" s="34"/>
      <c r="H962" s="34"/>
    </row>
    <row r="963" spans="1:8" ht="20">
      <c r="A963" s="200"/>
      <c r="B963" s="8"/>
      <c r="C963" s="8"/>
      <c r="D963" s="8"/>
      <c r="E963" s="81"/>
      <c r="F963" s="34"/>
      <c r="G963" s="34"/>
      <c r="H963" s="34"/>
    </row>
    <row r="964" spans="1:8" ht="20">
      <c r="A964" s="200"/>
      <c r="B964" s="8"/>
      <c r="C964" s="8"/>
      <c r="D964" s="8"/>
      <c r="E964" s="81"/>
      <c r="F964" s="34"/>
      <c r="G964" s="34"/>
      <c r="H964" s="34"/>
    </row>
    <row r="965" spans="1:8" ht="20">
      <c r="A965" s="200"/>
      <c r="B965" s="8"/>
      <c r="C965" s="8"/>
      <c r="D965" s="8"/>
      <c r="E965" s="81"/>
      <c r="F965" s="34"/>
      <c r="G965" s="34"/>
      <c r="H965" s="34"/>
    </row>
    <row r="966" spans="1:8" ht="20">
      <c r="A966" s="200"/>
      <c r="B966" s="8"/>
      <c r="C966" s="8"/>
      <c r="D966" s="8"/>
      <c r="E966" s="81"/>
      <c r="F966" s="34"/>
      <c r="G966" s="34"/>
      <c r="H966" s="34"/>
    </row>
    <row r="967" spans="1:8" ht="20">
      <c r="A967" s="200"/>
      <c r="B967" s="8"/>
      <c r="C967" s="8"/>
      <c r="D967" s="8"/>
      <c r="E967" s="81"/>
      <c r="F967" s="34"/>
      <c r="G967" s="34"/>
      <c r="H967" s="34"/>
    </row>
    <row r="968" spans="1:8" ht="20">
      <c r="A968" s="200"/>
      <c r="B968" s="8"/>
      <c r="C968" s="8"/>
      <c r="D968" s="8"/>
      <c r="E968" s="81"/>
      <c r="F968" s="34"/>
      <c r="G968" s="34"/>
      <c r="H968" s="34"/>
    </row>
    <row r="969" spans="1:8" ht="20">
      <c r="A969" s="200"/>
      <c r="B969" s="8"/>
      <c r="C969" s="8"/>
      <c r="D969" s="8"/>
      <c r="E969" s="81"/>
      <c r="F969" s="34"/>
      <c r="G969" s="34"/>
      <c r="H969" s="34"/>
    </row>
    <row r="970" spans="1:8" ht="20">
      <c r="A970" s="200"/>
      <c r="B970" s="8"/>
      <c r="C970" s="8"/>
      <c r="D970" s="8"/>
      <c r="E970" s="81"/>
      <c r="F970" s="34"/>
      <c r="G970" s="34"/>
      <c r="H970" s="34"/>
    </row>
    <row r="971" spans="1:8" ht="20">
      <c r="A971" s="200"/>
      <c r="B971" s="8"/>
      <c r="C971" s="8"/>
      <c r="D971" s="8"/>
      <c r="E971" s="81"/>
      <c r="F971" s="34"/>
      <c r="G971" s="34"/>
      <c r="H971" s="34"/>
    </row>
    <row r="972" spans="1:8" ht="20">
      <c r="A972" s="200"/>
      <c r="B972" s="8"/>
      <c r="C972" s="8"/>
      <c r="D972" s="8"/>
      <c r="E972" s="81"/>
      <c r="F972" s="34"/>
      <c r="G972" s="34"/>
      <c r="H972" s="34"/>
    </row>
    <row r="973" spans="1:8" ht="20">
      <c r="A973" s="200"/>
      <c r="B973" s="8"/>
      <c r="C973" s="8"/>
      <c r="D973" s="8"/>
      <c r="E973" s="81"/>
      <c r="F973" s="34"/>
      <c r="G973" s="34"/>
      <c r="H973" s="34"/>
    </row>
    <row r="974" spans="1:8" ht="20">
      <c r="A974" s="200"/>
      <c r="B974" s="8"/>
      <c r="C974" s="8"/>
      <c r="D974" s="8"/>
      <c r="E974" s="81"/>
      <c r="F974" s="34"/>
      <c r="G974" s="34"/>
      <c r="H974" s="34"/>
    </row>
    <row r="975" spans="1:8" ht="20">
      <c r="A975" s="200"/>
      <c r="B975" s="8"/>
      <c r="C975" s="8"/>
      <c r="D975" s="8"/>
      <c r="E975" s="81"/>
      <c r="F975" s="34"/>
      <c r="G975" s="34"/>
      <c r="H975" s="34"/>
    </row>
    <row r="976" spans="1:8" ht="20">
      <c r="A976" s="200"/>
      <c r="B976" s="8"/>
      <c r="C976" s="8"/>
      <c r="D976" s="8"/>
      <c r="E976" s="81"/>
      <c r="F976" s="34"/>
      <c r="G976" s="34"/>
      <c r="H976" s="34"/>
    </row>
    <row r="977" spans="1:8" ht="20">
      <c r="A977" s="200"/>
      <c r="B977" s="8"/>
      <c r="C977" s="8"/>
      <c r="D977" s="8"/>
      <c r="E977" s="81"/>
      <c r="F977" s="34"/>
      <c r="G977" s="34"/>
      <c r="H977" s="34"/>
    </row>
    <row r="978" spans="1:8" ht="20">
      <c r="A978" s="200"/>
      <c r="B978" s="8"/>
      <c r="C978" s="8"/>
      <c r="D978" s="8"/>
      <c r="E978" s="81"/>
      <c r="F978" s="34"/>
      <c r="G978" s="34"/>
      <c r="H978" s="34"/>
    </row>
    <row r="979" spans="1:8" ht="20">
      <c r="A979" s="200"/>
      <c r="B979" s="8"/>
      <c r="C979" s="8"/>
      <c r="D979" s="8"/>
      <c r="E979" s="81"/>
      <c r="F979" s="34"/>
      <c r="G979" s="34"/>
      <c r="H979" s="34"/>
    </row>
    <row r="980" spans="1:8" ht="20">
      <c r="A980" s="200"/>
      <c r="B980" s="8"/>
      <c r="C980" s="8"/>
      <c r="D980" s="8"/>
      <c r="E980" s="81"/>
      <c r="F980" s="34"/>
      <c r="G980" s="34"/>
      <c r="H980" s="34"/>
    </row>
    <row r="981" spans="1:8" ht="20">
      <c r="A981" s="200"/>
      <c r="B981" s="8"/>
      <c r="C981" s="8"/>
      <c r="D981" s="8"/>
      <c r="E981" s="81"/>
      <c r="F981" s="34"/>
      <c r="G981" s="34"/>
      <c r="H981" s="34"/>
    </row>
    <row r="982" spans="1:8" ht="20">
      <c r="A982" s="200"/>
      <c r="B982" s="8"/>
      <c r="C982" s="8"/>
      <c r="D982" s="8"/>
      <c r="E982" s="81"/>
      <c r="F982" s="34"/>
      <c r="G982" s="34"/>
      <c r="H982" s="34"/>
    </row>
    <row r="983" spans="1:8" ht="20">
      <c r="A983" s="200"/>
      <c r="B983" s="8"/>
      <c r="C983" s="8"/>
      <c r="D983" s="8"/>
      <c r="E983" s="81"/>
      <c r="F983" s="34"/>
      <c r="G983" s="34"/>
      <c r="H983" s="34"/>
    </row>
    <row r="984" spans="1:8" ht="20">
      <c r="A984" s="200"/>
      <c r="B984" s="8"/>
      <c r="C984" s="8"/>
      <c r="D984" s="8"/>
      <c r="E984" s="81"/>
      <c r="F984" s="34"/>
      <c r="G984" s="34"/>
      <c r="H984" s="34"/>
    </row>
    <row r="985" spans="1:8" ht="20">
      <c r="A985" s="200"/>
      <c r="B985" s="8"/>
      <c r="C985" s="8"/>
      <c r="D985" s="8"/>
      <c r="E985" s="81"/>
      <c r="F985" s="34"/>
      <c r="G985" s="34"/>
      <c r="H985" s="34"/>
    </row>
    <row r="986" spans="1:8" ht="20">
      <c r="A986" s="200"/>
      <c r="B986" s="8"/>
      <c r="C986" s="8"/>
      <c r="D986" s="8"/>
      <c r="E986" s="81"/>
      <c r="F986" s="34"/>
      <c r="G986" s="34"/>
      <c r="H986" s="34"/>
    </row>
    <row r="987" spans="1:8" ht="20">
      <c r="A987" s="200"/>
      <c r="B987" s="8"/>
      <c r="C987" s="8"/>
      <c r="D987" s="8"/>
      <c r="E987" s="81"/>
      <c r="F987" s="34"/>
      <c r="G987" s="34"/>
      <c r="H987" s="34"/>
    </row>
    <row r="988" spans="1:8" ht="20">
      <c r="A988" s="200"/>
      <c r="B988" s="8"/>
      <c r="C988" s="8"/>
      <c r="D988" s="8"/>
      <c r="E988" s="81"/>
      <c r="F988" s="34"/>
      <c r="G988" s="34"/>
      <c r="H988" s="34"/>
    </row>
    <row r="989" spans="1:8" ht="20">
      <c r="A989" s="200"/>
      <c r="B989" s="8"/>
      <c r="C989" s="8"/>
      <c r="D989" s="8"/>
      <c r="E989" s="81"/>
      <c r="F989" s="34"/>
      <c r="G989" s="34"/>
      <c r="H989" s="34"/>
    </row>
    <row r="990" spans="1:8" ht="20">
      <c r="A990" s="200"/>
      <c r="B990" s="8"/>
      <c r="C990" s="8"/>
      <c r="D990" s="8"/>
      <c r="E990" s="81"/>
      <c r="F990" s="34"/>
      <c r="G990" s="34"/>
      <c r="H990" s="34"/>
    </row>
    <row r="991" spans="1:8" ht="20">
      <c r="A991" s="200"/>
      <c r="B991" s="8"/>
      <c r="C991" s="8"/>
      <c r="D991" s="8"/>
      <c r="E991" s="81"/>
      <c r="F991" s="34"/>
      <c r="G991" s="34"/>
      <c r="H991" s="34"/>
    </row>
    <row r="992" spans="1:8" ht="20">
      <c r="A992" s="200"/>
      <c r="B992" s="8"/>
      <c r="C992" s="8"/>
      <c r="D992" s="8"/>
      <c r="E992" s="81"/>
      <c r="F992" s="34"/>
      <c r="G992" s="34"/>
      <c r="H992" s="34"/>
    </row>
    <row r="993" spans="1:8" ht="20">
      <c r="A993" s="200"/>
      <c r="B993" s="8"/>
      <c r="C993" s="8"/>
      <c r="D993" s="8"/>
      <c r="E993" s="81"/>
      <c r="F993" s="34"/>
      <c r="G993" s="34"/>
      <c r="H993" s="34"/>
    </row>
    <row r="994" spans="1:8" ht="20">
      <c r="A994" s="200"/>
      <c r="B994" s="8"/>
      <c r="C994" s="8"/>
      <c r="D994" s="8"/>
      <c r="E994" s="81"/>
      <c r="F994" s="34"/>
      <c r="G994" s="34"/>
      <c r="H994" s="34"/>
    </row>
    <row r="995" spans="1:8" ht="20">
      <c r="A995" s="200"/>
      <c r="B995" s="8"/>
      <c r="C995" s="8"/>
      <c r="D995" s="8"/>
      <c r="E995" s="81"/>
      <c r="F995" s="34"/>
      <c r="G995" s="34"/>
      <c r="H995" s="34"/>
    </row>
    <row r="996" spans="1:8" ht="20">
      <c r="A996" s="200"/>
      <c r="B996" s="8"/>
      <c r="C996" s="8"/>
      <c r="D996" s="8"/>
      <c r="E996" s="81"/>
      <c r="F996" s="34"/>
      <c r="G996" s="34"/>
      <c r="H996" s="34"/>
    </row>
    <row r="997" spans="1:8" ht="20">
      <c r="A997" s="200"/>
      <c r="B997" s="8"/>
      <c r="C997" s="8"/>
      <c r="D997" s="8"/>
      <c r="E997" s="81"/>
      <c r="F997" s="34"/>
      <c r="G997" s="34"/>
      <c r="H997" s="34"/>
    </row>
    <row r="998" spans="1:8" ht="20">
      <c r="A998" s="200"/>
      <c r="B998" s="8"/>
      <c r="C998" s="8"/>
      <c r="D998" s="8"/>
      <c r="E998" s="81"/>
      <c r="F998" s="34"/>
      <c r="G998" s="34"/>
      <c r="H998" s="34"/>
    </row>
    <row r="999" spans="1:8" ht="20">
      <c r="A999" s="200"/>
      <c r="B999" s="8"/>
      <c r="C999" s="8"/>
      <c r="D999" s="8"/>
      <c r="E999" s="81"/>
      <c r="F999" s="34"/>
      <c r="G999" s="34"/>
      <c r="H999" s="34"/>
    </row>
    <row r="1000" spans="1:8" ht="20">
      <c r="A1000" s="200"/>
      <c r="B1000" s="8"/>
      <c r="C1000" s="8"/>
      <c r="D1000" s="8"/>
      <c r="E1000" s="81"/>
      <c r="F1000" s="34"/>
      <c r="G1000" s="34"/>
      <c r="H1000" s="34"/>
    </row>
    <row r="1001" spans="1:8" ht="20">
      <c r="A1001" s="200"/>
      <c r="B1001" s="8"/>
      <c r="C1001" s="8"/>
      <c r="D1001" s="8"/>
      <c r="E1001" s="81"/>
      <c r="F1001" s="34"/>
      <c r="G1001" s="34"/>
      <c r="H1001" s="34"/>
    </row>
    <row r="1002" spans="1:8" ht="20">
      <c r="A1002" s="200"/>
      <c r="B1002" s="8"/>
      <c r="C1002" s="8"/>
      <c r="D1002" s="8"/>
      <c r="E1002" s="81"/>
      <c r="F1002" s="34"/>
      <c r="G1002" s="34"/>
      <c r="H1002" s="34"/>
    </row>
    <row r="1003" spans="1:8" ht="20">
      <c r="A1003" s="200"/>
      <c r="B1003" s="8"/>
      <c r="C1003" s="8"/>
      <c r="D1003" s="8"/>
      <c r="E1003" s="81"/>
      <c r="F1003" s="34"/>
      <c r="G1003" s="34"/>
      <c r="H1003" s="34"/>
    </row>
    <row r="1004" spans="1:8" ht="20">
      <c r="A1004" s="200"/>
      <c r="B1004" s="8"/>
      <c r="C1004" s="8"/>
      <c r="D1004" s="8"/>
      <c r="E1004" s="81"/>
      <c r="F1004" s="34"/>
      <c r="G1004" s="34"/>
      <c r="H1004" s="34"/>
    </row>
    <row r="1005" spans="1:8" ht="20">
      <c r="A1005" s="200"/>
      <c r="B1005" s="8"/>
      <c r="C1005" s="8"/>
      <c r="D1005" s="8"/>
      <c r="E1005" s="81"/>
      <c r="F1005" s="34"/>
      <c r="G1005" s="34"/>
      <c r="H1005" s="34"/>
    </row>
    <row r="1006" spans="1:8" ht="20">
      <c r="A1006" s="200"/>
      <c r="B1006" s="8"/>
      <c r="C1006" s="8"/>
      <c r="D1006" s="8"/>
      <c r="E1006" s="81"/>
      <c r="F1006" s="34"/>
      <c r="G1006" s="34"/>
      <c r="H1006" s="34"/>
    </row>
    <row r="1007" spans="1:8" ht="20">
      <c r="A1007" s="200"/>
      <c r="B1007" s="8"/>
      <c r="C1007" s="8"/>
      <c r="D1007" s="8"/>
      <c r="E1007" s="81"/>
      <c r="F1007" s="34"/>
      <c r="G1007" s="34"/>
      <c r="H1007" s="34"/>
    </row>
    <row r="1008" spans="1:8" ht="20">
      <c r="A1008" s="200"/>
      <c r="B1008" s="8"/>
      <c r="C1008" s="8"/>
      <c r="D1008" s="8"/>
      <c r="E1008" s="81"/>
      <c r="F1008" s="34"/>
      <c r="G1008" s="34"/>
      <c r="H1008" s="34"/>
    </row>
    <row r="1009" spans="1:8" ht="20">
      <c r="A1009" s="200"/>
      <c r="B1009" s="8"/>
      <c r="C1009" s="8"/>
      <c r="D1009" s="8"/>
      <c r="E1009" s="81"/>
      <c r="F1009" s="34"/>
      <c r="G1009" s="34"/>
      <c r="H1009" s="34"/>
    </row>
    <row r="1010" spans="1:8" ht="20">
      <c r="A1010" s="200"/>
      <c r="B1010" s="8"/>
      <c r="C1010" s="8"/>
      <c r="D1010" s="8"/>
      <c r="E1010" s="81"/>
      <c r="F1010" s="34"/>
      <c r="G1010" s="34"/>
      <c r="H1010" s="34"/>
    </row>
    <row r="1011" spans="1:8" ht="20">
      <c r="A1011" s="200"/>
      <c r="B1011" s="8"/>
      <c r="C1011" s="8"/>
      <c r="D1011" s="8"/>
      <c r="E1011" s="81"/>
      <c r="F1011" s="34"/>
      <c r="G1011" s="34"/>
      <c r="H1011" s="34"/>
    </row>
    <row r="1012" spans="1:8" ht="20">
      <c r="A1012" s="200"/>
      <c r="B1012" s="8"/>
      <c r="C1012" s="8"/>
      <c r="D1012" s="8"/>
      <c r="E1012" s="81"/>
      <c r="F1012" s="34"/>
      <c r="G1012" s="34"/>
      <c r="H1012" s="34"/>
    </row>
    <row r="1013" spans="1:8" ht="20">
      <c r="A1013" s="200"/>
      <c r="B1013" s="8"/>
      <c r="C1013" s="8"/>
      <c r="D1013" s="8"/>
      <c r="E1013" s="81"/>
      <c r="F1013" s="34"/>
      <c r="G1013" s="34"/>
      <c r="H1013" s="34"/>
    </row>
    <row r="1014" spans="1:8" ht="20">
      <c r="A1014" s="200"/>
      <c r="B1014" s="8"/>
      <c r="C1014" s="8"/>
      <c r="D1014" s="8"/>
      <c r="E1014" s="81"/>
      <c r="F1014" s="34"/>
      <c r="G1014" s="34"/>
      <c r="H1014" s="34"/>
    </row>
    <row r="1015" spans="1:8" ht="20">
      <c r="A1015" s="200"/>
      <c r="B1015" s="8"/>
      <c r="C1015" s="8"/>
      <c r="D1015" s="8"/>
      <c r="E1015" s="81"/>
      <c r="F1015" s="34"/>
      <c r="G1015" s="34"/>
      <c r="H1015" s="34"/>
    </row>
    <row r="1016" spans="1:8" ht="20">
      <c r="A1016" s="200"/>
      <c r="B1016" s="8"/>
      <c r="C1016" s="8"/>
      <c r="D1016" s="8"/>
      <c r="E1016" s="81"/>
      <c r="F1016" s="34"/>
      <c r="G1016" s="34"/>
      <c r="H1016" s="34"/>
    </row>
    <row r="1017" spans="1:8" ht="20">
      <c r="A1017" s="200"/>
      <c r="B1017" s="8"/>
      <c r="C1017" s="8"/>
      <c r="D1017" s="8"/>
      <c r="E1017" s="81"/>
      <c r="F1017" s="34"/>
      <c r="G1017" s="34"/>
      <c r="H1017" s="34"/>
    </row>
    <row r="1018" spans="1:8" ht="20">
      <c r="A1018" s="200"/>
      <c r="B1018" s="8"/>
      <c r="C1018" s="8"/>
      <c r="D1018" s="8"/>
      <c r="E1018" s="81"/>
      <c r="F1018" s="34"/>
      <c r="G1018" s="34"/>
      <c r="H1018" s="34"/>
    </row>
    <row r="1019" spans="1:8" ht="20">
      <c r="A1019" s="200"/>
      <c r="B1019" s="8"/>
      <c r="C1019" s="8"/>
      <c r="D1019" s="8"/>
      <c r="E1019" s="81"/>
      <c r="F1019" s="34"/>
      <c r="G1019" s="34"/>
      <c r="H1019" s="34"/>
    </row>
    <row r="1020" spans="1:8" ht="20">
      <c r="A1020" s="200"/>
      <c r="B1020" s="8"/>
      <c r="C1020" s="8"/>
      <c r="D1020" s="8"/>
      <c r="E1020" s="81"/>
      <c r="F1020" s="34"/>
      <c r="G1020" s="34"/>
      <c r="H1020" s="34"/>
    </row>
    <row r="1021" spans="1:8" ht="20">
      <c r="A1021" s="200"/>
      <c r="B1021" s="8"/>
      <c r="C1021" s="8"/>
      <c r="D1021" s="8"/>
      <c r="E1021" s="81"/>
      <c r="F1021" s="34"/>
      <c r="G1021" s="34"/>
      <c r="H1021" s="34"/>
    </row>
    <row r="1022" spans="1:8" ht="20">
      <c r="A1022" s="200"/>
      <c r="B1022" s="8"/>
      <c r="C1022" s="8"/>
      <c r="D1022" s="8"/>
      <c r="E1022" s="81"/>
      <c r="F1022" s="34"/>
      <c r="G1022" s="34"/>
      <c r="H1022" s="34"/>
    </row>
    <row r="1023" spans="1:8" ht="20">
      <c r="A1023" s="200"/>
      <c r="B1023" s="8"/>
      <c r="C1023" s="8"/>
      <c r="D1023" s="8"/>
      <c r="E1023" s="81"/>
      <c r="F1023" s="34"/>
      <c r="G1023" s="34"/>
      <c r="H1023" s="34"/>
    </row>
    <row r="1024" spans="1:8" ht="20">
      <c r="A1024" s="200"/>
      <c r="B1024" s="8"/>
      <c r="C1024" s="8"/>
      <c r="D1024" s="8"/>
      <c r="E1024" s="81"/>
      <c r="F1024" s="34"/>
      <c r="G1024" s="34"/>
      <c r="H1024" s="34"/>
    </row>
    <row r="1025" spans="1:8" ht="20">
      <c r="A1025" s="200"/>
      <c r="B1025" s="8"/>
      <c r="C1025" s="8"/>
      <c r="D1025" s="8"/>
      <c r="E1025" s="81"/>
      <c r="F1025" s="34"/>
      <c r="G1025" s="34"/>
      <c r="H1025" s="34"/>
    </row>
    <row r="1026" spans="1:8" ht="20">
      <c r="A1026" s="200"/>
      <c r="B1026" s="8"/>
      <c r="C1026" s="8"/>
      <c r="D1026" s="8"/>
      <c r="E1026" s="81"/>
      <c r="F1026" s="34"/>
      <c r="G1026" s="34"/>
      <c r="H1026" s="34"/>
    </row>
    <row r="1027" spans="1:8" ht="20">
      <c r="A1027" s="200"/>
      <c r="B1027" s="8"/>
      <c r="C1027" s="8"/>
      <c r="D1027" s="8"/>
      <c r="E1027" s="81"/>
      <c r="F1027" s="34"/>
      <c r="G1027" s="34"/>
      <c r="H1027" s="34"/>
    </row>
    <row r="1028" spans="1:8" ht="20">
      <c r="A1028" s="200"/>
      <c r="B1028" s="8"/>
      <c r="C1028" s="8"/>
      <c r="D1028" s="8"/>
      <c r="E1028" s="81"/>
      <c r="F1028" s="34"/>
      <c r="G1028" s="34"/>
      <c r="H1028" s="34"/>
    </row>
    <row r="1029" spans="1:8" ht="20">
      <c r="A1029" s="200"/>
      <c r="B1029" s="8"/>
      <c r="C1029" s="8"/>
      <c r="D1029" s="8"/>
      <c r="E1029" s="81"/>
      <c r="F1029" s="34"/>
      <c r="G1029" s="34"/>
      <c r="H1029" s="34"/>
    </row>
    <row r="1030" spans="1:8" ht="20">
      <c r="A1030" s="200"/>
      <c r="B1030" s="8"/>
      <c r="C1030" s="8"/>
      <c r="D1030" s="8"/>
      <c r="E1030" s="81"/>
      <c r="F1030" s="34"/>
      <c r="G1030" s="34"/>
      <c r="H1030" s="34"/>
    </row>
    <row r="1031" spans="1:8" ht="20">
      <c r="A1031" s="200"/>
      <c r="B1031" s="8"/>
      <c r="C1031" s="8"/>
      <c r="D1031" s="8"/>
      <c r="E1031" s="81"/>
      <c r="F1031" s="34"/>
      <c r="G1031" s="34"/>
      <c r="H1031" s="34"/>
    </row>
    <row r="1032" spans="1:8" ht="20">
      <c r="A1032" s="200"/>
      <c r="B1032" s="8"/>
      <c r="C1032" s="8"/>
      <c r="D1032" s="8"/>
      <c r="E1032" s="81"/>
      <c r="F1032" s="34"/>
      <c r="G1032" s="34"/>
      <c r="H1032" s="34"/>
    </row>
    <row r="1033" spans="1:8" ht="20">
      <c r="A1033" s="200"/>
      <c r="B1033" s="8"/>
      <c r="C1033" s="8"/>
      <c r="D1033" s="8"/>
      <c r="E1033" s="81"/>
      <c r="F1033" s="34"/>
      <c r="G1033" s="34"/>
      <c r="H1033" s="34"/>
    </row>
    <row r="1034" spans="1:8" ht="20">
      <c r="A1034" s="200"/>
      <c r="B1034" s="8"/>
      <c r="C1034" s="8"/>
      <c r="D1034" s="8"/>
      <c r="E1034" s="81"/>
      <c r="F1034" s="34"/>
      <c r="G1034" s="34"/>
      <c r="H1034" s="34"/>
    </row>
    <row r="1035" spans="1:8" ht="20">
      <c r="A1035" s="200"/>
      <c r="B1035" s="8"/>
      <c r="C1035" s="8"/>
      <c r="D1035" s="8"/>
      <c r="E1035" s="81"/>
      <c r="F1035" s="34"/>
      <c r="G1035" s="34"/>
      <c r="H1035" s="34"/>
    </row>
    <row r="1036" spans="1:8" ht="20">
      <c r="A1036" s="200"/>
      <c r="B1036" s="8"/>
      <c r="C1036" s="8"/>
      <c r="D1036" s="8"/>
      <c r="E1036" s="81"/>
      <c r="F1036" s="34"/>
      <c r="G1036" s="34"/>
      <c r="H1036" s="34"/>
    </row>
    <row r="1037" spans="1:8" ht="20">
      <c r="A1037" s="200"/>
      <c r="B1037" s="8"/>
      <c r="C1037" s="8"/>
      <c r="D1037" s="8"/>
      <c r="E1037" s="81"/>
      <c r="F1037" s="34"/>
      <c r="G1037" s="34"/>
      <c r="H1037" s="34"/>
    </row>
    <row r="1038" spans="1:8" ht="20">
      <c r="A1038" s="200"/>
      <c r="B1038" s="8"/>
      <c r="C1038" s="8"/>
      <c r="D1038" s="8"/>
      <c r="E1038" s="81"/>
      <c r="F1038" s="34"/>
      <c r="G1038" s="34"/>
      <c r="H1038" s="34"/>
    </row>
    <row r="1039" spans="1:8" ht="20">
      <c r="A1039" s="200"/>
      <c r="B1039" s="8"/>
      <c r="C1039" s="8"/>
      <c r="D1039" s="8"/>
      <c r="E1039" s="81"/>
      <c r="F1039" s="34"/>
      <c r="G1039" s="34"/>
      <c r="H1039" s="34"/>
    </row>
    <row r="1040" spans="1:8" ht="20">
      <c r="A1040" s="200"/>
      <c r="B1040" s="8"/>
      <c r="C1040" s="8"/>
      <c r="D1040" s="8"/>
      <c r="E1040" s="81"/>
      <c r="F1040" s="34"/>
      <c r="G1040" s="34"/>
      <c r="H1040" s="34"/>
    </row>
    <row r="1041" spans="1:8" ht="20">
      <c r="A1041" s="200"/>
      <c r="B1041" s="8"/>
      <c r="C1041" s="8"/>
      <c r="D1041" s="8"/>
      <c r="E1041" s="81"/>
      <c r="F1041" s="34"/>
      <c r="G1041" s="34"/>
      <c r="H1041" s="34"/>
    </row>
    <row r="1042" spans="1:8" ht="20">
      <c r="A1042" s="200"/>
      <c r="B1042" s="8"/>
      <c r="C1042" s="8"/>
      <c r="D1042" s="8"/>
      <c r="E1042" s="81"/>
      <c r="F1042" s="34"/>
      <c r="G1042" s="34"/>
      <c r="H1042" s="34"/>
    </row>
    <row r="1043" spans="1:8" ht="20">
      <c r="A1043" s="200"/>
      <c r="B1043" s="8"/>
      <c r="C1043" s="8"/>
      <c r="D1043" s="8"/>
      <c r="E1043" s="81"/>
      <c r="F1043" s="34"/>
      <c r="G1043" s="34"/>
      <c r="H1043" s="34"/>
    </row>
    <row r="1044" spans="1:8" ht="20">
      <c r="A1044" s="200"/>
      <c r="B1044" s="8"/>
      <c r="C1044" s="8"/>
      <c r="D1044" s="8"/>
      <c r="E1044" s="81"/>
      <c r="F1044" s="34"/>
      <c r="G1044" s="34"/>
      <c r="H1044" s="34"/>
    </row>
    <row r="1045" spans="1:8" ht="20">
      <c r="A1045" s="200"/>
      <c r="B1045" s="8"/>
      <c r="C1045" s="8"/>
      <c r="D1045" s="8"/>
      <c r="E1045" s="81"/>
      <c r="F1045" s="34"/>
      <c r="G1045" s="34"/>
      <c r="H1045" s="34"/>
    </row>
    <row r="1046" spans="1:8" ht="20">
      <c r="A1046" s="200"/>
      <c r="B1046" s="8"/>
      <c r="C1046" s="8"/>
      <c r="D1046" s="8"/>
      <c r="E1046" s="81"/>
      <c r="F1046" s="34"/>
      <c r="G1046" s="34"/>
      <c r="H1046" s="34"/>
    </row>
    <row r="1047" spans="1:8" ht="20">
      <c r="A1047" s="200"/>
      <c r="B1047" s="8"/>
      <c r="C1047" s="8"/>
      <c r="D1047" s="8"/>
      <c r="E1047" s="81"/>
      <c r="F1047" s="34"/>
      <c r="G1047" s="34"/>
      <c r="H1047" s="34"/>
    </row>
    <row r="1048" spans="1:8" ht="20">
      <c r="A1048" s="200"/>
      <c r="B1048" s="8"/>
      <c r="C1048" s="8"/>
      <c r="D1048" s="8"/>
      <c r="E1048" s="81"/>
      <c r="F1048" s="34"/>
      <c r="G1048" s="34"/>
      <c r="H1048" s="34"/>
    </row>
    <row r="1049" spans="1:8" ht="20">
      <c r="A1049" s="200"/>
      <c r="B1049" s="8"/>
      <c r="C1049" s="8"/>
      <c r="D1049" s="8"/>
      <c r="E1049" s="81"/>
      <c r="F1049" s="34"/>
      <c r="G1049" s="34"/>
      <c r="H1049" s="34"/>
    </row>
    <row r="1050" spans="1:8" ht="20">
      <c r="A1050" s="200"/>
      <c r="B1050" s="8"/>
      <c r="C1050" s="8"/>
      <c r="D1050" s="8"/>
      <c r="E1050" s="81"/>
      <c r="F1050" s="34"/>
      <c r="G1050" s="34"/>
      <c r="H1050" s="34"/>
    </row>
    <row r="1051" spans="1:8" ht="20">
      <c r="A1051" s="200"/>
      <c r="B1051" s="8"/>
      <c r="C1051" s="8"/>
      <c r="D1051" s="8"/>
      <c r="E1051" s="81"/>
      <c r="F1051" s="34"/>
      <c r="G1051" s="34"/>
      <c r="H1051" s="34"/>
    </row>
    <row r="1052" spans="1:8" ht="20">
      <c r="A1052" s="200"/>
      <c r="B1052" s="8"/>
      <c r="C1052" s="8"/>
      <c r="D1052" s="8"/>
      <c r="E1052" s="81"/>
      <c r="F1052" s="34"/>
      <c r="G1052" s="34"/>
      <c r="H1052" s="34"/>
    </row>
    <row r="1053" spans="1:8" ht="20">
      <c r="A1053" s="200"/>
      <c r="B1053" s="8"/>
      <c r="C1053" s="8"/>
      <c r="D1053" s="8"/>
      <c r="E1053" s="81"/>
      <c r="F1053" s="34"/>
      <c r="G1053" s="34"/>
      <c r="H1053" s="34"/>
    </row>
    <row r="1054" spans="1:8" ht="20">
      <c r="A1054" s="200"/>
      <c r="B1054" s="8"/>
      <c r="C1054" s="8"/>
      <c r="D1054" s="8"/>
      <c r="E1054" s="81"/>
      <c r="F1054" s="34"/>
      <c r="G1054" s="34"/>
      <c r="H1054" s="34"/>
    </row>
    <row r="1055" spans="1:8" ht="20">
      <c r="A1055" s="200"/>
      <c r="B1055" s="8"/>
      <c r="C1055" s="8"/>
      <c r="D1055" s="8"/>
      <c r="E1055" s="81"/>
      <c r="F1055" s="34"/>
      <c r="G1055" s="34"/>
      <c r="H1055" s="34"/>
    </row>
    <row r="1056" spans="1:8" ht="20">
      <c r="A1056" s="200"/>
      <c r="B1056" s="8"/>
      <c r="C1056" s="8"/>
      <c r="D1056" s="8"/>
      <c r="E1056" s="81"/>
      <c r="F1056" s="34"/>
      <c r="G1056" s="34"/>
      <c r="H1056" s="34"/>
    </row>
    <row r="1057" spans="1:8" ht="20">
      <c r="A1057" s="200"/>
      <c r="B1057" s="8"/>
      <c r="C1057" s="8"/>
      <c r="D1057" s="8"/>
      <c r="E1057" s="81"/>
      <c r="F1057" s="34"/>
      <c r="G1057" s="34"/>
      <c r="H1057" s="34"/>
    </row>
    <row r="1058" spans="1:8" ht="20">
      <c r="A1058" s="200"/>
      <c r="B1058" s="8"/>
      <c r="C1058" s="8"/>
      <c r="D1058" s="8"/>
      <c r="E1058" s="81"/>
      <c r="F1058" s="34"/>
      <c r="G1058" s="34"/>
      <c r="H1058" s="34"/>
    </row>
    <row r="1059" spans="1:8" ht="20">
      <c r="A1059" s="200"/>
      <c r="B1059" s="8"/>
      <c r="C1059" s="8"/>
      <c r="D1059" s="8"/>
      <c r="E1059" s="81"/>
      <c r="F1059" s="34"/>
      <c r="G1059" s="34"/>
      <c r="H1059" s="34"/>
    </row>
    <row r="1060" spans="1:8" ht="20">
      <c r="A1060" s="200"/>
      <c r="B1060" s="8"/>
      <c r="C1060" s="8"/>
      <c r="D1060" s="8"/>
      <c r="E1060" s="81"/>
      <c r="F1060" s="34"/>
      <c r="G1060" s="34"/>
      <c r="H1060" s="34"/>
    </row>
    <row r="1061" spans="1:8" ht="20">
      <c r="A1061" s="200"/>
      <c r="B1061" s="8"/>
      <c r="C1061" s="8"/>
      <c r="D1061" s="8"/>
      <c r="E1061" s="81"/>
      <c r="F1061" s="34"/>
      <c r="G1061" s="34"/>
      <c r="H1061" s="34"/>
    </row>
    <row r="1062" spans="1:8" ht="20">
      <c r="A1062" s="200"/>
      <c r="B1062" s="8"/>
      <c r="C1062" s="8"/>
      <c r="D1062" s="8"/>
      <c r="E1062" s="81"/>
      <c r="F1062" s="34"/>
      <c r="G1062" s="34"/>
      <c r="H1062" s="34"/>
    </row>
    <row r="1063" spans="1:8" ht="20">
      <c r="A1063" s="200"/>
      <c r="B1063" s="8"/>
      <c r="C1063" s="8"/>
      <c r="D1063" s="8"/>
      <c r="E1063" s="81"/>
      <c r="F1063" s="34"/>
      <c r="G1063" s="34"/>
      <c r="H1063" s="34"/>
    </row>
    <row r="1064" spans="1:8" ht="20">
      <c r="A1064" s="200"/>
      <c r="B1064" s="8"/>
      <c r="C1064" s="8"/>
      <c r="D1064" s="8"/>
      <c r="E1064" s="81"/>
      <c r="F1064" s="34"/>
      <c r="G1064" s="34"/>
      <c r="H1064" s="34"/>
    </row>
    <row r="1065" spans="1:8" ht="20">
      <c r="A1065" s="200"/>
      <c r="B1065" s="8"/>
      <c r="C1065" s="8"/>
      <c r="D1065" s="8"/>
      <c r="E1065" s="81"/>
      <c r="F1065" s="34"/>
      <c r="G1065" s="34"/>
      <c r="H1065" s="34"/>
    </row>
    <row r="1066" spans="1:8" ht="20">
      <c r="A1066" s="200"/>
      <c r="B1066" s="8"/>
      <c r="C1066" s="8"/>
      <c r="D1066" s="8"/>
      <c r="E1066" s="81"/>
      <c r="F1066" s="34"/>
      <c r="G1066" s="34"/>
      <c r="H1066" s="34"/>
    </row>
    <row r="1067" spans="1:8" ht="20">
      <c r="A1067" s="200"/>
      <c r="B1067" s="8"/>
      <c r="C1067" s="8"/>
      <c r="D1067" s="8"/>
      <c r="E1067" s="81"/>
      <c r="F1067" s="34"/>
      <c r="G1067" s="34"/>
      <c r="H1067" s="34"/>
    </row>
    <row r="1068" spans="1:8" ht="20">
      <c r="A1068" s="200"/>
      <c r="B1068" s="8"/>
      <c r="C1068" s="8"/>
      <c r="D1068" s="8"/>
      <c r="E1068" s="81"/>
      <c r="F1068" s="34"/>
      <c r="G1068" s="34"/>
      <c r="H1068" s="34"/>
    </row>
    <row r="1069" spans="1:8" ht="20">
      <c r="A1069" s="200"/>
      <c r="B1069" s="8"/>
      <c r="C1069" s="8"/>
      <c r="D1069" s="8"/>
      <c r="E1069" s="81"/>
      <c r="F1069" s="34"/>
      <c r="G1069" s="34"/>
      <c r="H1069" s="34"/>
    </row>
    <row r="1070" spans="1:8" ht="20">
      <c r="A1070" s="200"/>
      <c r="B1070" s="8"/>
      <c r="C1070" s="8"/>
      <c r="D1070" s="8"/>
      <c r="E1070" s="81"/>
      <c r="F1070" s="34"/>
      <c r="G1070" s="34"/>
      <c r="H1070" s="34"/>
    </row>
    <row r="1071" spans="1:8" ht="20">
      <c r="A1071" s="200"/>
      <c r="B1071" s="8"/>
      <c r="C1071" s="8"/>
      <c r="D1071" s="8"/>
      <c r="E1071" s="81"/>
      <c r="F1071" s="34"/>
      <c r="G1071" s="34"/>
      <c r="H1071" s="34"/>
    </row>
    <row r="1072" spans="1:8" ht="20">
      <c r="A1072" s="200"/>
      <c r="B1072" s="8"/>
      <c r="C1072" s="8"/>
      <c r="D1072" s="8"/>
      <c r="E1072" s="81"/>
      <c r="F1072" s="34"/>
      <c r="G1072" s="34"/>
      <c r="H1072" s="34"/>
    </row>
    <row r="1073" spans="1:8" ht="20">
      <c r="A1073" s="200"/>
      <c r="B1073" s="8"/>
      <c r="C1073" s="8"/>
      <c r="D1073" s="8"/>
      <c r="E1073" s="81"/>
      <c r="F1073" s="34"/>
      <c r="G1073" s="34"/>
      <c r="H1073" s="34"/>
    </row>
    <row r="1074" spans="1:8" ht="20">
      <c r="A1074" s="200"/>
      <c r="B1074" s="8"/>
      <c r="C1074" s="8"/>
      <c r="D1074" s="8"/>
      <c r="E1074" s="81"/>
      <c r="F1074" s="34"/>
      <c r="G1074" s="34"/>
      <c r="H1074" s="34"/>
    </row>
    <row r="1075" spans="1:8" ht="20">
      <c r="A1075" s="200"/>
      <c r="B1075" s="8"/>
      <c r="C1075" s="8"/>
      <c r="D1075" s="8"/>
      <c r="E1075" s="81"/>
      <c r="F1075" s="34"/>
      <c r="G1075" s="34"/>
      <c r="H1075" s="34"/>
    </row>
    <row r="1076" spans="1:8" ht="20">
      <c r="A1076" s="200"/>
      <c r="B1076" s="8"/>
      <c r="C1076" s="8"/>
      <c r="D1076" s="8"/>
      <c r="E1076" s="81"/>
      <c r="F1076" s="34"/>
      <c r="G1076" s="34"/>
      <c r="H1076" s="34"/>
    </row>
    <row r="1077" spans="1:8" ht="20">
      <c r="A1077" s="200"/>
      <c r="B1077" s="8"/>
      <c r="C1077" s="8"/>
      <c r="D1077" s="8"/>
      <c r="E1077" s="81"/>
      <c r="F1077" s="34"/>
      <c r="G1077" s="34"/>
      <c r="H1077" s="34"/>
    </row>
    <row r="1078" spans="1:8" ht="20">
      <c r="A1078" s="200"/>
      <c r="B1078" s="8"/>
      <c r="C1078" s="8"/>
      <c r="D1078" s="8"/>
      <c r="E1078" s="81"/>
      <c r="F1078" s="34"/>
      <c r="G1078" s="34"/>
      <c r="H1078" s="34"/>
    </row>
    <row r="1079" spans="1:8" ht="20">
      <c r="A1079" s="200"/>
      <c r="B1079" s="8"/>
      <c r="C1079" s="8"/>
      <c r="D1079" s="8"/>
      <c r="E1079" s="81"/>
      <c r="F1079" s="34"/>
      <c r="G1079" s="34"/>
      <c r="H1079" s="34"/>
    </row>
    <row r="1080" spans="1:8" ht="20">
      <c r="A1080" s="200"/>
      <c r="B1080" s="8"/>
      <c r="C1080" s="8"/>
      <c r="D1080" s="8"/>
      <c r="E1080" s="81"/>
      <c r="F1080" s="34"/>
      <c r="G1080" s="34"/>
      <c r="H1080" s="34"/>
    </row>
    <row r="1081" spans="1:8" ht="20">
      <c r="A1081" s="200"/>
      <c r="B1081" s="8"/>
      <c r="C1081" s="8"/>
      <c r="D1081" s="8"/>
      <c r="E1081" s="81"/>
      <c r="F1081" s="34"/>
      <c r="G1081" s="34"/>
      <c r="H1081" s="34"/>
    </row>
    <row r="1082" spans="1:8" ht="20">
      <c r="A1082" s="200"/>
      <c r="B1082" s="8"/>
      <c r="C1082" s="8"/>
      <c r="D1082" s="8"/>
      <c r="E1082" s="81"/>
      <c r="F1082" s="34"/>
      <c r="G1082" s="34"/>
      <c r="H1082" s="34"/>
    </row>
    <row r="1083" spans="1:8" ht="20">
      <c r="A1083" s="200"/>
      <c r="B1083" s="8"/>
      <c r="C1083" s="8"/>
      <c r="D1083" s="8"/>
      <c r="E1083" s="81"/>
      <c r="F1083" s="34"/>
      <c r="G1083" s="34"/>
      <c r="H1083" s="34"/>
    </row>
    <row r="1084" spans="1:8" ht="20">
      <c r="A1084" s="200"/>
      <c r="B1084" s="8"/>
      <c r="C1084" s="8"/>
      <c r="D1084" s="8"/>
      <c r="E1084" s="81"/>
      <c r="F1084" s="34"/>
      <c r="G1084" s="34"/>
      <c r="H1084" s="34"/>
    </row>
    <row r="1085" spans="1:8" ht="20">
      <c r="A1085" s="200"/>
      <c r="B1085" s="8"/>
      <c r="C1085" s="8"/>
      <c r="D1085" s="8"/>
      <c r="E1085" s="81"/>
      <c r="F1085" s="34"/>
      <c r="G1085" s="34"/>
      <c r="H1085" s="34"/>
    </row>
    <row r="1086" spans="1:8" ht="20">
      <c r="A1086" s="200"/>
      <c r="B1086" s="8"/>
      <c r="C1086" s="8"/>
      <c r="D1086" s="8"/>
      <c r="E1086" s="81"/>
      <c r="F1086" s="34"/>
      <c r="G1086" s="34"/>
      <c r="H1086" s="34"/>
    </row>
    <row r="1087" spans="1:8" ht="20">
      <c r="A1087" s="200"/>
      <c r="B1087" s="8"/>
      <c r="C1087" s="8"/>
      <c r="D1087" s="8"/>
      <c r="E1087" s="81"/>
      <c r="F1087" s="34"/>
      <c r="G1087" s="34"/>
      <c r="H1087" s="34"/>
    </row>
    <row r="1088" spans="1:8" ht="20">
      <c r="A1088" s="200"/>
      <c r="B1088" s="8"/>
      <c r="C1088" s="8"/>
      <c r="D1088" s="8"/>
      <c r="E1088" s="81"/>
      <c r="F1088" s="34"/>
      <c r="G1088" s="34"/>
      <c r="H1088" s="34"/>
    </row>
    <row r="1089" spans="1:8" ht="20">
      <c r="A1089" s="200"/>
      <c r="B1089" s="8"/>
      <c r="C1089" s="8"/>
      <c r="D1089" s="8"/>
      <c r="E1089" s="81"/>
      <c r="F1089" s="34"/>
      <c r="G1089" s="34"/>
      <c r="H1089" s="34"/>
    </row>
    <row r="1090" spans="1:8" ht="20">
      <c r="A1090" s="200"/>
      <c r="B1090" s="8"/>
      <c r="C1090" s="8"/>
      <c r="D1090" s="8"/>
      <c r="E1090" s="81"/>
      <c r="F1090" s="34"/>
      <c r="G1090" s="34"/>
      <c r="H1090" s="34"/>
    </row>
    <row r="1091" spans="1:8" ht="20">
      <c r="A1091" s="200"/>
      <c r="B1091" s="8"/>
      <c r="C1091" s="8"/>
      <c r="D1091" s="8"/>
      <c r="E1091" s="81"/>
      <c r="F1091" s="34"/>
      <c r="G1091" s="34"/>
      <c r="H1091" s="34"/>
    </row>
    <row r="1092" spans="1:8" ht="20">
      <c r="A1092" s="200"/>
      <c r="B1092" s="8"/>
      <c r="C1092" s="8"/>
      <c r="D1092" s="8"/>
      <c r="E1092" s="81"/>
      <c r="F1092" s="34"/>
      <c r="G1092" s="34"/>
      <c r="H1092" s="34"/>
    </row>
    <row r="1093" spans="1:8" ht="20">
      <c r="A1093" s="200"/>
      <c r="B1093" s="8"/>
      <c r="C1093" s="8"/>
      <c r="D1093" s="8"/>
      <c r="E1093" s="81"/>
      <c r="F1093" s="34"/>
      <c r="G1093" s="34"/>
      <c r="H1093" s="34"/>
    </row>
    <row r="1094" spans="1:8" ht="20">
      <c r="A1094" s="200"/>
      <c r="B1094" s="8"/>
      <c r="C1094" s="8"/>
      <c r="D1094" s="8"/>
      <c r="E1094" s="81"/>
      <c r="F1094" s="34"/>
      <c r="G1094" s="34"/>
      <c r="H1094" s="34"/>
    </row>
    <row r="1095" spans="1:8" ht="20">
      <c r="A1095" s="200"/>
      <c r="B1095" s="8"/>
      <c r="C1095" s="8"/>
      <c r="D1095" s="8"/>
      <c r="E1095" s="81"/>
      <c r="F1095" s="34"/>
      <c r="G1095" s="34"/>
      <c r="H1095" s="34"/>
    </row>
    <row r="1096" spans="1:8" ht="20">
      <c r="A1096" s="200"/>
      <c r="B1096" s="8"/>
      <c r="C1096" s="8"/>
      <c r="D1096" s="8"/>
      <c r="E1096" s="81"/>
      <c r="F1096" s="34"/>
      <c r="G1096" s="34"/>
      <c r="H1096" s="34"/>
    </row>
    <row r="1097" spans="1:8" ht="20">
      <c r="A1097" s="200"/>
      <c r="B1097" s="8"/>
      <c r="C1097" s="8"/>
      <c r="D1097" s="8"/>
      <c r="E1097" s="81"/>
      <c r="F1097" s="34"/>
      <c r="G1097" s="34"/>
      <c r="H1097" s="34"/>
    </row>
    <row r="1098" spans="1:8" ht="20">
      <c r="A1098" s="200"/>
      <c r="B1098" s="8"/>
      <c r="C1098" s="8"/>
      <c r="D1098" s="8"/>
      <c r="E1098" s="81"/>
      <c r="F1098" s="34"/>
      <c r="G1098" s="34"/>
      <c r="H1098" s="34"/>
    </row>
    <row r="1099" spans="1:8" ht="20">
      <c r="A1099" s="200"/>
      <c r="B1099" s="8"/>
      <c r="C1099" s="8"/>
      <c r="D1099" s="8"/>
      <c r="E1099" s="81"/>
      <c r="F1099" s="34"/>
      <c r="G1099" s="34"/>
      <c r="H1099" s="34"/>
    </row>
    <row r="1100" spans="1:8" ht="20">
      <c r="A1100" s="200"/>
      <c r="B1100" s="8"/>
      <c r="C1100" s="8"/>
      <c r="D1100" s="8"/>
      <c r="E1100" s="81"/>
      <c r="F1100" s="34"/>
      <c r="G1100" s="34"/>
      <c r="H1100" s="34"/>
    </row>
    <row r="1101" spans="1:8" ht="20">
      <c r="A1101" s="200"/>
      <c r="B1101" s="8"/>
      <c r="C1101" s="8"/>
      <c r="D1101" s="8"/>
      <c r="E1101" s="81"/>
      <c r="F1101" s="34"/>
      <c r="G1101" s="34"/>
      <c r="H1101" s="34"/>
    </row>
    <row r="1102" spans="1:8" ht="20">
      <c r="A1102" s="200"/>
      <c r="B1102" s="8"/>
      <c r="C1102" s="8"/>
      <c r="D1102" s="8"/>
      <c r="E1102" s="81"/>
      <c r="F1102" s="34"/>
      <c r="G1102" s="34"/>
      <c r="H1102" s="34"/>
    </row>
    <row r="1103" spans="1:8" ht="20">
      <c r="A1103" s="200"/>
      <c r="B1103" s="8"/>
      <c r="C1103" s="8"/>
      <c r="D1103" s="8"/>
      <c r="E1103" s="81"/>
      <c r="F1103" s="34"/>
      <c r="G1103" s="34"/>
      <c r="H1103" s="34"/>
    </row>
    <row r="1104" spans="1:8" ht="20">
      <c r="A1104" s="200"/>
      <c r="B1104" s="8"/>
      <c r="C1104" s="8"/>
      <c r="D1104" s="8"/>
      <c r="E1104" s="81"/>
      <c r="F1104" s="34"/>
      <c r="G1104" s="34"/>
      <c r="H1104" s="34"/>
    </row>
    <row r="1105" spans="1:8" ht="20">
      <c r="A1105" s="200"/>
      <c r="B1105" s="8"/>
      <c r="C1105" s="8"/>
      <c r="D1105" s="8"/>
      <c r="E1105" s="81"/>
      <c r="F1105" s="34"/>
      <c r="G1105" s="34"/>
      <c r="H1105" s="34"/>
    </row>
    <row r="1106" spans="1:8" ht="20">
      <c r="A1106" s="200"/>
      <c r="B1106" s="8"/>
      <c r="C1106" s="8"/>
      <c r="D1106" s="8"/>
      <c r="E1106" s="81"/>
      <c r="F1106" s="34"/>
      <c r="G1106" s="34"/>
      <c r="H1106" s="34"/>
    </row>
    <row r="1107" spans="1:8" ht="20">
      <c r="A1107" s="200"/>
      <c r="B1107" s="8"/>
      <c r="C1107" s="8"/>
      <c r="D1107" s="8"/>
      <c r="E1107" s="81"/>
      <c r="F1107" s="34"/>
      <c r="G1107" s="34"/>
      <c r="H1107" s="34"/>
    </row>
    <row r="1108" spans="1:8" ht="20">
      <c r="A1108" s="200"/>
      <c r="B1108" s="8"/>
      <c r="C1108" s="8"/>
      <c r="D1108" s="8"/>
      <c r="E1108" s="81"/>
      <c r="F1108" s="34"/>
      <c r="G1108" s="34"/>
      <c r="H1108" s="34"/>
    </row>
    <row r="1109" spans="1:8" ht="20">
      <c r="A1109" s="200"/>
      <c r="B1109" s="8"/>
      <c r="C1109" s="8"/>
      <c r="D1109" s="8"/>
      <c r="E1109" s="81"/>
      <c r="F1109" s="34"/>
      <c r="G1109" s="34"/>
      <c r="H1109" s="34"/>
    </row>
    <row r="1110" spans="1:8" ht="20">
      <c r="A1110" s="200"/>
      <c r="B1110" s="8"/>
      <c r="C1110" s="8"/>
      <c r="D1110" s="8"/>
      <c r="E1110" s="81"/>
      <c r="F1110" s="34"/>
      <c r="G1110" s="34"/>
      <c r="H1110" s="34"/>
    </row>
    <row r="1111" spans="1:8" ht="20">
      <c r="A1111" s="200"/>
      <c r="B1111" s="8"/>
      <c r="C1111" s="8"/>
      <c r="D1111" s="8"/>
      <c r="E1111" s="81"/>
      <c r="F1111" s="34"/>
      <c r="G1111" s="34"/>
      <c r="H1111" s="34"/>
    </row>
    <row r="1112" spans="1:8" ht="20">
      <c r="A1112" s="200"/>
      <c r="B1112" s="8"/>
      <c r="C1112" s="8"/>
      <c r="D1112" s="8"/>
      <c r="E1112" s="81"/>
      <c r="F1112" s="34"/>
      <c r="G1112" s="34"/>
      <c r="H1112" s="34"/>
    </row>
    <row r="1113" spans="1:8" ht="20">
      <c r="A1113" s="200"/>
      <c r="B1113" s="8"/>
      <c r="C1113" s="8"/>
      <c r="D1113" s="8"/>
      <c r="E1113" s="81"/>
      <c r="F1113" s="34"/>
      <c r="G1113" s="34"/>
      <c r="H1113" s="34"/>
    </row>
    <row r="1114" spans="1:8" ht="20">
      <c r="A1114" s="200"/>
      <c r="B1114" s="8"/>
      <c r="C1114" s="8"/>
      <c r="D1114" s="8"/>
      <c r="E1114" s="81"/>
      <c r="F1114" s="34"/>
      <c r="G1114" s="34"/>
      <c r="H1114" s="34"/>
    </row>
    <row r="1115" spans="1:8" ht="20">
      <c r="A1115" s="200"/>
      <c r="B1115" s="8"/>
      <c r="C1115" s="8"/>
      <c r="D1115" s="8"/>
      <c r="E1115" s="81"/>
      <c r="F1115" s="34"/>
      <c r="G1115" s="34"/>
      <c r="H1115" s="34"/>
    </row>
    <row r="1116" spans="1:8" ht="20">
      <c r="A1116" s="200"/>
      <c r="B1116" s="8"/>
      <c r="C1116" s="8"/>
      <c r="D1116" s="8"/>
      <c r="E1116" s="81"/>
      <c r="F1116" s="34"/>
      <c r="G1116" s="34"/>
      <c r="H1116" s="34"/>
    </row>
    <row r="1117" spans="1:8" ht="20">
      <c r="A1117" s="200"/>
      <c r="B1117" s="8"/>
      <c r="C1117" s="8"/>
      <c r="D1117" s="8"/>
      <c r="E1117" s="81"/>
      <c r="F1117" s="34"/>
      <c r="G1117" s="34"/>
      <c r="H1117" s="34"/>
    </row>
    <row r="1118" spans="1:8" ht="20">
      <c r="A1118" s="200"/>
      <c r="B1118" s="8"/>
      <c r="C1118" s="8"/>
      <c r="D1118" s="8"/>
      <c r="E1118" s="81"/>
      <c r="F1118" s="34"/>
      <c r="G1118" s="34"/>
      <c r="H1118" s="34"/>
    </row>
    <row r="1119" spans="1:8" ht="20">
      <c r="A1119" s="200"/>
      <c r="B1119" s="8"/>
      <c r="C1119" s="8"/>
      <c r="D1119" s="8"/>
      <c r="E1119" s="81"/>
      <c r="F1119" s="34"/>
      <c r="G1119" s="34"/>
      <c r="H1119" s="34"/>
    </row>
    <row r="1120" spans="1:8" ht="20">
      <c r="A1120" s="200"/>
      <c r="B1120" s="8"/>
      <c r="C1120" s="8"/>
      <c r="D1120" s="8"/>
      <c r="E1120" s="81"/>
      <c r="F1120" s="34"/>
      <c r="G1120" s="34"/>
      <c r="H1120" s="34"/>
    </row>
    <row r="1121" spans="1:8" ht="20">
      <c r="A1121" s="200"/>
      <c r="B1121" s="8"/>
      <c r="C1121" s="8"/>
      <c r="D1121" s="8"/>
      <c r="E1121" s="81"/>
      <c r="F1121" s="34"/>
      <c r="G1121" s="34"/>
      <c r="H1121" s="34"/>
    </row>
    <row r="1122" spans="1:8" ht="20">
      <c r="A1122" s="200"/>
      <c r="B1122" s="8"/>
      <c r="C1122" s="8"/>
      <c r="D1122" s="8"/>
      <c r="E1122" s="81"/>
      <c r="F1122" s="34"/>
      <c r="G1122" s="34"/>
      <c r="H1122" s="34"/>
    </row>
    <row r="1123" spans="1:8" ht="20">
      <c r="A1123" s="200"/>
      <c r="B1123" s="8"/>
      <c r="C1123" s="8"/>
      <c r="D1123" s="8"/>
      <c r="E1123" s="81"/>
      <c r="F1123" s="34"/>
      <c r="G1123" s="34"/>
      <c r="H1123" s="34"/>
    </row>
    <row r="1124" spans="1:8" ht="20">
      <c r="A1124" s="200"/>
      <c r="B1124" s="8"/>
      <c r="C1124" s="8"/>
      <c r="D1124" s="8"/>
      <c r="E1124" s="81"/>
      <c r="F1124" s="34"/>
      <c r="G1124" s="34"/>
      <c r="H1124" s="34"/>
    </row>
    <row r="1125" spans="1:8" ht="20">
      <c r="A1125" s="200"/>
      <c r="B1125" s="8"/>
      <c r="C1125" s="8"/>
      <c r="D1125" s="8"/>
      <c r="E1125" s="81"/>
      <c r="F1125" s="34"/>
      <c r="G1125" s="34"/>
      <c r="H1125" s="34"/>
    </row>
    <row r="1126" spans="1:8" ht="20">
      <c r="A1126" s="200"/>
      <c r="B1126" s="8"/>
      <c r="C1126" s="8"/>
      <c r="D1126" s="8"/>
      <c r="E1126" s="81"/>
      <c r="F1126" s="34"/>
      <c r="G1126" s="34"/>
      <c r="H1126" s="34"/>
    </row>
    <row r="1127" spans="1:8" ht="20">
      <c r="A1127" s="200"/>
      <c r="B1127" s="8"/>
      <c r="C1127" s="8"/>
      <c r="D1127" s="8"/>
      <c r="E1127" s="81"/>
      <c r="F1127" s="34"/>
      <c r="G1127" s="34"/>
      <c r="H1127" s="34"/>
    </row>
    <row r="1128" spans="1:8" ht="20">
      <c r="A1128" s="200"/>
      <c r="B1128" s="8"/>
      <c r="C1128" s="8"/>
      <c r="D1128" s="8"/>
      <c r="E1128" s="81"/>
      <c r="F1128" s="34"/>
      <c r="G1128" s="34"/>
      <c r="H1128" s="34"/>
    </row>
    <row r="1129" spans="1:8" ht="20">
      <c r="A1129" s="200"/>
      <c r="B1129" s="8"/>
      <c r="C1129" s="8"/>
      <c r="D1129" s="8"/>
      <c r="E1129" s="81"/>
      <c r="F1129" s="34"/>
      <c r="G1129" s="34"/>
      <c r="H1129" s="34"/>
    </row>
    <row r="1130" spans="1:8" ht="20">
      <c r="A1130" s="200"/>
      <c r="B1130" s="8"/>
      <c r="C1130" s="8"/>
      <c r="D1130" s="8"/>
      <c r="E1130" s="81"/>
      <c r="F1130" s="34"/>
      <c r="G1130" s="34"/>
      <c r="H1130" s="34"/>
    </row>
    <row r="1131" spans="1:8" ht="20">
      <c r="A1131" s="200"/>
      <c r="B1131" s="8"/>
      <c r="C1131" s="8"/>
      <c r="D1131" s="8"/>
      <c r="E1131" s="81"/>
      <c r="F1131" s="34"/>
      <c r="G1131" s="34"/>
      <c r="H1131" s="34"/>
    </row>
    <row r="1132" spans="1:8" ht="20">
      <c r="A1132" s="200"/>
      <c r="B1132" s="8"/>
      <c r="C1132" s="8"/>
      <c r="D1132" s="8"/>
      <c r="E1132" s="81"/>
      <c r="F1132" s="34"/>
      <c r="G1132" s="34"/>
      <c r="H1132" s="34"/>
    </row>
    <row r="1133" spans="1:8" ht="20">
      <c r="A1133" s="200"/>
      <c r="B1133" s="8"/>
      <c r="C1133" s="8"/>
      <c r="D1133" s="8"/>
      <c r="E1133" s="81"/>
      <c r="F1133" s="34"/>
      <c r="G1133" s="34"/>
      <c r="H1133" s="34"/>
    </row>
    <row r="1134" spans="1:8" ht="20">
      <c r="A1134" s="200"/>
      <c r="B1134" s="8"/>
      <c r="C1134" s="8"/>
      <c r="D1134" s="8"/>
      <c r="E1134" s="81"/>
      <c r="F1134" s="34"/>
      <c r="G1134" s="34"/>
      <c r="H1134" s="34"/>
    </row>
    <row r="1135" spans="1:8" ht="20">
      <c r="A1135" s="200"/>
      <c r="B1135" s="8"/>
      <c r="C1135" s="8"/>
      <c r="D1135" s="8"/>
      <c r="E1135" s="81"/>
      <c r="F1135" s="34"/>
      <c r="G1135" s="34"/>
      <c r="H1135" s="34"/>
    </row>
    <row r="1136" spans="1:8" ht="20">
      <c r="A1136" s="200"/>
      <c r="B1136" s="8"/>
      <c r="C1136" s="8"/>
      <c r="D1136" s="8"/>
      <c r="E1136" s="81"/>
      <c r="F1136" s="34"/>
      <c r="G1136" s="34"/>
      <c r="H1136" s="34"/>
    </row>
    <row r="1137" spans="1:8" ht="20">
      <c r="A1137" s="200"/>
      <c r="B1137" s="8"/>
      <c r="C1137" s="8"/>
      <c r="D1137" s="8"/>
      <c r="E1137" s="81"/>
      <c r="F1137" s="34"/>
      <c r="G1137" s="34"/>
      <c r="H1137" s="34"/>
    </row>
    <row r="1138" spans="1:8" ht="20">
      <c r="A1138" s="200"/>
      <c r="B1138" s="8"/>
      <c r="C1138" s="8"/>
      <c r="D1138" s="8"/>
      <c r="E1138" s="81"/>
      <c r="F1138" s="34"/>
      <c r="G1138" s="34"/>
      <c r="H1138" s="34"/>
    </row>
    <row r="1139" spans="1:8" ht="20">
      <c r="A1139" s="200"/>
      <c r="B1139" s="8"/>
      <c r="C1139" s="8"/>
      <c r="D1139" s="8"/>
      <c r="E1139" s="81"/>
      <c r="F1139" s="34"/>
      <c r="G1139" s="34"/>
      <c r="H1139" s="34"/>
    </row>
    <row r="1140" spans="1:8" ht="20">
      <c r="A1140" s="200"/>
      <c r="B1140" s="8"/>
      <c r="C1140" s="8"/>
      <c r="D1140" s="8"/>
      <c r="E1140" s="81"/>
      <c r="F1140" s="34"/>
      <c r="G1140" s="34"/>
      <c r="H1140" s="34"/>
    </row>
    <row r="1141" spans="1:8" ht="20">
      <c r="A1141" s="200"/>
      <c r="B1141" s="8"/>
      <c r="C1141" s="8"/>
      <c r="D1141" s="8"/>
      <c r="E1141" s="81"/>
      <c r="F1141" s="34"/>
      <c r="G1141" s="34"/>
      <c r="H1141" s="34"/>
    </row>
    <row r="1142" spans="1:8" ht="20">
      <c r="A1142" s="200"/>
      <c r="B1142" s="8"/>
      <c r="C1142" s="8"/>
      <c r="D1142" s="8"/>
      <c r="E1142" s="81"/>
      <c r="F1142" s="34"/>
      <c r="G1142" s="34"/>
      <c r="H1142" s="34"/>
    </row>
    <row r="1143" spans="1:8" ht="20">
      <c r="A1143" s="200"/>
      <c r="B1143" s="8"/>
      <c r="C1143" s="8"/>
      <c r="D1143" s="8"/>
      <c r="E1143" s="81"/>
      <c r="F1143" s="34"/>
      <c r="G1143" s="34"/>
      <c r="H1143" s="34"/>
    </row>
    <row r="1144" spans="1:8" ht="20">
      <c r="A1144" s="200"/>
      <c r="B1144" s="8"/>
      <c r="C1144" s="8"/>
      <c r="D1144" s="8"/>
      <c r="E1144" s="81"/>
      <c r="F1144" s="34"/>
      <c r="G1144" s="34"/>
      <c r="H1144" s="34"/>
    </row>
    <row r="1145" spans="1:8" ht="20">
      <c r="A1145" s="200"/>
      <c r="B1145" s="8"/>
      <c r="C1145" s="8"/>
      <c r="D1145" s="8"/>
      <c r="E1145" s="81"/>
      <c r="F1145" s="34"/>
      <c r="G1145" s="34"/>
      <c r="H1145" s="34"/>
    </row>
    <row r="1146" spans="1:8" ht="20">
      <c r="A1146" s="200"/>
      <c r="B1146" s="8"/>
      <c r="C1146" s="8"/>
      <c r="D1146" s="8"/>
      <c r="E1146" s="81"/>
      <c r="F1146" s="34"/>
      <c r="G1146" s="34"/>
      <c r="H1146" s="34"/>
    </row>
    <row r="1147" spans="1:8" ht="20">
      <c r="A1147" s="200"/>
      <c r="B1147" s="8"/>
      <c r="C1147" s="8"/>
      <c r="D1147" s="8"/>
      <c r="E1147" s="81"/>
      <c r="F1147" s="34"/>
      <c r="G1147" s="34"/>
      <c r="H1147" s="34"/>
    </row>
    <row r="1148" spans="1:8" ht="20">
      <c r="A1148" s="200"/>
      <c r="B1148" s="8"/>
      <c r="C1148" s="8"/>
      <c r="D1148" s="8"/>
      <c r="E1148" s="81"/>
      <c r="F1148" s="34"/>
      <c r="G1148" s="34"/>
      <c r="H1148" s="34"/>
    </row>
    <row r="1149" spans="1:8" ht="20">
      <c r="A1149" s="200"/>
      <c r="B1149" s="8"/>
      <c r="C1149" s="8"/>
      <c r="D1149" s="8"/>
      <c r="E1149" s="81"/>
      <c r="F1149" s="34"/>
      <c r="G1149" s="34"/>
      <c r="H1149" s="34"/>
    </row>
    <row r="1150" spans="1:8" ht="20">
      <c r="A1150" s="200"/>
      <c r="B1150" s="8"/>
      <c r="C1150" s="8"/>
      <c r="D1150" s="8"/>
      <c r="E1150" s="81"/>
      <c r="F1150" s="34"/>
      <c r="G1150" s="34"/>
      <c r="H1150" s="34"/>
    </row>
    <row r="1151" spans="1:8" ht="20">
      <c r="A1151" s="200"/>
      <c r="B1151" s="8"/>
      <c r="C1151" s="8"/>
      <c r="D1151" s="8"/>
      <c r="E1151" s="81"/>
      <c r="F1151" s="34"/>
      <c r="G1151" s="34"/>
      <c r="H1151" s="34"/>
    </row>
    <row r="1152" spans="1:8" ht="20">
      <c r="A1152" s="200"/>
      <c r="B1152" s="8"/>
      <c r="C1152" s="8"/>
      <c r="D1152" s="8"/>
      <c r="E1152" s="81"/>
      <c r="F1152" s="34"/>
      <c r="G1152" s="34"/>
      <c r="H1152" s="34"/>
    </row>
    <row r="1153" spans="1:8" ht="20">
      <c r="A1153" s="200"/>
      <c r="B1153" s="8"/>
      <c r="C1153" s="8"/>
      <c r="D1153" s="8"/>
      <c r="E1153" s="81"/>
      <c r="F1153" s="34"/>
      <c r="G1153" s="34"/>
      <c r="H1153" s="34"/>
    </row>
    <row r="1154" spans="1:8" ht="20">
      <c r="A1154" s="200"/>
      <c r="B1154" s="8"/>
      <c r="C1154" s="8"/>
      <c r="D1154" s="8"/>
      <c r="E1154" s="81"/>
      <c r="F1154" s="34"/>
      <c r="G1154" s="34"/>
      <c r="H1154" s="34"/>
    </row>
    <row r="1155" spans="1:8" ht="20">
      <c r="A1155" s="200"/>
      <c r="B1155" s="8"/>
      <c r="C1155" s="8"/>
      <c r="D1155" s="8"/>
      <c r="E1155" s="81"/>
      <c r="F1155" s="34"/>
      <c r="G1155" s="34"/>
      <c r="H1155" s="34"/>
    </row>
    <row r="1156" spans="1:8" ht="20">
      <c r="A1156" s="200"/>
      <c r="B1156" s="8"/>
      <c r="C1156" s="8"/>
      <c r="D1156" s="8"/>
      <c r="E1156" s="81"/>
      <c r="F1156" s="34"/>
      <c r="G1156" s="34"/>
      <c r="H1156" s="34"/>
    </row>
    <row r="1157" spans="1:8" ht="20">
      <c r="A1157" s="200"/>
      <c r="B1157" s="8"/>
      <c r="C1157" s="8"/>
      <c r="D1157" s="8"/>
      <c r="E1157" s="81"/>
      <c r="F1157" s="34"/>
      <c r="G1157" s="34"/>
      <c r="H1157" s="34"/>
    </row>
    <row r="1158" spans="1:8" ht="20">
      <c r="A1158" s="200"/>
      <c r="B1158" s="8"/>
      <c r="C1158" s="8"/>
      <c r="D1158" s="8"/>
      <c r="E1158" s="81"/>
      <c r="F1158" s="34"/>
      <c r="G1158" s="34"/>
      <c r="H1158" s="34"/>
    </row>
    <row r="1159" spans="1:8" ht="20">
      <c r="A1159" s="200"/>
      <c r="B1159" s="8"/>
      <c r="C1159" s="8"/>
      <c r="D1159" s="8"/>
      <c r="E1159" s="81"/>
      <c r="F1159" s="34"/>
      <c r="G1159" s="34"/>
      <c r="H1159" s="34"/>
    </row>
    <row r="1160" spans="1:8" ht="20">
      <c r="A1160" s="200"/>
      <c r="B1160" s="8"/>
      <c r="C1160" s="8"/>
      <c r="D1160" s="8"/>
      <c r="E1160" s="81"/>
      <c r="F1160" s="34"/>
      <c r="G1160" s="34"/>
      <c r="H1160" s="34"/>
    </row>
    <row r="1161" spans="1:8" ht="20">
      <c r="A1161" s="200"/>
      <c r="B1161" s="8"/>
      <c r="C1161" s="8"/>
      <c r="D1161" s="8"/>
      <c r="E1161" s="81"/>
      <c r="F1161" s="34"/>
      <c r="G1161" s="34"/>
      <c r="H1161" s="34"/>
    </row>
    <row r="1162" spans="1:8" ht="20">
      <c r="A1162" s="200"/>
      <c r="B1162" s="8"/>
      <c r="C1162" s="8"/>
      <c r="D1162" s="8"/>
      <c r="E1162" s="81"/>
      <c r="F1162" s="34"/>
      <c r="G1162" s="34"/>
      <c r="H1162" s="34"/>
    </row>
    <row r="1163" spans="1:8" ht="20">
      <c r="A1163" s="200"/>
      <c r="B1163" s="8"/>
      <c r="C1163" s="8"/>
      <c r="D1163" s="8"/>
      <c r="E1163" s="81"/>
      <c r="F1163" s="34"/>
      <c r="G1163" s="34"/>
      <c r="H1163" s="34"/>
    </row>
    <row r="1164" spans="1:8" ht="20">
      <c r="A1164" s="200"/>
      <c r="B1164" s="8"/>
      <c r="C1164" s="8"/>
      <c r="D1164" s="8"/>
      <c r="E1164" s="81"/>
      <c r="F1164" s="34"/>
      <c r="G1164" s="34"/>
      <c r="H1164" s="34"/>
    </row>
    <row r="1165" spans="1:8" ht="20">
      <c r="A1165" s="200"/>
      <c r="B1165" s="8"/>
      <c r="C1165" s="8"/>
      <c r="D1165" s="8"/>
      <c r="E1165" s="81"/>
      <c r="F1165" s="34"/>
      <c r="G1165" s="34"/>
      <c r="H1165" s="34"/>
    </row>
    <row r="1166" spans="1:8" ht="20">
      <c r="A1166" s="200"/>
      <c r="B1166" s="8"/>
      <c r="C1166" s="8"/>
      <c r="D1166" s="8"/>
      <c r="E1166" s="81"/>
      <c r="F1166" s="34"/>
      <c r="G1166" s="34"/>
      <c r="H1166" s="34"/>
    </row>
    <row r="1167" spans="1:8" ht="20">
      <c r="A1167" s="200"/>
      <c r="B1167" s="8"/>
      <c r="C1167" s="8"/>
      <c r="D1167" s="8"/>
      <c r="E1167" s="81"/>
      <c r="F1167" s="34"/>
      <c r="G1167" s="34"/>
      <c r="H1167" s="34"/>
    </row>
    <row r="1168" spans="1:8" ht="20">
      <c r="A1168" s="200"/>
      <c r="B1168" s="8"/>
      <c r="C1168" s="8"/>
      <c r="D1168" s="8"/>
      <c r="E1168" s="81"/>
      <c r="F1168" s="34"/>
      <c r="G1168" s="34"/>
      <c r="H1168" s="34"/>
    </row>
    <row r="1169" spans="1:8" ht="20">
      <c r="A1169" s="200"/>
      <c r="B1169" s="8"/>
      <c r="C1169" s="8"/>
      <c r="D1169" s="8"/>
      <c r="E1169" s="81"/>
      <c r="F1169" s="34"/>
      <c r="G1169" s="34"/>
      <c r="H1169" s="34"/>
    </row>
    <row r="1170" spans="1:8" ht="20">
      <c r="A1170" s="200"/>
      <c r="B1170" s="8"/>
      <c r="C1170" s="8"/>
      <c r="D1170" s="8"/>
      <c r="E1170" s="81"/>
      <c r="F1170" s="34"/>
      <c r="G1170" s="34"/>
      <c r="H1170" s="34"/>
    </row>
    <row r="1171" spans="1:8" ht="20">
      <c r="A1171" s="200"/>
      <c r="B1171" s="8"/>
      <c r="C1171" s="8"/>
      <c r="D1171" s="8"/>
      <c r="E1171" s="81"/>
      <c r="F1171" s="34"/>
      <c r="G1171" s="34"/>
      <c r="H1171" s="34"/>
    </row>
    <row r="1172" spans="1:8" ht="20">
      <c r="A1172" s="200"/>
      <c r="B1172" s="8"/>
      <c r="C1172" s="8"/>
      <c r="D1172" s="8"/>
      <c r="E1172" s="81"/>
      <c r="F1172" s="34"/>
      <c r="G1172" s="34"/>
      <c r="H1172" s="34"/>
    </row>
    <row r="1173" spans="1:8" ht="20">
      <c r="A1173" s="200"/>
      <c r="B1173" s="8"/>
      <c r="C1173" s="8"/>
      <c r="D1173" s="8"/>
      <c r="E1173" s="81"/>
      <c r="F1173" s="34"/>
      <c r="G1173" s="34"/>
      <c r="H1173" s="34"/>
    </row>
    <row r="1174" spans="1:8" ht="20">
      <c r="A1174" s="200"/>
      <c r="B1174" s="8"/>
      <c r="C1174" s="8"/>
      <c r="D1174" s="8"/>
      <c r="E1174" s="81"/>
      <c r="F1174" s="34"/>
      <c r="G1174" s="34"/>
      <c r="H1174" s="34"/>
    </row>
    <row r="1175" spans="1:8" ht="20">
      <c r="A1175" s="200"/>
      <c r="B1175" s="8"/>
      <c r="C1175" s="8"/>
      <c r="D1175" s="8"/>
      <c r="E1175" s="81"/>
      <c r="F1175" s="34"/>
      <c r="G1175" s="34"/>
      <c r="H1175" s="34"/>
    </row>
    <row r="1176" spans="1:8" ht="20">
      <c r="A1176" s="200"/>
      <c r="B1176" s="8"/>
      <c r="C1176" s="8"/>
      <c r="D1176" s="8"/>
      <c r="E1176" s="81"/>
      <c r="F1176" s="34"/>
      <c r="G1176" s="34"/>
      <c r="H1176" s="34"/>
    </row>
    <row r="1177" spans="1:8" ht="20">
      <c r="A1177" s="200"/>
      <c r="B1177" s="8"/>
      <c r="C1177" s="8"/>
      <c r="D1177" s="8"/>
      <c r="E1177" s="81"/>
      <c r="F1177" s="34"/>
      <c r="G1177" s="34"/>
      <c r="H1177" s="34"/>
    </row>
    <row r="1178" spans="1:8" ht="20">
      <c r="A1178" s="200"/>
      <c r="B1178" s="8"/>
      <c r="C1178" s="8"/>
      <c r="D1178" s="8"/>
      <c r="E1178" s="81"/>
      <c r="F1178" s="34"/>
      <c r="G1178" s="34"/>
      <c r="H1178" s="34"/>
    </row>
    <row r="1179" spans="1:8" ht="20">
      <c r="A1179" s="200"/>
      <c r="B1179" s="8"/>
      <c r="C1179" s="8"/>
      <c r="D1179" s="8"/>
      <c r="E1179" s="81"/>
      <c r="F1179" s="34"/>
      <c r="G1179" s="34"/>
      <c r="H1179" s="34"/>
    </row>
    <row r="1180" spans="1:8" ht="20">
      <c r="A1180" s="200"/>
      <c r="B1180" s="8"/>
      <c r="C1180" s="8"/>
      <c r="D1180" s="8"/>
      <c r="E1180" s="81"/>
      <c r="F1180" s="34"/>
      <c r="G1180" s="34"/>
      <c r="H1180" s="34"/>
    </row>
    <row r="1181" spans="1:8" ht="20">
      <c r="A1181" s="200"/>
      <c r="B1181" s="8"/>
      <c r="C1181" s="8"/>
      <c r="D1181" s="8"/>
      <c r="E1181" s="81"/>
      <c r="F1181" s="34"/>
      <c r="G1181" s="34"/>
      <c r="H1181" s="34"/>
    </row>
    <row r="1182" spans="1:8" ht="20">
      <c r="A1182" s="200"/>
      <c r="B1182" s="8"/>
      <c r="C1182" s="8"/>
      <c r="D1182" s="8"/>
      <c r="E1182" s="81"/>
      <c r="F1182" s="34"/>
      <c r="G1182" s="34"/>
      <c r="H1182" s="34"/>
    </row>
    <row r="1183" spans="1:8" ht="20">
      <c r="A1183" s="200"/>
      <c r="B1183" s="8"/>
      <c r="C1183" s="8"/>
      <c r="D1183" s="8"/>
      <c r="E1183" s="81"/>
      <c r="F1183" s="34"/>
      <c r="G1183" s="34"/>
      <c r="H1183" s="34"/>
    </row>
    <row r="1184" spans="1:8" ht="20">
      <c r="A1184" s="200"/>
      <c r="B1184" s="8"/>
      <c r="C1184" s="8"/>
      <c r="D1184" s="8"/>
      <c r="E1184" s="81"/>
      <c r="F1184" s="34"/>
      <c r="G1184" s="34"/>
      <c r="H1184" s="34"/>
    </row>
    <row r="1185" spans="1:8" ht="20">
      <c r="A1185" s="200"/>
      <c r="B1185" s="8"/>
      <c r="C1185" s="8"/>
      <c r="D1185" s="8"/>
      <c r="E1185" s="81"/>
      <c r="F1185" s="34"/>
      <c r="G1185" s="34"/>
      <c r="H1185" s="34"/>
    </row>
    <row r="1186" spans="1:8" ht="20">
      <c r="A1186" s="200"/>
      <c r="B1186" s="8"/>
      <c r="C1186" s="8"/>
      <c r="D1186" s="8"/>
      <c r="E1186" s="81"/>
      <c r="F1186" s="34"/>
      <c r="G1186" s="34"/>
      <c r="H1186" s="34"/>
    </row>
    <row r="1187" spans="1:8" ht="20">
      <c r="A1187" s="200"/>
      <c r="B1187" s="8"/>
      <c r="C1187" s="8"/>
      <c r="D1187" s="8"/>
      <c r="E1187" s="81"/>
      <c r="F1187" s="34"/>
      <c r="G1187" s="34"/>
      <c r="H1187" s="34"/>
    </row>
    <row r="1188" spans="1:8" ht="20">
      <c r="A1188" s="200"/>
      <c r="B1188" s="8"/>
      <c r="C1188" s="8"/>
      <c r="D1188" s="8"/>
      <c r="E1188" s="81"/>
      <c r="F1188" s="34"/>
      <c r="G1188" s="34"/>
      <c r="H1188" s="34"/>
    </row>
    <row r="1189" spans="1:8" ht="20">
      <c r="A1189" s="200"/>
      <c r="B1189" s="8"/>
      <c r="C1189" s="8"/>
      <c r="D1189" s="8"/>
      <c r="E1189" s="81"/>
      <c r="F1189" s="34"/>
      <c r="G1189" s="34"/>
      <c r="H1189" s="34"/>
    </row>
    <row r="1190" spans="1:8" ht="20">
      <c r="A1190" s="200"/>
      <c r="B1190" s="8"/>
      <c r="C1190" s="8"/>
      <c r="D1190" s="8"/>
      <c r="E1190" s="81"/>
      <c r="F1190" s="34"/>
      <c r="G1190" s="34"/>
      <c r="H1190" s="34"/>
    </row>
    <row r="1191" spans="1:8" ht="20">
      <c r="A1191" s="200"/>
      <c r="B1191" s="8"/>
      <c r="C1191" s="8"/>
      <c r="D1191" s="8"/>
      <c r="E1191" s="81"/>
      <c r="F1191" s="34"/>
      <c r="G1191" s="34"/>
      <c r="H1191" s="34"/>
    </row>
    <row r="1192" spans="1:8" ht="20">
      <c r="A1192" s="200"/>
      <c r="B1192" s="8"/>
      <c r="C1192" s="8"/>
      <c r="D1192" s="8"/>
      <c r="E1192" s="81"/>
      <c r="F1192" s="34"/>
      <c r="G1192" s="34"/>
      <c r="H1192" s="34"/>
    </row>
    <row r="1193" spans="1:8" ht="20">
      <c r="A1193" s="200"/>
      <c r="B1193" s="8"/>
      <c r="C1193" s="8"/>
      <c r="D1193" s="8"/>
      <c r="E1193" s="81"/>
      <c r="F1193" s="34"/>
      <c r="G1193" s="34"/>
      <c r="H1193" s="34"/>
    </row>
    <row r="1194" spans="1:8" ht="20">
      <c r="A1194" s="200"/>
      <c r="B1194" s="8"/>
      <c r="C1194" s="8"/>
      <c r="D1194" s="8"/>
      <c r="E1194" s="81"/>
      <c r="F1194" s="34"/>
      <c r="G1194" s="34"/>
      <c r="H1194" s="34"/>
    </row>
    <row r="1195" spans="1:8" ht="20">
      <c r="A1195" s="200"/>
      <c r="B1195" s="8"/>
      <c r="C1195" s="8"/>
      <c r="D1195" s="8"/>
      <c r="E1195" s="81"/>
      <c r="F1195" s="34"/>
      <c r="G1195" s="34"/>
      <c r="H1195" s="34"/>
    </row>
    <row r="1196" spans="1:8" ht="20">
      <c r="A1196" s="200"/>
      <c r="B1196" s="8"/>
      <c r="C1196" s="8"/>
      <c r="D1196" s="8"/>
      <c r="E1196" s="81"/>
      <c r="F1196" s="34"/>
      <c r="G1196" s="34"/>
      <c r="H1196" s="34"/>
    </row>
    <row r="1197" spans="1:8" ht="20">
      <c r="A1197" s="200"/>
      <c r="B1197" s="8"/>
      <c r="C1197" s="8"/>
      <c r="D1197" s="8"/>
      <c r="E1197" s="81"/>
      <c r="F1197" s="34"/>
      <c r="G1197" s="34"/>
      <c r="H1197" s="34"/>
    </row>
    <row r="1198" spans="1:8" ht="20">
      <c r="A1198" s="200"/>
      <c r="B1198" s="8"/>
      <c r="C1198" s="8"/>
      <c r="D1198" s="8"/>
      <c r="E1198" s="81"/>
      <c r="F1198" s="34"/>
      <c r="G1198" s="34"/>
      <c r="H1198" s="34"/>
    </row>
    <row r="1199" spans="1:8" ht="20">
      <c r="A1199" s="200"/>
      <c r="B1199" s="8"/>
      <c r="C1199" s="8"/>
      <c r="D1199" s="8"/>
      <c r="E1199" s="81"/>
      <c r="F1199" s="34"/>
      <c r="G1199" s="34"/>
      <c r="H1199" s="34"/>
    </row>
    <row r="1200" spans="1:8" ht="20">
      <c r="A1200" s="200"/>
      <c r="B1200" s="8"/>
      <c r="C1200" s="8"/>
      <c r="D1200" s="8"/>
      <c r="E1200" s="81"/>
      <c r="F1200" s="34"/>
      <c r="G1200" s="34"/>
      <c r="H1200" s="34"/>
    </row>
    <row r="1201" spans="1:8" ht="20">
      <c r="A1201" s="200"/>
      <c r="B1201" s="8"/>
      <c r="C1201" s="8"/>
      <c r="D1201" s="8"/>
      <c r="E1201" s="81"/>
      <c r="F1201" s="34"/>
      <c r="G1201" s="34"/>
      <c r="H1201" s="34"/>
    </row>
    <row r="1202" spans="1:8" ht="20">
      <c r="A1202" s="200"/>
      <c r="B1202" s="8"/>
      <c r="C1202" s="8"/>
      <c r="D1202" s="8"/>
      <c r="E1202" s="81"/>
      <c r="F1202" s="34"/>
      <c r="G1202" s="34"/>
      <c r="H1202" s="34"/>
    </row>
    <row r="1203" spans="1:8" ht="20">
      <c r="A1203" s="200"/>
      <c r="B1203" s="8"/>
      <c r="C1203" s="8"/>
      <c r="D1203" s="8"/>
      <c r="E1203" s="81"/>
      <c r="F1203" s="34"/>
      <c r="G1203" s="34"/>
      <c r="H1203" s="34"/>
    </row>
    <row r="1204" spans="1:8" ht="20">
      <c r="A1204" s="200"/>
      <c r="B1204" s="8"/>
      <c r="C1204" s="8"/>
      <c r="D1204" s="8"/>
      <c r="E1204" s="81"/>
      <c r="F1204" s="34"/>
      <c r="G1204" s="34"/>
      <c r="H1204" s="34"/>
    </row>
    <row r="1205" spans="1:8" ht="20">
      <c r="A1205" s="200"/>
      <c r="B1205" s="8"/>
      <c r="C1205" s="8"/>
      <c r="D1205" s="8"/>
      <c r="E1205" s="81"/>
      <c r="F1205" s="34"/>
      <c r="G1205" s="34"/>
      <c r="H1205" s="34"/>
    </row>
    <row r="1206" spans="1:8" ht="20">
      <c r="A1206" s="200"/>
      <c r="B1206" s="8"/>
      <c r="C1206" s="8"/>
      <c r="D1206" s="8"/>
      <c r="E1206" s="81"/>
      <c r="F1206" s="34"/>
      <c r="G1206" s="34"/>
      <c r="H1206" s="34"/>
    </row>
    <row r="1207" spans="1:8" ht="20">
      <c r="A1207" s="200"/>
      <c r="B1207" s="8"/>
      <c r="C1207" s="8"/>
      <c r="D1207" s="8"/>
      <c r="E1207" s="81"/>
      <c r="F1207" s="34"/>
      <c r="G1207" s="34"/>
      <c r="H1207" s="34"/>
    </row>
    <row r="1208" spans="1:8" ht="20">
      <c r="A1208" s="200"/>
      <c r="B1208" s="8"/>
      <c r="C1208" s="8"/>
      <c r="D1208" s="8"/>
      <c r="E1208" s="81"/>
      <c r="F1208" s="34"/>
      <c r="G1208" s="34"/>
      <c r="H1208" s="34"/>
    </row>
    <row r="1209" spans="1:8" ht="20">
      <c r="A1209" s="200"/>
      <c r="B1209" s="8"/>
      <c r="C1209" s="8"/>
      <c r="D1209" s="8"/>
      <c r="E1209" s="81"/>
      <c r="F1209" s="34"/>
      <c r="G1209" s="34"/>
      <c r="H1209" s="34"/>
    </row>
    <row r="1210" spans="1:8" ht="20">
      <c r="A1210" s="200"/>
      <c r="B1210" s="8"/>
      <c r="C1210" s="8"/>
      <c r="D1210" s="8"/>
      <c r="E1210" s="81"/>
      <c r="F1210" s="34"/>
      <c r="G1210" s="34"/>
      <c r="H1210" s="34"/>
    </row>
    <row r="1211" spans="1:8" ht="20">
      <c r="A1211" s="200"/>
      <c r="B1211" s="8"/>
      <c r="C1211" s="8"/>
      <c r="D1211" s="8"/>
      <c r="E1211" s="81"/>
      <c r="F1211" s="34"/>
      <c r="G1211" s="34"/>
      <c r="H1211" s="34"/>
    </row>
    <row r="1212" spans="1:8" ht="20">
      <c r="A1212" s="200"/>
      <c r="B1212" s="8"/>
      <c r="C1212" s="8"/>
      <c r="D1212" s="8"/>
      <c r="E1212" s="81"/>
      <c r="F1212" s="34"/>
      <c r="G1212" s="34"/>
      <c r="H1212" s="34"/>
    </row>
    <row r="1213" spans="1:8" ht="20">
      <c r="A1213" s="200"/>
      <c r="B1213" s="8"/>
      <c r="C1213" s="8"/>
      <c r="D1213" s="8"/>
      <c r="E1213" s="81"/>
      <c r="F1213" s="34"/>
      <c r="G1213" s="34"/>
      <c r="H1213" s="34"/>
    </row>
    <row r="1214" spans="1:8" ht="20">
      <c r="A1214" s="200"/>
      <c r="B1214" s="8"/>
      <c r="C1214" s="8"/>
      <c r="D1214" s="8"/>
      <c r="E1214" s="81"/>
      <c r="F1214" s="34"/>
      <c r="G1214" s="34"/>
      <c r="H1214" s="34"/>
    </row>
    <row r="1215" spans="1:8" ht="20">
      <c r="A1215" s="200"/>
      <c r="B1215" s="8"/>
      <c r="C1215" s="8"/>
      <c r="D1215" s="8"/>
      <c r="E1215" s="81"/>
      <c r="F1215" s="34"/>
      <c r="G1215" s="34"/>
      <c r="H1215" s="34"/>
    </row>
    <row r="1216" spans="1:8" ht="20">
      <c r="A1216" s="200"/>
      <c r="B1216" s="8"/>
      <c r="C1216" s="8"/>
      <c r="D1216" s="8"/>
      <c r="E1216" s="81"/>
      <c r="F1216" s="34"/>
      <c r="G1216" s="34"/>
      <c r="H1216" s="34"/>
    </row>
    <row r="1217" spans="1:8" ht="20">
      <c r="A1217" s="200"/>
      <c r="B1217" s="8"/>
      <c r="C1217" s="8"/>
      <c r="D1217" s="8"/>
      <c r="E1217" s="81"/>
      <c r="F1217" s="34"/>
      <c r="G1217" s="34"/>
      <c r="H1217" s="34"/>
    </row>
    <row r="1218" spans="1:8" ht="20">
      <c r="A1218" s="200"/>
      <c r="B1218" s="8"/>
      <c r="C1218" s="8"/>
      <c r="D1218" s="8"/>
      <c r="E1218" s="81"/>
      <c r="F1218" s="34"/>
      <c r="G1218" s="34"/>
      <c r="H1218" s="34"/>
    </row>
    <row r="1219" spans="1:8" ht="20">
      <c r="A1219" s="200"/>
      <c r="B1219" s="8"/>
      <c r="C1219" s="8"/>
      <c r="D1219" s="8"/>
      <c r="E1219" s="81"/>
      <c r="F1219" s="34"/>
      <c r="G1219" s="34"/>
      <c r="H1219" s="34"/>
    </row>
    <row r="1220" spans="1:8" ht="20">
      <c r="A1220" s="200"/>
      <c r="B1220" s="8"/>
      <c r="C1220" s="8"/>
      <c r="D1220" s="8"/>
      <c r="E1220" s="81"/>
      <c r="F1220" s="34"/>
      <c r="G1220" s="34"/>
      <c r="H1220" s="34"/>
    </row>
    <row r="1221" spans="1:8" ht="20">
      <c r="A1221" s="200"/>
      <c r="B1221" s="8"/>
      <c r="C1221" s="8"/>
      <c r="D1221" s="8"/>
      <c r="E1221" s="81"/>
      <c r="F1221" s="34"/>
      <c r="G1221" s="34"/>
      <c r="H1221" s="34"/>
    </row>
    <row r="1222" spans="1:8" ht="20">
      <c r="A1222" s="200"/>
      <c r="B1222" s="8"/>
      <c r="C1222" s="8"/>
      <c r="D1222" s="8"/>
      <c r="E1222" s="81"/>
      <c r="F1222" s="34"/>
      <c r="G1222" s="34"/>
      <c r="H1222" s="34"/>
    </row>
    <row r="1223" spans="1:8" ht="20">
      <c r="A1223" s="200"/>
      <c r="B1223" s="8"/>
      <c r="C1223" s="8"/>
      <c r="D1223" s="8"/>
      <c r="E1223" s="81"/>
      <c r="F1223" s="34"/>
      <c r="G1223" s="34"/>
      <c r="H1223" s="34"/>
    </row>
    <row r="1224" spans="1:8" ht="20">
      <c r="A1224" s="200"/>
      <c r="B1224" s="8"/>
      <c r="C1224" s="8"/>
      <c r="D1224" s="8"/>
      <c r="E1224" s="81"/>
      <c r="F1224" s="34"/>
      <c r="G1224" s="34"/>
      <c r="H1224" s="34"/>
    </row>
    <row r="1225" spans="1:8" ht="20">
      <c r="A1225" s="200"/>
      <c r="B1225" s="8"/>
      <c r="C1225" s="8"/>
      <c r="D1225" s="8"/>
      <c r="E1225" s="81"/>
      <c r="F1225" s="34"/>
      <c r="G1225" s="34"/>
      <c r="H1225" s="34"/>
    </row>
    <row r="1226" spans="1:8" ht="20">
      <c r="A1226" s="200"/>
      <c r="B1226" s="8"/>
      <c r="C1226" s="8"/>
      <c r="D1226" s="8"/>
      <c r="E1226" s="81"/>
      <c r="F1226" s="34"/>
      <c r="G1226" s="34"/>
      <c r="H1226" s="34"/>
    </row>
    <row r="1227" spans="1:8" ht="20">
      <c r="A1227" s="200"/>
      <c r="B1227" s="8"/>
      <c r="C1227" s="8"/>
      <c r="D1227" s="8"/>
      <c r="E1227" s="81"/>
      <c r="F1227" s="34"/>
      <c r="G1227" s="34"/>
      <c r="H1227" s="34"/>
    </row>
    <row r="1228" spans="1:8" ht="20">
      <c r="A1228" s="200"/>
      <c r="B1228" s="8"/>
      <c r="C1228" s="8"/>
      <c r="D1228" s="8"/>
      <c r="E1228" s="81"/>
      <c r="F1228" s="34"/>
      <c r="G1228" s="34"/>
      <c r="H1228" s="34"/>
    </row>
    <row r="1229" spans="1:8" ht="20">
      <c r="A1229" s="200"/>
      <c r="B1229" s="8"/>
      <c r="C1229" s="8"/>
      <c r="D1229" s="8"/>
      <c r="E1229" s="81"/>
      <c r="F1229" s="34"/>
      <c r="G1229" s="34"/>
      <c r="H1229" s="34"/>
    </row>
    <row r="1230" spans="1:8" ht="20">
      <c r="A1230" s="200"/>
      <c r="B1230" s="8"/>
      <c r="C1230" s="8"/>
      <c r="D1230" s="8"/>
      <c r="E1230" s="81"/>
      <c r="F1230" s="34"/>
      <c r="G1230" s="34"/>
      <c r="H1230" s="34"/>
    </row>
    <row r="1231" spans="1:8" ht="20">
      <c r="A1231" s="200"/>
      <c r="B1231" s="8"/>
      <c r="C1231" s="8"/>
      <c r="D1231" s="8"/>
      <c r="E1231" s="81"/>
      <c r="F1231" s="34"/>
      <c r="G1231" s="34"/>
      <c r="H1231" s="34"/>
    </row>
    <row r="1232" spans="1:8" ht="20">
      <c r="A1232" s="200"/>
      <c r="B1232" s="8"/>
      <c r="C1232" s="8"/>
      <c r="D1232" s="8"/>
      <c r="E1232" s="81"/>
      <c r="F1232" s="34"/>
      <c r="G1232" s="34"/>
      <c r="H1232" s="34"/>
    </row>
    <row r="1233" spans="1:8" ht="20">
      <c r="A1233" s="200"/>
      <c r="B1233" s="8"/>
      <c r="C1233" s="8"/>
      <c r="D1233" s="8"/>
      <c r="E1233" s="81"/>
      <c r="F1233" s="34"/>
      <c r="G1233" s="34"/>
      <c r="H1233" s="34"/>
    </row>
    <row r="1234" spans="1:8" ht="20">
      <c r="A1234" s="200"/>
      <c r="B1234" s="8"/>
      <c r="C1234" s="8"/>
      <c r="D1234" s="8"/>
      <c r="E1234" s="81"/>
      <c r="F1234" s="34"/>
      <c r="G1234" s="34"/>
      <c r="H1234" s="34"/>
    </row>
    <row r="1235" spans="1:8" ht="20">
      <c r="A1235" s="200"/>
      <c r="B1235" s="8"/>
      <c r="C1235" s="8"/>
      <c r="D1235" s="8"/>
      <c r="E1235" s="81"/>
      <c r="F1235" s="34"/>
      <c r="G1235" s="34"/>
      <c r="H1235" s="34"/>
    </row>
    <row r="1236" spans="1:8" ht="20">
      <c r="A1236" s="200"/>
      <c r="B1236" s="8"/>
      <c r="C1236" s="8"/>
      <c r="D1236" s="8"/>
      <c r="E1236" s="81"/>
      <c r="F1236" s="34"/>
      <c r="G1236" s="34"/>
      <c r="H1236" s="34"/>
    </row>
    <row r="1237" spans="1:8" ht="20">
      <c r="A1237" s="200"/>
      <c r="B1237" s="8"/>
      <c r="C1237" s="8"/>
      <c r="D1237" s="8"/>
      <c r="E1237" s="81"/>
      <c r="F1237" s="34"/>
      <c r="G1237" s="34"/>
      <c r="H1237" s="34"/>
    </row>
    <row r="1238" spans="1:8" ht="20">
      <c r="A1238" s="200"/>
      <c r="B1238" s="8"/>
      <c r="C1238" s="8"/>
      <c r="D1238" s="8"/>
      <c r="E1238" s="81"/>
      <c r="F1238" s="34"/>
      <c r="G1238" s="34"/>
      <c r="H1238" s="34"/>
    </row>
    <row r="1239" spans="1:8" ht="20">
      <c r="A1239" s="200"/>
      <c r="B1239" s="8"/>
      <c r="C1239" s="8"/>
      <c r="D1239" s="8"/>
      <c r="E1239" s="81"/>
      <c r="F1239" s="34"/>
      <c r="G1239" s="34"/>
      <c r="H1239" s="34"/>
    </row>
    <row r="1240" spans="1:8" ht="20">
      <c r="A1240" s="200"/>
      <c r="B1240" s="8"/>
      <c r="C1240" s="8"/>
      <c r="D1240" s="8"/>
      <c r="E1240" s="81"/>
      <c r="F1240" s="34"/>
      <c r="G1240" s="34"/>
      <c r="H1240" s="34"/>
    </row>
    <row r="1241" spans="1:8" ht="20">
      <c r="A1241" s="200"/>
      <c r="B1241" s="8"/>
      <c r="C1241" s="8"/>
      <c r="D1241" s="8"/>
      <c r="E1241" s="81"/>
      <c r="F1241" s="34"/>
      <c r="G1241" s="34"/>
      <c r="H1241" s="34"/>
    </row>
    <row r="1242" spans="1:8" ht="20">
      <c r="A1242" s="200"/>
      <c r="B1242" s="8"/>
      <c r="C1242" s="8"/>
      <c r="D1242" s="8"/>
      <c r="E1242" s="81"/>
      <c r="F1242" s="34"/>
      <c r="G1242" s="34"/>
      <c r="H1242" s="34"/>
    </row>
    <row r="1243" spans="1:8" ht="20">
      <c r="A1243" s="200"/>
      <c r="B1243" s="8"/>
      <c r="C1243" s="8"/>
      <c r="D1243" s="8"/>
      <c r="E1243" s="81"/>
      <c r="F1243" s="34"/>
      <c r="G1243" s="34"/>
      <c r="H1243" s="34"/>
    </row>
    <row r="1244" spans="1:8" ht="20">
      <c r="A1244" s="200"/>
      <c r="B1244" s="8"/>
      <c r="C1244" s="8"/>
      <c r="D1244" s="8"/>
      <c r="E1244" s="81"/>
      <c r="F1244" s="34"/>
      <c r="G1244" s="34"/>
      <c r="H1244" s="34"/>
    </row>
    <row r="1245" spans="1:8" ht="20">
      <c r="A1245" s="200"/>
      <c r="B1245" s="8"/>
      <c r="C1245" s="8"/>
      <c r="D1245" s="8"/>
      <c r="E1245" s="81"/>
      <c r="F1245" s="34"/>
      <c r="G1245" s="34"/>
      <c r="H1245" s="34"/>
    </row>
    <row r="1246" spans="1:8" ht="20">
      <c r="A1246" s="200"/>
      <c r="B1246" s="8"/>
      <c r="C1246" s="8"/>
      <c r="D1246" s="8"/>
      <c r="E1246" s="81"/>
      <c r="F1246" s="34"/>
      <c r="G1246" s="34"/>
      <c r="H1246" s="34"/>
    </row>
    <row r="1247" spans="1:8" ht="20">
      <c r="A1247" s="200"/>
      <c r="B1247" s="8"/>
      <c r="C1247" s="8"/>
      <c r="D1247" s="8"/>
      <c r="E1247" s="81"/>
      <c r="F1247" s="34"/>
      <c r="G1247" s="34"/>
      <c r="H1247" s="34"/>
    </row>
    <row r="1248" spans="1:8" ht="20">
      <c r="A1248" s="200"/>
      <c r="B1248" s="8"/>
      <c r="C1248" s="8"/>
      <c r="D1248" s="8"/>
      <c r="E1248" s="81"/>
      <c r="F1248" s="34"/>
      <c r="G1248" s="34"/>
      <c r="H1248" s="34"/>
    </row>
    <row r="1249" spans="1:8" ht="20">
      <c r="A1249" s="200"/>
      <c r="B1249" s="8"/>
      <c r="C1249" s="8"/>
      <c r="D1249" s="8"/>
      <c r="E1249" s="81"/>
      <c r="F1249" s="34"/>
      <c r="G1249" s="34"/>
      <c r="H1249" s="34"/>
    </row>
    <row r="1250" spans="1:8" ht="20">
      <c r="A1250" s="200"/>
      <c r="B1250" s="8"/>
      <c r="C1250" s="8"/>
      <c r="D1250" s="8"/>
      <c r="E1250" s="81"/>
      <c r="F1250" s="34"/>
      <c r="G1250" s="34"/>
      <c r="H1250" s="34"/>
    </row>
    <row r="1251" spans="1:8" ht="20">
      <c r="A1251" s="200"/>
      <c r="B1251" s="8"/>
      <c r="C1251" s="8"/>
      <c r="D1251" s="8"/>
      <c r="E1251" s="81"/>
      <c r="F1251" s="34"/>
      <c r="G1251" s="34"/>
      <c r="H1251" s="34"/>
    </row>
    <row r="1252" spans="1:8" ht="20">
      <c r="A1252" s="200"/>
      <c r="B1252" s="8"/>
      <c r="C1252" s="8"/>
      <c r="D1252" s="8"/>
      <c r="E1252" s="81"/>
      <c r="F1252" s="34"/>
      <c r="G1252" s="34"/>
      <c r="H1252" s="34"/>
    </row>
    <row r="1253" spans="1:8" ht="20">
      <c r="A1253" s="200"/>
      <c r="B1253" s="8"/>
      <c r="C1253" s="8"/>
      <c r="D1253" s="8"/>
      <c r="E1253" s="81"/>
      <c r="F1253" s="34"/>
      <c r="G1253" s="34"/>
      <c r="H1253" s="34"/>
    </row>
    <row r="1254" spans="1:8" ht="20">
      <c r="A1254" s="200"/>
      <c r="B1254" s="8"/>
      <c r="C1254" s="8"/>
      <c r="D1254" s="8"/>
      <c r="E1254" s="81"/>
      <c r="F1254" s="34"/>
      <c r="G1254" s="34"/>
      <c r="H1254" s="34"/>
    </row>
    <row r="1255" spans="1:8" ht="20">
      <c r="A1255" s="200"/>
      <c r="B1255" s="8"/>
      <c r="C1255" s="8"/>
      <c r="D1255" s="8"/>
      <c r="E1255" s="81"/>
      <c r="F1255" s="34"/>
      <c r="G1255" s="34"/>
      <c r="H1255" s="34"/>
    </row>
    <row r="1256" spans="1:8" ht="20">
      <c r="A1256" s="200"/>
      <c r="B1256" s="8"/>
      <c r="C1256" s="8"/>
      <c r="D1256" s="8"/>
      <c r="E1256" s="81"/>
      <c r="F1256" s="34"/>
      <c r="G1256" s="34"/>
      <c r="H1256" s="34"/>
    </row>
    <row r="1257" spans="1:8" ht="20">
      <c r="A1257" s="200"/>
      <c r="B1257" s="8"/>
      <c r="C1257" s="8"/>
      <c r="D1257" s="8"/>
      <c r="E1257" s="81"/>
      <c r="F1257" s="34"/>
      <c r="G1257" s="34"/>
      <c r="H1257" s="34"/>
    </row>
    <row r="1258" spans="1:8" ht="20">
      <c r="A1258" s="200"/>
      <c r="B1258" s="8"/>
      <c r="C1258" s="8"/>
      <c r="D1258" s="8"/>
      <c r="E1258" s="81"/>
      <c r="F1258" s="34"/>
      <c r="G1258" s="34"/>
      <c r="H1258" s="34"/>
    </row>
    <row r="1259" spans="1:8" ht="20">
      <c r="A1259" s="200"/>
      <c r="B1259" s="8"/>
      <c r="C1259" s="8"/>
      <c r="D1259" s="8"/>
      <c r="E1259" s="81"/>
      <c r="F1259" s="34"/>
      <c r="G1259" s="34"/>
      <c r="H1259" s="34"/>
    </row>
    <row r="1260" spans="1:8" ht="20">
      <c r="A1260" s="200"/>
      <c r="B1260" s="8"/>
      <c r="C1260" s="8"/>
      <c r="D1260" s="8"/>
      <c r="E1260" s="81"/>
      <c r="F1260" s="34"/>
      <c r="G1260" s="34"/>
      <c r="H1260" s="34"/>
    </row>
    <row r="1261" spans="1:8" ht="20">
      <c r="A1261" s="200"/>
      <c r="B1261" s="8"/>
      <c r="C1261" s="8"/>
      <c r="D1261" s="8"/>
      <c r="E1261" s="81"/>
      <c r="F1261" s="34"/>
      <c r="G1261" s="34"/>
      <c r="H1261" s="34"/>
    </row>
    <row r="1262" spans="1:8" ht="20">
      <c r="A1262" s="200"/>
      <c r="B1262" s="8"/>
      <c r="C1262" s="8"/>
      <c r="D1262" s="8"/>
      <c r="E1262" s="81"/>
      <c r="F1262" s="34"/>
      <c r="G1262" s="34"/>
      <c r="H1262" s="34"/>
    </row>
    <row r="1263" spans="1:8" ht="20">
      <c r="A1263" s="200"/>
      <c r="B1263" s="8"/>
      <c r="C1263" s="8"/>
      <c r="D1263" s="8"/>
      <c r="E1263" s="81"/>
      <c r="F1263" s="34"/>
      <c r="G1263" s="34"/>
      <c r="H1263" s="34"/>
    </row>
    <row r="1264" spans="1:8" ht="20">
      <c r="A1264" s="200"/>
      <c r="B1264" s="8"/>
      <c r="C1264" s="8"/>
      <c r="D1264" s="8"/>
      <c r="E1264" s="81"/>
      <c r="F1264" s="34"/>
      <c r="G1264" s="34"/>
      <c r="H1264" s="34"/>
    </row>
    <row r="1265" spans="1:8" ht="20">
      <c r="A1265" s="200"/>
      <c r="B1265" s="8"/>
      <c r="C1265" s="8"/>
      <c r="D1265" s="8"/>
      <c r="E1265" s="81"/>
      <c r="F1265" s="34"/>
      <c r="G1265" s="34"/>
      <c r="H1265" s="34"/>
    </row>
    <row r="1266" spans="1:8" ht="20">
      <c r="A1266" s="200"/>
      <c r="B1266" s="8"/>
      <c r="C1266" s="8"/>
      <c r="D1266" s="8"/>
      <c r="E1266" s="81"/>
      <c r="F1266" s="34"/>
      <c r="G1266" s="34"/>
      <c r="H1266" s="34"/>
    </row>
    <row r="1267" spans="1:8" ht="20">
      <c r="A1267" s="200"/>
      <c r="B1267" s="8"/>
      <c r="C1267" s="8"/>
      <c r="D1267" s="8"/>
      <c r="E1267" s="81"/>
      <c r="F1267" s="34"/>
      <c r="G1267" s="34"/>
      <c r="H1267" s="34"/>
    </row>
    <row r="1268" spans="1:8" ht="20">
      <c r="A1268" s="200"/>
      <c r="B1268" s="8"/>
      <c r="C1268" s="8"/>
      <c r="D1268" s="8"/>
      <c r="E1268" s="81"/>
      <c r="F1268" s="34"/>
      <c r="G1268" s="34"/>
      <c r="H1268" s="34"/>
    </row>
    <row r="1269" spans="1:8" ht="20">
      <c r="A1269" s="200"/>
      <c r="B1269" s="8"/>
      <c r="C1269" s="8"/>
      <c r="D1269" s="8"/>
      <c r="E1269" s="81"/>
      <c r="F1269" s="34"/>
      <c r="G1269" s="34"/>
      <c r="H1269" s="34"/>
    </row>
    <row r="1270" spans="1:8" ht="20">
      <c r="A1270" s="200"/>
      <c r="B1270" s="8"/>
      <c r="C1270" s="8"/>
      <c r="D1270" s="8"/>
      <c r="E1270" s="81"/>
      <c r="F1270" s="34"/>
      <c r="G1270" s="34"/>
      <c r="H1270" s="34"/>
    </row>
    <row r="1271" spans="1:8" ht="20">
      <c r="A1271" s="200"/>
      <c r="B1271" s="8"/>
      <c r="C1271" s="8"/>
      <c r="D1271" s="8"/>
      <c r="E1271" s="81"/>
      <c r="F1271" s="34"/>
      <c r="G1271" s="34"/>
      <c r="H1271" s="34"/>
    </row>
    <row r="1272" spans="1:8" ht="20">
      <c r="A1272" s="200"/>
      <c r="B1272" s="8"/>
      <c r="C1272" s="8"/>
      <c r="D1272" s="8"/>
      <c r="E1272" s="81"/>
      <c r="F1272" s="34"/>
      <c r="G1272" s="34"/>
      <c r="H1272" s="34"/>
    </row>
    <row r="1273" spans="1:8" ht="20">
      <c r="A1273" s="200"/>
      <c r="B1273" s="8"/>
      <c r="C1273" s="8"/>
      <c r="D1273" s="8"/>
      <c r="E1273" s="81"/>
      <c r="F1273" s="34"/>
      <c r="G1273" s="34"/>
      <c r="H1273" s="34"/>
    </row>
    <row r="1274" spans="1:8" ht="20">
      <c r="A1274" s="200"/>
      <c r="B1274" s="8"/>
      <c r="C1274" s="8"/>
      <c r="D1274" s="8"/>
      <c r="E1274" s="81"/>
      <c r="F1274" s="34"/>
      <c r="G1274" s="34"/>
      <c r="H1274" s="34"/>
    </row>
    <row r="1275" spans="1:8" ht="20">
      <c r="A1275" s="200"/>
      <c r="B1275" s="8"/>
      <c r="C1275" s="8"/>
      <c r="D1275" s="8"/>
      <c r="E1275" s="81"/>
      <c r="F1275" s="34"/>
      <c r="G1275" s="34"/>
      <c r="H1275" s="34"/>
    </row>
    <row r="1276" spans="1:8" ht="20">
      <c r="A1276" s="200"/>
      <c r="B1276" s="8"/>
      <c r="C1276" s="8"/>
      <c r="D1276" s="8"/>
      <c r="E1276" s="81"/>
      <c r="F1276" s="34"/>
      <c r="G1276" s="34"/>
      <c r="H1276" s="34"/>
    </row>
    <row r="1277" spans="1:8" ht="20">
      <c r="A1277" s="200"/>
      <c r="B1277" s="8"/>
      <c r="C1277" s="8"/>
      <c r="D1277" s="8"/>
      <c r="E1277" s="81"/>
      <c r="F1277" s="34"/>
      <c r="G1277" s="34"/>
      <c r="H1277" s="34"/>
    </row>
    <row r="1278" spans="1:8" ht="20">
      <c r="A1278" s="200"/>
      <c r="B1278" s="8"/>
      <c r="C1278" s="8"/>
      <c r="D1278" s="8"/>
      <c r="E1278" s="81"/>
      <c r="F1278" s="34"/>
      <c r="G1278" s="34"/>
      <c r="H1278" s="34"/>
    </row>
    <row r="1279" spans="1:8" ht="20">
      <c r="A1279" s="200"/>
      <c r="B1279" s="8"/>
      <c r="C1279" s="8"/>
      <c r="D1279" s="8"/>
      <c r="E1279" s="81"/>
      <c r="F1279" s="34"/>
      <c r="G1279" s="34"/>
      <c r="H1279" s="34"/>
    </row>
    <row r="1280" spans="1:8" ht="20">
      <c r="A1280" s="200"/>
      <c r="B1280" s="8"/>
      <c r="C1280" s="8"/>
      <c r="D1280" s="8"/>
      <c r="E1280" s="81"/>
      <c r="F1280" s="34"/>
      <c r="G1280" s="34"/>
      <c r="H1280" s="34"/>
    </row>
    <row r="1281" spans="1:8" ht="20">
      <c r="A1281" s="200"/>
      <c r="B1281" s="8"/>
      <c r="C1281" s="8"/>
      <c r="D1281" s="8"/>
      <c r="E1281" s="81"/>
      <c r="F1281" s="34"/>
      <c r="G1281" s="34"/>
      <c r="H1281" s="34"/>
    </row>
    <row r="1282" spans="1:8" ht="20">
      <c r="A1282" s="200"/>
      <c r="B1282" s="8"/>
      <c r="C1282" s="8"/>
      <c r="D1282" s="8"/>
      <c r="E1282" s="81"/>
      <c r="F1282" s="34"/>
      <c r="G1282" s="34"/>
      <c r="H1282" s="34"/>
    </row>
    <row r="1283" spans="1:8" ht="20">
      <c r="A1283" s="200"/>
      <c r="B1283" s="8"/>
      <c r="C1283" s="8"/>
      <c r="D1283" s="8"/>
      <c r="E1283" s="81"/>
      <c r="F1283" s="34"/>
      <c r="G1283" s="34"/>
      <c r="H1283" s="34"/>
    </row>
    <row r="1284" spans="1:8" ht="20">
      <c r="A1284" s="200"/>
      <c r="B1284" s="8"/>
      <c r="C1284" s="8"/>
      <c r="D1284" s="8"/>
      <c r="E1284" s="81"/>
      <c r="F1284" s="34"/>
      <c r="G1284" s="34"/>
      <c r="H1284" s="34"/>
    </row>
    <row r="1285" spans="1:8" ht="20">
      <c r="A1285" s="200"/>
      <c r="B1285" s="8"/>
      <c r="C1285" s="8"/>
      <c r="D1285" s="8"/>
      <c r="E1285" s="81"/>
      <c r="F1285" s="34"/>
      <c r="G1285" s="34"/>
      <c r="H1285" s="34"/>
    </row>
    <row r="1286" spans="1:8" ht="20">
      <c r="A1286" s="200"/>
      <c r="B1286" s="8"/>
      <c r="C1286" s="8"/>
      <c r="D1286" s="8"/>
      <c r="E1286" s="81"/>
      <c r="F1286" s="34"/>
      <c r="G1286" s="34"/>
      <c r="H1286" s="34"/>
    </row>
    <row r="1287" spans="1:8" ht="20">
      <c r="A1287" s="200"/>
      <c r="B1287" s="8"/>
      <c r="C1287" s="8"/>
      <c r="D1287" s="8"/>
      <c r="E1287" s="81"/>
      <c r="F1287" s="34"/>
      <c r="G1287" s="34"/>
      <c r="H1287" s="34"/>
    </row>
    <row r="1288" spans="1:8" ht="20">
      <c r="A1288" s="200"/>
      <c r="B1288" s="8"/>
      <c r="C1288" s="8"/>
      <c r="D1288" s="8"/>
      <c r="E1288" s="81"/>
      <c r="F1288" s="34"/>
      <c r="G1288" s="34"/>
      <c r="H1288" s="34"/>
    </row>
    <row r="1289" spans="1:8" ht="20">
      <c r="A1289" s="200"/>
      <c r="B1289" s="8"/>
      <c r="C1289" s="8"/>
      <c r="D1289" s="8"/>
      <c r="E1289" s="81"/>
      <c r="F1289" s="34"/>
      <c r="G1289" s="34"/>
      <c r="H1289" s="34"/>
    </row>
    <row r="1290" spans="1:8" ht="20">
      <c r="A1290" s="200"/>
      <c r="B1290" s="8"/>
      <c r="C1290" s="8"/>
      <c r="D1290" s="8"/>
      <c r="E1290" s="81"/>
      <c r="F1290" s="34"/>
      <c r="G1290" s="34"/>
      <c r="H1290" s="34"/>
    </row>
    <row r="1291" spans="1:8" ht="20">
      <c r="A1291" s="200"/>
      <c r="B1291" s="8"/>
      <c r="C1291" s="8"/>
      <c r="D1291" s="8"/>
      <c r="E1291" s="81"/>
      <c r="F1291" s="34"/>
      <c r="G1291" s="34"/>
      <c r="H1291" s="34"/>
    </row>
    <row r="1292" spans="1:8" ht="20">
      <c r="A1292" s="200"/>
      <c r="B1292" s="8"/>
      <c r="C1292" s="8"/>
      <c r="D1292" s="8"/>
      <c r="E1292" s="81"/>
      <c r="F1292" s="34"/>
      <c r="G1292" s="34"/>
      <c r="H1292" s="34"/>
    </row>
    <row r="1293" spans="1:8" ht="20">
      <c r="A1293" s="200"/>
      <c r="B1293" s="8"/>
      <c r="C1293" s="8"/>
      <c r="D1293" s="8"/>
      <c r="E1293" s="81"/>
      <c r="F1293" s="34"/>
      <c r="G1293" s="34"/>
      <c r="H1293" s="34"/>
    </row>
    <row r="1294" spans="1:8" ht="20">
      <c r="A1294" s="200"/>
      <c r="B1294" s="8"/>
      <c r="C1294" s="8"/>
      <c r="D1294" s="8"/>
      <c r="E1294" s="81"/>
      <c r="F1294" s="34"/>
      <c r="G1294" s="34"/>
      <c r="H1294" s="34"/>
    </row>
    <row r="1295" spans="1:8" ht="20">
      <c r="A1295" s="200"/>
      <c r="B1295" s="8"/>
      <c r="C1295" s="8"/>
      <c r="D1295" s="8"/>
      <c r="E1295" s="81"/>
      <c r="F1295" s="34"/>
      <c r="G1295" s="34"/>
      <c r="H1295" s="34"/>
    </row>
    <row r="1296" spans="1:8" ht="20">
      <c r="A1296" s="200"/>
      <c r="B1296" s="8"/>
      <c r="C1296" s="8"/>
      <c r="D1296" s="8"/>
      <c r="E1296" s="81"/>
      <c r="F1296" s="34"/>
      <c r="G1296" s="34"/>
      <c r="H1296" s="34"/>
    </row>
    <row r="1297" spans="1:8" ht="20">
      <c r="A1297" s="200"/>
      <c r="B1297" s="8"/>
      <c r="C1297" s="8"/>
      <c r="D1297" s="8"/>
      <c r="E1297" s="81"/>
      <c r="F1297" s="34"/>
      <c r="G1297" s="34"/>
      <c r="H1297" s="34"/>
    </row>
    <row r="1298" spans="1:8" ht="20">
      <c r="A1298" s="200"/>
      <c r="B1298" s="8"/>
      <c r="C1298" s="8"/>
      <c r="D1298" s="8"/>
      <c r="E1298" s="81"/>
      <c r="F1298" s="34"/>
      <c r="G1298" s="34"/>
      <c r="H1298" s="34"/>
    </row>
    <row r="1299" spans="1:8" ht="20">
      <c r="A1299" s="200"/>
      <c r="B1299" s="8"/>
      <c r="C1299" s="8"/>
      <c r="D1299" s="8"/>
      <c r="E1299" s="81"/>
      <c r="F1299" s="34"/>
      <c r="G1299" s="34"/>
      <c r="H1299" s="34"/>
    </row>
    <row r="1300" spans="1:8" ht="20">
      <c r="A1300" s="200"/>
      <c r="B1300" s="8"/>
      <c r="C1300" s="8"/>
      <c r="D1300" s="8"/>
      <c r="E1300" s="81"/>
      <c r="F1300" s="34"/>
      <c r="G1300" s="34"/>
      <c r="H1300" s="34"/>
    </row>
    <row r="1301" spans="1:8" ht="20">
      <c r="A1301" s="200"/>
      <c r="B1301" s="8"/>
      <c r="C1301" s="8"/>
      <c r="D1301" s="8"/>
      <c r="E1301" s="81"/>
      <c r="F1301" s="34"/>
      <c r="G1301" s="34"/>
      <c r="H1301" s="34"/>
    </row>
    <row r="1302" spans="1:8" ht="20">
      <c r="A1302" s="200"/>
      <c r="B1302" s="8"/>
      <c r="C1302" s="8"/>
      <c r="D1302" s="8"/>
      <c r="E1302" s="81"/>
      <c r="F1302" s="34"/>
      <c r="G1302" s="34"/>
      <c r="H1302" s="34"/>
    </row>
    <row r="1303" spans="1:8" ht="20">
      <c r="A1303" s="200"/>
      <c r="B1303" s="8"/>
      <c r="C1303" s="8"/>
      <c r="D1303" s="8"/>
      <c r="E1303" s="81"/>
      <c r="F1303" s="34"/>
      <c r="G1303" s="34"/>
      <c r="H1303" s="34"/>
    </row>
    <row r="1304" spans="1:8" ht="20">
      <c r="A1304" s="200"/>
      <c r="B1304" s="8"/>
      <c r="C1304" s="8"/>
      <c r="D1304" s="8"/>
      <c r="E1304" s="81"/>
      <c r="F1304" s="34"/>
      <c r="G1304" s="34"/>
      <c r="H1304" s="34"/>
    </row>
    <row r="1305" spans="1:8" ht="20">
      <c r="A1305" s="200"/>
      <c r="B1305" s="8"/>
      <c r="C1305" s="8"/>
      <c r="D1305" s="8"/>
      <c r="E1305" s="81"/>
      <c r="F1305" s="34"/>
      <c r="G1305" s="34"/>
      <c r="H1305" s="34"/>
    </row>
    <row r="1306" spans="1:8" ht="20">
      <c r="A1306" s="200"/>
      <c r="B1306" s="8"/>
      <c r="C1306" s="8"/>
      <c r="D1306" s="8"/>
      <c r="E1306" s="81"/>
      <c r="F1306" s="34"/>
      <c r="G1306" s="34"/>
      <c r="H1306" s="34"/>
    </row>
    <row r="1307" spans="1:8" ht="20">
      <c r="A1307" s="200"/>
      <c r="B1307" s="8"/>
      <c r="C1307" s="8"/>
      <c r="D1307" s="8"/>
      <c r="E1307" s="81"/>
      <c r="F1307" s="34"/>
      <c r="G1307" s="34"/>
      <c r="H1307" s="34"/>
    </row>
    <row r="1308" spans="1:8" ht="20">
      <c r="A1308" s="200"/>
      <c r="B1308" s="8"/>
      <c r="C1308" s="8"/>
      <c r="D1308" s="8"/>
      <c r="E1308" s="81"/>
      <c r="F1308" s="34"/>
      <c r="G1308" s="34"/>
      <c r="H1308" s="34"/>
    </row>
    <row r="1309" spans="1:8" ht="20">
      <c r="A1309" s="200"/>
      <c r="B1309" s="8"/>
      <c r="C1309" s="8"/>
      <c r="D1309" s="8"/>
      <c r="E1309" s="81"/>
      <c r="F1309" s="34"/>
      <c r="G1309" s="34"/>
      <c r="H1309" s="34"/>
    </row>
    <row r="1310" spans="1:8" ht="20">
      <c r="A1310" s="200"/>
      <c r="B1310" s="8"/>
      <c r="C1310" s="8"/>
      <c r="D1310" s="8"/>
      <c r="E1310" s="81"/>
      <c r="F1310" s="34"/>
      <c r="G1310" s="34"/>
      <c r="H1310" s="34"/>
    </row>
    <row r="1311" spans="1:8" ht="20">
      <c r="A1311" s="200"/>
      <c r="B1311" s="8"/>
      <c r="C1311" s="8"/>
      <c r="D1311" s="8"/>
      <c r="E1311" s="81"/>
      <c r="F1311" s="34"/>
      <c r="G1311" s="34"/>
      <c r="H1311" s="34"/>
    </row>
    <row r="1312" spans="1:8" ht="20">
      <c r="A1312" s="200"/>
      <c r="B1312" s="8"/>
      <c r="C1312" s="8"/>
      <c r="D1312" s="8"/>
      <c r="E1312" s="81"/>
      <c r="F1312" s="34"/>
      <c r="G1312" s="34"/>
      <c r="H1312" s="34"/>
    </row>
    <row r="1313" spans="1:8" ht="20">
      <c r="A1313" s="200"/>
      <c r="B1313" s="8"/>
      <c r="C1313" s="8"/>
      <c r="D1313" s="8"/>
      <c r="E1313" s="81"/>
      <c r="F1313" s="34"/>
      <c r="G1313" s="34"/>
      <c r="H1313" s="34"/>
    </row>
    <row r="1314" spans="1:8" ht="20">
      <c r="A1314" s="200"/>
      <c r="B1314" s="8"/>
      <c r="C1314" s="8"/>
      <c r="D1314" s="8"/>
      <c r="E1314" s="81"/>
      <c r="F1314" s="34"/>
      <c r="G1314" s="34"/>
      <c r="H1314" s="34"/>
    </row>
    <row r="1315" spans="1:8" ht="20">
      <c r="A1315" s="200"/>
      <c r="B1315" s="8"/>
      <c r="C1315" s="8"/>
      <c r="D1315" s="8"/>
      <c r="E1315" s="81"/>
      <c r="F1315" s="34"/>
      <c r="G1315" s="34"/>
      <c r="H1315" s="34"/>
    </row>
    <row r="1316" spans="1:8" ht="20">
      <c r="A1316" s="200"/>
      <c r="B1316" s="8"/>
      <c r="C1316" s="8"/>
      <c r="D1316" s="8"/>
      <c r="E1316" s="81"/>
      <c r="F1316" s="34"/>
      <c r="G1316" s="34"/>
      <c r="H1316" s="34"/>
    </row>
    <row r="1317" spans="1:8" ht="20">
      <c r="A1317" s="200"/>
      <c r="B1317" s="8"/>
      <c r="C1317" s="8"/>
      <c r="D1317" s="8"/>
      <c r="E1317" s="81"/>
      <c r="F1317" s="34"/>
      <c r="G1317" s="34"/>
      <c r="H1317" s="34"/>
    </row>
    <row r="1318" spans="1:8" ht="20">
      <c r="A1318" s="200"/>
      <c r="B1318" s="8"/>
      <c r="C1318" s="8"/>
      <c r="D1318" s="8"/>
      <c r="E1318" s="81"/>
      <c r="F1318" s="34"/>
      <c r="G1318" s="34"/>
      <c r="H1318" s="34"/>
    </row>
    <row r="1319" spans="1:8" ht="20">
      <c r="A1319" s="200"/>
      <c r="B1319" s="8"/>
      <c r="C1319" s="8"/>
      <c r="D1319" s="8"/>
      <c r="E1319" s="81"/>
      <c r="F1319" s="34"/>
      <c r="G1319" s="34"/>
      <c r="H1319" s="34"/>
    </row>
    <row r="1320" spans="1:8" ht="20">
      <c r="A1320" s="200"/>
      <c r="B1320" s="8"/>
      <c r="C1320" s="8"/>
      <c r="D1320" s="8"/>
      <c r="E1320" s="81"/>
      <c r="F1320" s="34"/>
      <c r="G1320" s="34"/>
      <c r="H1320" s="34"/>
    </row>
    <row r="1321" spans="1:8" ht="20">
      <c r="A1321" s="200"/>
      <c r="B1321" s="8"/>
      <c r="C1321" s="8"/>
      <c r="D1321" s="8"/>
      <c r="E1321" s="81"/>
      <c r="F1321" s="34"/>
      <c r="G1321" s="34"/>
      <c r="H1321" s="34"/>
    </row>
    <row r="1322" spans="1:8" ht="20">
      <c r="A1322" s="200"/>
      <c r="B1322" s="8"/>
      <c r="C1322" s="8"/>
      <c r="D1322" s="8"/>
      <c r="E1322" s="81"/>
      <c r="F1322" s="34"/>
      <c r="G1322" s="34"/>
      <c r="H1322" s="34"/>
    </row>
    <row r="1323" spans="1:8" ht="20">
      <c r="A1323" s="200"/>
      <c r="B1323" s="8"/>
      <c r="C1323" s="8"/>
      <c r="D1323" s="8"/>
      <c r="E1323" s="81"/>
      <c r="F1323" s="34"/>
      <c r="G1323" s="34"/>
      <c r="H1323" s="34"/>
    </row>
    <row r="1324" spans="1:8" ht="20">
      <c r="A1324" s="200"/>
      <c r="B1324" s="8"/>
      <c r="C1324" s="8"/>
      <c r="D1324" s="8"/>
      <c r="E1324" s="81"/>
      <c r="F1324" s="34"/>
      <c r="G1324" s="34"/>
      <c r="H1324" s="34"/>
    </row>
    <row r="1325" spans="1:8" ht="20">
      <c r="A1325" s="200"/>
      <c r="B1325" s="8"/>
      <c r="C1325" s="8"/>
      <c r="D1325" s="8"/>
      <c r="E1325" s="81"/>
      <c r="F1325" s="34"/>
      <c r="G1325" s="34"/>
      <c r="H1325" s="34"/>
    </row>
    <row r="1326" spans="1:8" ht="20">
      <c r="A1326" s="200"/>
      <c r="B1326" s="8"/>
      <c r="C1326" s="8"/>
      <c r="D1326" s="8"/>
      <c r="E1326" s="81"/>
      <c r="F1326" s="34"/>
      <c r="G1326" s="34"/>
      <c r="H1326" s="34"/>
    </row>
    <row r="1327" spans="1:8" ht="20">
      <c r="A1327" s="200"/>
      <c r="B1327" s="8"/>
      <c r="C1327" s="8"/>
      <c r="D1327" s="8"/>
      <c r="E1327" s="81"/>
      <c r="F1327" s="34"/>
      <c r="G1327" s="34"/>
      <c r="H1327" s="34"/>
    </row>
    <row r="1328" spans="1:8" ht="20">
      <c r="A1328" s="200"/>
      <c r="B1328" s="8"/>
      <c r="C1328" s="8"/>
      <c r="D1328" s="8"/>
      <c r="E1328" s="81"/>
      <c r="F1328" s="34"/>
      <c r="G1328" s="34"/>
      <c r="H1328" s="34"/>
    </row>
    <row r="1329" spans="1:8" ht="20">
      <c r="A1329" s="200"/>
      <c r="B1329" s="8"/>
      <c r="C1329" s="8"/>
      <c r="D1329" s="8"/>
      <c r="E1329" s="81"/>
      <c r="F1329" s="34"/>
      <c r="G1329" s="34"/>
      <c r="H1329" s="34"/>
    </row>
    <row r="1330" spans="1:8" ht="20">
      <c r="A1330" s="200"/>
      <c r="B1330" s="8"/>
      <c r="C1330" s="8"/>
      <c r="D1330" s="8"/>
      <c r="E1330" s="81"/>
      <c r="F1330" s="34"/>
      <c r="G1330" s="34"/>
      <c r="H1330" s="34"/>
    </row>
    <row r="1331" spans="1:8" ht="20">
      <c r="A1331" s="200"/>
      <c r="B1331" s="8"/>
      <c r="C1331" s="8"/>
      <c r="D1331" s="8"/>
      <c r="E1331" s="81"/>
      <c r="F1331" s="34"/>
      <c r="G1331" s="34"/>
      <c r="H1331" s="34"/>
    </row>
    <row r="1332" spans="1:8" ht="20">
      <c r="A1332" s="200"/>
      <c r="B1332" s="8"/>
      <c r="C1332" s="8"/>
      <c r="D1332" s="8"/>
      <c r="E1332" s="81"/>
      <c r="F1332" s="34"/>
      <c r="G1332" s="34"/>
      <c r="H1332" s="34"/>
    </row>
    <row r="1333" spans="1:8" ht="20">
      <c r="A1333" s="200"/>
      <c r="B1333" s="8"/>
      <c r="C1333" s="8"/>
      <c r="D1333" s="8"/>
      <c r="E1333" s="81"/>
      <c r="F1333" s="34"/>
      <c r="G1333" s="34"/>
      <c r="H1333" s="34"/>
    </row>
    <row r="1334" spans="1:8" ht="20">
      <c r="A1334" s="200"/>
      <c r="B1334" s="8"/>
      <c r="C1334" s="8"/>
      <c r="D1334" s="8"/>
      <c r="E1334" s="81"/>
      <c r="F1334" s="34"/>
      <c r="G1334" s="34"/>
      <c r="H1334" s="34"/>
    </row>
    <row r="1335" spans="1:8" ht="20">
      <c r="A1335" s="200"/>
      <c r="B1335" s="8"/>
      <c r="C1335" s="8"/>
      <c r="D1335" s="8"/>
      <c r="E1335" s="81"/>
      <c r="F1335" s="34"/>
      <c r="G1335" s="34"/>
      <c r="H1335" s="34"/>
    </row>
    <row r="1336" spans="1:8" ht="20">
      <c r="A1336" s="200"/>
      <c r="B1336" s="8"/>
      <c r="C1336" s="8"/>
      <c r="D1336" s="8"/>
      <c r="E1336" s="81"/>
      <c r="F1336" s="34"/>
      <c r="G1336" s="34"/>
      <c r="H1336" s="34"/>
    </row>
    <row r="1337" spans="1:8" ht="20">
      <c r="A1337" s="200"/>
      <c r="B1337" s="8"/>
      <c r="C1337" s="8"/>
      <c r="D1337" s="8"/>
      <c r="E1337" s="81"/>
      <c r="F1337" s="34"/>
      <c r="G1337" s="34"/>
      <c r="H1337" s="34"/>
    </row>
    <row r="1338" spans="1:8" ht="20">
      <c r="A1338" s="200"/>
      <c r="B1338" s="8"/>
      <c r="C1338" s="8"/>
      <c r="D1338" s="8"/>
      <c r="E1338" s="81"/>
      <c r="F1338" s="34"/>
      <c r="G1338" s="34"/>
      <c r="H1338" s="34"/>
    </row>
    <row r="1339" spans="1:8" ht="20">
      <c r="A1339" s="200"/>
      <c r="B1339" s="8"/>
      <c r="C1339" s="8"/>
      <c r="D1339" s="8"/>
      <c r="E1339" s="81"/>
      <c r="F1339" s="34"/>
      <c r="G1339" s="34"/>
      <c r="H1339" s="34"/>
    </row>
    <row r="1340" spans="1:8" ht="20">
      <c r="A1340" s="200"/>
      <c r="B1340" s="8"/>
      <c r="C1340" s="8"/>
      <c r="D1340" s="8"/>
      <c r="E1340" s="81"/>
      <c r="F1340" s="34"/>
      <c r="G1340" s="34"/>
      <c r="H1340" s="34"/>
    </row>
    <row r="1341" spans="1:8" ht="20">
      <c r="A1341" s="200"/>
      <c r="B1341" s="8"/>
      <c r="C1341" s="8"/>
      <c r="D1341" s="8"/>
      <c r="E1341" s="81"/>
      <c r="F1341" s="34"/>
      <c r="G1341" s="34"/>
      <c r="H1341" s="34"/>
    </row>
    <row r="1342" spans="1:8" ht="20">
      <c r="A1342" s="200"/>
      <c r="B1342" s="8"/>
      <c r="C1342" s="8"/>
      <c r="D1342" s="8"/>
      <c r="E1342" s="81"/>
      <c r="F1342" s="34"/>
      <c r="G1342" s="34"/>
      <c r="H1342" s="34"/>
    </row>
    <row r="1343" spans="1:8" ht="20">
      <c r="A1343" s="200"/>
      <c r="B1343" s="8"/>
      <c r="C1343" s="8"/>
      <c r="D1343" s="8"/>
      <c r="E1343" s="81"/>
      <c r="F1343" s="34"/>
      <c r="G1343" s="34"/>
      <c r="H1343" s="34"/>
    </row>
    <row r="1344" spans="1:8" ht="20">
      <c r="A1344" s="200"/>
      <c r="B1344" s="8"/>
      <c r="C1344" s="8"/>
      <c r="D1344" s="8"/>
      <c r="E1344" s="81"/>
      <c r="F1344" s="34"/>
      <c r="G1344" s="34"/>
      <c r="H1344" s="34"/>
    </row>
    <row r="1345" spans="1:8" ht="20">
      <c r="A1345" s="200"/>
      <c r="B1345" s="8"/>
      <c r="C1345" s="8"/>
      <c r="D1345" s="8"/>
      <c r="E1345" s="81"/>
      <c r="F1345" s="34"/>
      <c r="G1345" s="34"/>
      <c r="H1345" s="34"/>
    </row>
    <row r="1346" spans="1:8" ht="20">
      <c r="A1346" s="200"/>
      <c r="B1346" s="8"/>
      <c r="C1346" s="8"/>
      <c r="D1346" s="8"/>
      <c r="E1346" s="81"/>
      <c r="F1346" s="34"/>
      <c r="G1346" s="34"/>
      <c r="H1346" s="34"/>
    </row>
    <row r="1347" spans="1:8" ht="20">
      <c r="A1347" s="200"/>
      <c r="B1347" s="8"/>
      <c r="C1347" s="8"/>
      <c r="D1347" s="8"/>
      <c r="E1347" s="81"/>
      <c r="F1347" s="34"/>
      <c r="G1347" s="34"/>
      <c r="H1347" s="34"/>
    </row>
    <row r="1348" spans="1:8" ht="20">
      <c r="A1348" s="200"/>
      <c r="B1348" s="8"/>
      <c r="C1348" s="8"/>
      <c r="D1348" s="8"/>
      <c r="E1348" s="81"/>
      <c r="F1348" s="34"/>
      <c r="G1348" s="34"/>
      <c r="H1348" s="34"/>
    </row>
    <row r="1349" spans="1:8" ht="20">
      <c r="A1349" s="200"/>
      <c r="B1349" s="8"/>
      <c r="C1349" s="8"/>
      <c r="D1349" s="8"/>
      <c r="E1349" s="81"/>
      <c r="F1349" s="34"/>
      <c r="G1349" s="34"/>
      <c r="H1349" s="34"/>
    </row>
    <row r="1350" spans="1:8" ht="20">
      <c r="A1350" s="200"/>
      <c r="B1350" s="8"/>
      <c r="C1350" s="8"/>
      <c r="D1350" s="8"/>
      <c r="E1350" s="81"/>
      <c r="F1350" s="34"/>
      <c r="G1350" s="34"/>
      <c r="H1350" s="34"/>
    </row>
    <row r="1351" spans="1:8" ht="20">
      <c r="A1351" s="200"/>
      <c r="B1351" s="8"/>
      <c r="C1351" s="8"/>
      <c r="D1351" s="8"/>
      <c r="E1351" s="81"/>
      <c r="F1351" s="34"/>
      <c r="G1351" s="34"/>
      <c r="H1351" s="34"/>
    </row>
    <row r="1352" spans="1:8" ht="20">
      <c r="A1352" s="200"/>
      <c r="B1352" s="8"/>
      <c r="C1352" s="8"/>
      <c r="D1352" s="8"/>
      <c r="E1352" s="81"/>
      <c r="F1352" s="34"/>
      <c r="G1352" s="34"/>
      <c r="H1352" s="34"/>
    </row>
    <row r="1353" spans="1:8" ht="20">
      <c r="A1353" s="200"/>
      <c r="B1353" s="8"/>
      <c r="C1353" s="8"/>
      <c r="D1353" s="8"/>
      <c r="E1353" s="81"/>
      <c r="F1353" s="34"/>
      <c r="G1353" s="34"/>
      <c r="H1353" s="34"/>
    </row>
    <row r="1354" spans="1:8" ht="20">
      <c r="A1354" s="200"/>
      <c r="B1354" s="8"/>
      <c r="C1354" s="8"/>
      <c r="D1354" s="8"/>
      <c r="E1354" s="81"/>
      <c r="F1354" s="34"/>
      <c r="G1354" s="34"/>
      <c r="H1354" s="34"/>
    </row>
    <row r="1355" spans="1:8" ht="20">
      <c r="A1355" s="200"/>
      <c r="B1355" s="8"/>
      <c r="C1355" s="8"/>
      <c r="D1355" s="8"/>
      <c r="E1355" s="81"/>
      <c r="F1355" s="34"/>
      <c r="G1355" s="34"/>
      <c r="H1355" s="34"/>
    </row>
    <row r="1356" spans="1:8" ht="20">
      <c r="A1356" s="200"/>
      <c r="B1356" s="8"/>
      <c r="C1356" s="8"/>
      <c r="D1356" s="8"/>
      <c r="E1356" s="81"/>
      <c r="F1356" s="34"/>
      <c r="G1356" s="34"/>
      <c r="H1356" s="34"/>
    </row>
    <row r="1357" spans="1:8" ht="20">
      <c r="A1357" s="200"/>
      <c r="B1357" s="8"/>
      <c r="C1357" s="8"/>
      <c r="D1357" s="8"/>
      <c r="E1357" s="81"/>
      <c r="F1357" s="34"/>
      <c r="G1357" s="34"/>
      <c r="H1357" s="34"/>
    </row>
    <row r="1358" spans="1:8" ht="20">
      <c r="A1358" s="200"/>
      <c r="B1358" s="8"/>
      <c r="C1358" s="8"/>
      <c r="D1358" s="8"/>
      <c r="E1358" s="81"/>
      <c r="F1358" s="34"/>
      <c r="G1358" s="34"/>
      <c r="H1358" s="34"/>
    </row>
    <row r="1359" spans="1:8" ht="20">
      <c r="A1359" s="200"/>
      <c r="B1359" s="8"/>
      <c r="C1359" s="8"/>
      <c r="D1359" s="8"/>
      <c r="E1359" s="81"/>
      <c r="F1359" s="34"/>
      <c r="G1359" s="34"/>
      <c r="H1359" s="34"/>
    </row>
    <row r="1360" spans="1:8" ht="20">
      <c r="A1360" s="200"/>
      <c r="B1360" s="8"/>
      <c r="C1360" s="8"/>
      <c r="D1360" s="8"/>
      <c r="E1360" s="81"/>
      <c r="F1360" s="34"/>
      <c r="G1360" s="34"/>
      <c r="H1360" s="34"/>
    </row>
    <row r="1361" spans="1:8" ht="20">
      <c r="A1361" s="200"/>
      <c r="B1361" s="8"/>
      <c r="C1361" s="8"/>
      <c r="D1361" s="8"/>
      <c r="E1361" s="81"/>
      <c r="F1361" s="34"/>
      <c r="G1361" s="34"/>
      <c r="H1361" s="34"/>
    </row>
    <row r="1362" spans="1:8" ht="20">
      <c r="A1362" s="200"/>
      <c r="B1362" s="8"/>
      <c r="C1362" s="8"/>
      <c r="D1362" s="8"/>
      <c r="E1362" s="81"/>
      <c r="F1362" s="34"/>
      <c r="G1362" s="34"/>
      <c r="H1362" s="34"/>
    </row>
    <row r="1363" spans="1:8" ht="20">
      <c r="A1363" s="200"/>
      <c r="B1363" s="8"/>
      <c r="C1363" s="8"/>
      <c r="D1363" s="8"/>
      <c r="E1363" s="81"/>
      <c r="F1363" s="34"/>
      <c r="G1363" s="34"/>
      <c r="H1363" s="34"/>
    </row>
    <row r="1364" spans="1:8" ht="20">
      <c r="A1364" s="200"/>
      <c r="B1364" s="8"/>
      <c r="C1364" s="8"/>
      <c r="D1364" s="8"/>
      <c r="E1364" s="81"/>
      <c r="F1364" s="34"/>
      <c r="G1364" s="34"/>
      <c r="H1364" s="34"/>
    </row>
    <row r="1365" spans="1:8" ht="20">
      <c r="A1365" s="200"/>
      <c r="B1365" s="8"/>
      <c r="C1365" s="8"/>
      <c r="D1365" s="8"/>
      <c r="E1365" s="81"/>
      <c r="F1365" s="34"/>
      <c r="G1365" s="34"/>
      <c r="H1365" s="34"/>
    </row>
    <row r="1366" spans="1:8" ht="20">
      <c r="A1366" s="200"/>
      <c r="B1366" s="8"/>
      <c r="C1366" s="8"/>
      <c r="D1366" s="8"/>
      <c r="E1366" s="81"/>
      <c r="F1366" s="34"/>
      <c r="G1366" s="34"/>
      <c r="H1366" s="34"/>
    </row>
    <row r="1367" spans="1:8" ht="20">
      <c r="A1367" s="200"/>
      <c r="B1367" s="8"/>
      <c r="C1367" s="8"/>
      <c r="D1367" s="8"/>
      <c r="E1367" s="81"/>
      <c r="F1367" s="34"/>
      <c r="G1367" s="34"/>
      <c r="H1367" s="34"/>
    </row>
    <row r="1368" spans="1:8" ht="20">
      <c r="A1368" s="200"/>
      <c r="B1368" s="8"/>
      <c r="C1368" s="8"/>
      <c r="D1368" s="8"/>
      <c r="E1368" s="81"/>
      <c r="F1368" s="34"/>
      <c r="G1368" s="34"/>
      <c r="H1368" s="34"/>
    </row>
    <row r="1369" spans="1:8" ht="20">
      <c r="A1369" s="200"/>
      <c r="B1369" s="8"/>
      <c r="C1369" s="8"/>
      <c r="D1369" s="8"/>
      <c r="E1369" s="81"/>
      <c r="F1369" s="34"/>
      <c r="G1369" s="34"/>
      <c r="H1369" s="34"/>
    </row>
    <row r="1370" spans="1:8" ht="20">
      <c r="A1370" s="200"/>
      <c r="B1370" s="8"/>
      <c r="C1370" s="8"/>
      <c r="D1370" s="8"/>
      <c r="E1370" s="81"/>
      <c r="F1370" s="34"/>
      <c r="G1370" s="34"/>
      <c r="H1370" s="34"/>
    </row>
    <row r="1371" spans="1:8" ht="20">
      <c r="A1371" s="200"/>
      <c r="B1371" s="8"/>
      <c r="C1371" s="8"/>
      <c r="D1371" s="8"/>
      <c r="E1371" s="81"/>
      <c r="F1371" s="34"/>
      <c r="G1371" s="34"/>
      <c r="H1371" s="34"/>
    </row>
    <row r="1372" spans="1:8" ht="20">
      <c r="A1372" s="200"/>
      <c r="B1372" s="8"/>
      <c r="C1372" s="8"/>
      <c r="D1372" s="8"/>
      <c r="E1372" s="81"/>
      <c r="F1372" s="34"/>
      <c r="G1372" s="34"/>
      <c r="H1372" s="34"/>
    </row>
    <row r="1373" spans="1:8" ht="20">
      <c r="A1373" s="200"/>
      <c r="B1373" s="8"/>
      <c r="C1373" s="8"/>
      <c r="D1373" s="8"/>
      <c r="E1373" s="81"/>
      <c r="F1373" s="34"/>
      <c r="G1373" s="34"/>
      <c r="H1373" s="34"/>
    </row>
    <row r="1374" spans="1:8" ht="20">
      <c r="A1374" s="200"/>
      <c r="B1374" s="8"/>
      <c r="C1374" s="8"/>
      <c r="D1374" s="8"/>
      <c r="E1374" s="81"/>
      <c r="F1374" s="34"/>
      <c r="G1374" s="34"/>
      <c r="H1374" s="34"/>
    </row>
    <row r="1375" spans="1:8" ht="20">
      <c r="A1375" s="200"/>
      <c r="B1375" s="8"/>
      <c r="C1375" s="8"/>
      <c r="D1375" s="8"/>
      <c r="E1375" s="81"/>
      <c r="F1375" s="34"/>
      <c r="G1375" s="34"/>
      <c r="H1375" s="34"/>
    </row>
    <row r="1376" spans="1:8" ht="20">
      <c r="A1376" s="200"/>
      <c r="B1376" s="8"/>
      <c r="C1376" s="8"/>
      <c r="D1376" s="8"/>
      <c r="E1376" s="81"/>
      <c r="F1376" s="34"/>
      <c r="G1376" s="34"/>
      <c r="H1376" s="34"/>
    </row>
    <row r="1377" spans="1:8" ht="20">
      <c r="A1377" s="200"/>
      <c r="B1377" s="8"/>
      <c r="C1377" s="8"/>
      <c r="D1377" s="8"/>
      <c r="E1377" s="81"/>
      <c r="F1377" s="34"/>
      <c r="G1377" s="34"/>
      <c r="H1377" s="34"/>
    </row>
    <row r="1378" spans="1:8" ht="20">
      <c r="A1378" s="200"/>
      <c r="B1378" s="8"/>
      <c r="C1378" s="8"/>
      <c r="D1378" s="8"/>
      <c r="E1378" s="81"/>
      <c r="F1378" s="34"/>
      <c r="G1378" s="34"/>
      <c r="H1378" s="34"/>
    </row>
    <row r="1379" spans="1:8" ht="20">
      <c r="A1379" s="200"/>
      <c r="B1379" s="8"/>
      <c r="C1379" s="8"/>
      <c r="D1379" s="8"/>
      <c r="E1379" s="81"/>
      <c r="F1379" s="34"/>
      <c r="G1379" s="34"/>
      <c r="H1379" s="34"/>
    </row>
    <row r="1380" spans="1:8" ht="20">
      <c r="A1380" s="200"/>
      <c r="B1380" s="8"/>
      <c r="C1380" s="8"/>
      <c r="D1380" s="8"/>
      <c r="E1380" s="81"/>
      <c r="F1380" s="34"/>
      <c r="G1380" s="34"/>
      <c r="H1380" s="34"/>
    </row>
    <row r="1381" spans="1:8" ht="20">
      <c r="A1381" s="200"/>
      <c r="B1381" s="8"/>
      <c r="C1381" s="8"/>
      <c r="D1381" s="8"/>
      <c r="E1381" s="81"/>
      <c r="F1381" s="34"/>
      <c r="G1381" s="34"/>
      <c r="H1381" s="34"/>
    </row>
    <row r="1382" spans="1:8" ht="20">
      <c r="A1382" s="200"/>
      <c r="B1382" s="8"/>
      <c r="C1382" s="8"/>
      <c r="D1382" s="8"/>
      <c r="E1382" s="81"/>
      <c r="F1382" s="34"/>
      <c r="G1382" s="34"/>
      <c r="H1382" s="34"/>
    </row>
    <row r="1383" spans="1:8" ht="20">
      <c r="A1383" s="200"/>
      <c r="B1383" s="8"/>
      <c r="C1383" s="8"/>
      <c r="D1383" s="8"/>
      <c r="E1383" s="81"/>
      <c r="F1383" s="34"/>
      <c r="G1383" s="34"/>
      <c r="H1383" s="34"/>
    </row>
    <row r="1384" spans="1:8" ht="20">
      <c r="A1384" s="200"/>
      <c r="B1384" s="8"/>
      <c r="C1384" s="8"/>
      <c r="D1384" s="8"/>
      <c r="E1384" s="81"/>
      <c r="F1384" s="34"/>
      <c r="G1384" s="34"/>
      <c r="H1384" s="34"/>
    </row>
    <row r="1385" spans="1:8" ht="20">
      <c r="A1385" s="200"/>
      <c r="B1385" s="8"/>
      <c r="C1385" s="8"/>
      <c r="D1385" s="8"/>
      <c r="E1385" s="81"/>
      <c r="F1385" s="34"/>
      <c r="G1385" s="34"/>
      <c r="H1385" s="34"/>
    </row>
    <row r="1386" spans="1:8" ht="20">
      <c r="A1386" s="200"/>
      <c r="B1386" s="8"/>
      <c r="C1386" s="8"/>
      <c r="D1386" s="8"/>
      <c r="E1386" s="81"/>
      <c r="F1386" s="34"/>
      <c r="G1386" s="34"/>
      <c r="H1386" s="34"/>
    </row>
    <row r="1387" spans="1:8" ht="20">
      <c r="A1387" s="200"/>
      <c r="B1387" s="8"/>
      <c r="C1387" s="8"/>
      <c r="D1387" s="8"/>
      <c r="E1387" s="81"/>
      <c r="F1387" s="34"/>
      <c r="G1387" s="34"/>
      <c r="H1387" s="34"/>
    </row>
    <row r="1388" spans="1:8" ht="20">
      <c r="A1388" s="200"/>
      <c r="B1388" s="8"/>
      <c r="C1388" s="8"/>
      <c r="D1388" s="8"/>
      <c r="E1388" s="81"/>
      <c r="F1388" s="34"/>
      <c r="G1388" s="34"/>
      <c r="H1388" s="34"/>
    </row>
    <row r="1389" spans="1:8" ht="20">
      <c r="A1389" s="200"/>
      <c r="B1389" s="8"/>
      <c r="C1389" s="8"/>
      <c r="D1389" s="8"/>
      <c r="E1389" s="81"/>
      <c r="F1389" s="34"/>
      <c r="G1389" s="34"/>
      <c r="H1389" s="34"/>
    </row>
    <row r="1390" spans="1:8" ht="20">
      <c r="A1390" s="200"/>
      <c r="B1390" s="8"/>
      <c r="C1390" s="8"/>
      <c r="D1390" s="8"/>
      <c r="E1390" s="81"/>
      <c r="F1390" s="34"/>
      <c r="G1390" s="34"/>
      <c r="H1390" s="34"/>
    </row>
    <row r="1391" spans="1:8" ht="20">
      <c r="A1391" s="200"/>
      <c r="B1391" s="8"/>
      <c r="C1391" s="8"/>
      <c r="D1391" s="8"/>
      <c r="E1391" s="81"/>
      <c r="F1391" s="34"/>
      <c r="G1391" s="34"/>
      <c r="H1391" s="34"/>
    </row>
    <row r="1392" spans="1:8" ht="20">
      <c r="A1392" s="200"/>
      <c r="B1392" s="8"/>
      <c r="C1392" s="8"/>
      <c r="D1392" s="8"/>
      <c r="E1392" s="81"/>
      <c r="F1392" s="34"/>
      <c r="G1392" s="34"/>
      <c r="H1392" s="34"/>
    </row>
    <row r="1393" spans="1:8" ht="20">
      <c r="A1393" s="200"/>
      <c r="B1393" s="8"/>
      <c r="C1393" s="8"/>
      <c r="D1393" s="8"/>
      <c r="E1393" s="81"/>
      <c r="F1393" s="34"/>
      <c r="G1393" s="34"/>
      <c r="H1393" s="34"/>
    </row>
    <row r="1394" spans="1:8" ht="20">
      <c r="A1394" s="200"/>
      <c r="B1394" s="8"/>
      <c r="C1394" s="8"/>
      <c r="D1394" s="8"/>
      <c r="E1394" s="81"/>
      <c r="F1394" s="34"/>
      <c r="G1394" s="34"/>
      <c r="H1394" s="34"/>
    </row>
    <row r="1395" spans="1:8" ht="20">
      <c r="A1395" s="200"/>
      <c r="B1395" s="8"/>
      <c r="C1395" s="8"/>
      <c r="D1395" s="8"/>
      <c r="E1395" s="81"/>
      <c r="F1395" s="34"/>
      <c r="G1395" s="34"/>
      <c r="H1395" s="34"/>
    </row>
    <row r="1396" spans="1:8" ht="20">
      <c r="A1396" s="200"/>
      <c r="B1396" s="8"/>
      <c r="C1396" s="8"/>
      <c r="D1396" s="8"/>
      <c r="E1396" s="81"/>
      <c r="F1396" s="34"/>
      <c r="G1396" s="34"/>
      <c r="H1396" s="34"/>
    </row>
    <row r="1397" spans="1:8" ht="20">
      <c r="A1397" s="200"/>
      <c r="B1397" s="8"/>
      <c r="C1397" s="8"/>
      <c r="D1397" s="8"/>
      <c r="E1397" s="81"/>
      <c r="F1397" s="34"/>
      <c r="G1397" s="34"/>
      <c r="H1397" s="34"/>
    </row>
    <row r="1398" spans="1:8" ht="20">
      <c r="A1398" s="200"/>
      <c r="B1398" s="8"/>
      <c r="C1398" s="8"/>
      <c r="D1398" s="8"/>
      <c r="E1398" s="81"/>
      <c r="F1398" s="34"/>
      <c r="G1398" s="34"/>
      <c r="H1398" s="34"/>
    </row>
    <row r="1399" spans="1:8" ht="20">
      <c r="A1399" s="200"/>
      <c r="B1399" s="8"/>
      <c r="C1399" s="8"/>
      <c r="D1399" s="8"/>
      <c r="E1399" s="81"/>
      <c r="F1399" s="34"/>
      <c r="G1399" s="34"/>
      <c r="H1399" s="34"/>
    </row>
    <row r="1400" spans="1:8" ht="20">
      <c r="A1400" s="200"/>
      <c r="B1400" s="8"/>
      <c r="C1400" s="8"/>
      <c r="D1400" s="8"/>
      <c r="E1400" s="81"/>
      <c r="F1400" s="34"/>
      <c r="G1400" s="34"/>
      <c r="H1400" s="34"/>
    </row>
    <row r="1401" spans="1:8" ht="20">
      <c r="A1401" s="200"/>
      <c r="B1401" s="8"/>
      <c r="C1401" s="8"/>
      <c r="D1401" s="8"/>
      <c r="E1401" s="81"/>
      <c r="F1401" s="34"/>
      <c r="G1401" s="34"/>
      <c r="H1401" s="34"/>
    </row>
    <row r="1402" spans="1:8" ht="20">
      <c r="A1402" s="200"/>
      <c r="B1402" s="8"/>
      <c r="C1402" s="8"/>
      <c r="D1402" s="8"/>
      <c r="E1402" s="81"/>
      <c r="F1402" s="34"/>
      <c r="G1402" s="34"/>
      <c r="H1402" s="34"/>
    </row>
    <row r="1403" spans="1:8" ht="20">
      <c r="A1403" s="200"/>
      <c r="B1403" s="8"/>
      <c r="C1403" s="8"/>
      <c r="D1403" s="8"/>
      <c r="E1403" s="81"/>
      <c r="F1403" s="34"/>
      <c r="G1403" s="34"/>
      <c r="H1403" s="34"/>
    </row>
    <row r="1404" spans="1:8" ht="20">
      <c r="A1404" s="200"/>
      <c r="B1404" s="8"/>
      <c r="C1404" s="8"/>
      <c r="D1404" s="8"/>
      <c r="E1404" s="81"/>
      <c r="F1404" s="34"/>
      <c r="G1404" s="34"/>
      <c r="H1404" s="34"/>
    </row>
    <row r="1405" spans="1:8" ht="20">
      <c r="A1405" s="200"/>
      <c r="B1405" s="8"/>
      <c r="C1405" s="8"/>
      <c r="D1405" s="8"/>
      <c r="E1405" s="81"/>
      <c r="F1405" s="34"/>
      <c r="G1405" s="34"/>
      <c r="H1405" s="34"/>
    </row>
    <row r="1406" spans="1:8" ht="20">
      <c r="A1406" s="200"/>
      <c r="B1406" s="8"/>
      <c r="C1406" s="8"/>
      <c r="D1406" s="8"/>
      <c r="E1406" s="81"/>
      <c r="F1406" s="34"/>
      <c r="G1406" s="34"/>
      <c r="H1406" s="34"/>
    </row>
    <row r="1407" spans="1:8" ht="20">
      <c r="A1407" s="200"/>
      <c r="B1407" s="8"/>
      <c r="C1407" s="8"/>
      <c r="D1407" s="8"/>
      <c r="E1407" s="81"/>
      <c r="F1407" s="34"/>
      <c r="G1407" s="34"/>
      <c r="H1407" s="34"/>
    </row>
    <row r="1408" spans="1:8" ht="20">
      <c r="A1408" s="200"/>
      <c r="B1408" s="8"/>
      <c r="C1408" s="8"/>
      <c r="D1408" s="8"/>
      <c r="E1408" s="81"/>
      <c r="F1408" s="34"/>
      <c r="G1408" s="34"/>
      <c r="H1408" s="34"/>
    </row>
    <row r="1409" spans="1:8" ht="20">
      <c r="A1409" s="200"/>
      <c r="B1409" s="8"/>
      <c r="C1409" s="8"/>
      <c r="D1409" s="8"/>
      <c r="E1409" s="81"/>
      <c r="F1409" s="34"/>
      <c r="G1409" s="34"/>
      <c r="H1409" s="34"/>
    </row>
    <row r="1410" spans="1:8" ht="20">
      <c r="A1410" s="200"/>
      <c r="B1410" s="8"/>
      <c r="C1410" s="8"/>
      <c r="D1410" s="8"/>
      <c r="E1410" s="81"/>
      <c r="F1410" s="34"/>
      <c r="G1410" s="34"/>
      <c r="H1410" s="34"/>
    </row>
    <row r="1411" spans="1:8" ht="20">
      <c r="A1411" s="200"/>
      <c r="B1411" s="8"/>
      <c r="C1411" s="8"/>
      <c r="D1411" s="8"/>
      <c r="E1411" s="81"/>
      <c r="F1411" s="34"/>
      <c r="G1411" s="34"/>
      <c r="H1411" s="34"/>
    </row>
    <row r="1412" spans="1:8" ht="20">
      <c r="A1412" s="200"/>
      <c r="B1412" s="8"/>
      <c r="C1412" s="8"/>
      <c r="D1412" s="8"/>
      <c r="E1412" s="81"/>
      <c r="F1412" s="34"/>
      <c r="G1412" s="34"/>
      <c r="H1412" s="34"/>
    </row>
    <row r="1413" spans="1:8" ht="20">
      <c r="A1413" s="200"/>
      <c r="B1413" s="8"/>
      <c r="C1413" s="8"/>
      <c r="D1413" s="8"/>
      <c r="E1413" s="81"/>
      <c r="F1413" s="34"/>
      <c r="G1413" s="34"/>
      <c r="H1413" s="34"/>
    </row>
    <row r="1414" spans="1:8" ht="20">
      <c r="A1414" s="200"/>
      <c r="B1414" s="8"/>
      <c r="C1414" s="8"/>
      <c r="D1414" s="8"/>
      <c r="E1414" s="81"/>
      <c r="F1414" s="34"/>
      <c r="G1414" s="34"/>
      <c r="H1414" s="34"/>
    </row>
    <row r="1415" spans="1:8" ht="20">
      <c r="A1415" s="200"/>
      <c r="B1415" s="8"/>
      <c r="C1415" s="8"/>
      <c r="D1415" s="8"/>
      <c r="E1415" s="81"/>
      <c r="F1415" s="34"/>
      <c r="G1415" s="34"/>
      <c r="H1415" s="34"/>
    </row>
    <row r="1416" spans="1:8" ht="20">
      <c r="A1416" s="200"/>
      <c r="B1416" s="8"/>
      <c r="C1416" s="8"/>
      <c r="D1416" s="8"/>
      <c r="E1416" s="81"/>
      <c r="F1416" s="34"/>
      <c r="G1416" s="34"/>
      <c r="H1416" s="34"/>
    </row>
    <row r="1417" spans="1:8" ht="20">
      <c r="A1417" s="200"/>
      <c r="B1417" s="8"/>
      <c r="C1417" s="8"/>
      <c r="D1417" s="8"/>
      <c r="E1417" s="81"/>
      <c r="F1417" s="34"/>
      <c r="G1417" s="34"/>
      <c r="H1417" s="34"/>
    </row>
    <row r="1418" spans="1:8" ht="20">
      <c r="A1418" s="200"/>
      <c r="B1418" s="8"/>
      <c r="C1418" s="8"/>
      <c r="D1418" s="8"/>
      <c r="E1418" s="81"/>
      <c r="F1418" s="34"/>
      <c r="G1418" s="34"/>
      <c r="H1418" s="34"/>
    </row>
    <row r="1419" spans="1:8" ht="20">
      <c r="A1419" s="200"/>
      <c r="B1419" s="8"/>
      <c r="C1419" s="8"/>
      <c r="D1419" s="8"/>
      <c r="E1419" s="81"/>
      <c r="F1419" s="34"/>
      <c r="G1419" s="34"/>
      <c r="H1419" s="34"/>
    </row>
    <row r="1420" spans="1:8" ht="20">
      <c r="A1420" s="200"/>
      <c r="B1420" s="8"/>
      <c r="C1420" s="8"/>
      <c r="D1420" s="8"/>
      <c r="E1420" s="81"/>
      <c r="F1420" s="34"/>
      <c r="G1420" s="34"/>
      <c r="H1420" s="34"/>
    </row>
    <row r="1421" spans="1:8" ht="20">
      <c r="A1421" s="200"/>
      <c r="B1421" s="8"/>
      <c r="C1421" s="8"/>
      <c r="D1421" s="8"/>
      <c r="E1421" s="81"/>
      <c r="F1421" s="34"/>
      <c r="G1421" s="34"/>
      <c r="H1421" s="34"/>
    </row>
    <row r="1422" spans="1:8" ht="20">
      <c r="A1422" s="200"/>
      <c r="B1422" s="8"/>
      <c r="C1422" s="8"/>
      <c r="D1422" s="8"/>
      <c r="E1422" s="81"/>
      <c r="F1422" s="34"/>
      <c r="G1422" s="34"/>
      <c r="H1422" s="34"/>
    </row>
    <row r="1423" spans="1:8" ht="20">
      <c r="A1423" s="200"/>
      <c r="B1423" s="8"/>
      <c r="C1423" s="8"/>
      <c r="D1423" s="8"/>
      <c r="E1423" s="81"/>
      <c r="F1423" s="34"/>
      <c r="G1423" s="34"/>
      <c r="H1423" s="34"/>
    </row>
    <row r="1424" spans="1:8" ht="20">
      <c r="A1424" s="200"/>
      <c r="B1424" s="8"/>
      <c r="C1424" s="8"/>
      <c r="D1424" s="8"/>
      <c r="E1424" s="81"/>
      <c r="F1424" s="34"/>
      <c r="G1424" s="34"/>
      <c r="H1424" s="34"/>
    </row>
    <row r="1425" spans="1:8" ht="20">
      <c r="A1425" s="200"/>
      <c r="B1425" s="8"/>
      <c r="C1425" s="8"/>
      <c r="D1425" s="8"/>
      <c r="E1425" s="81"/>
      <c r="F1425" s="34"/>
      <c r="G1425" s="34"/>
      <c r="H1425" s="34"/>
    </row>
    <row r="1426" spans="1:8" ht="20">
      <c r="A1426" s="200"/>
      <c r="B1426" s="8"/>
      <c r="C1426" s="8"/>
      <c r="D1426" s="8"/>
      <c r="E1426" s="81"/>
      <c r="F1426" s="34"/>
      <c r="G1426" s="34"/>
      <c r="H1426" s="34"/>
    </row>
    <row r="1427" spans="1:8" ht="20">
      <c r="A1427" s="200"/>
      <c r="B1427" s="8"/>
      <c r="C1427" s="8"/>
      <c r="D1427" s="8"/>
      <c r="E1427" s="81"/>
      <c r="F1427" s="34"/>
      <c r="G1427" s="34"/>
      <c r="H1427" s="34"/>
    </row>
    <row r="1428" spans="1:8" ht="20">
      <c r="A1428" s="200"/>
      <c r="B1428" s="8"/>
      <c r="C1428" s="8"/>
      <c r="D1428" s="8"/>
      <c r="E1428" s="81"/>
      <c r="F1428" s="34"/>
      <c r="G1428" s="34"/>
      <c r="H1428" s="34"/>
    </row>
    <row r="1429" spans="1:8" ht="20">
      <c r="A1429" s="200"/>
      <c r="B1429" s="8"/>
      <c r="C1429" s="8"/>
      <c r="D1429" s="8"/>
      <c r="E1429" s="81"/>
      <c r="F1429" s="34"/>
      <c r="G1429" s="34"/>
      <c r="H1429" s="34"/>
    </row>
    <row r="1430" spans="1:8" ht="20">
      <c r="A1430" s="200"/>
      <c r="B1430" s="8"/>
      <c r="C1430" s="8"/>
      <c r="D1430" s="8"/>
      <c r="E1430" s="81"/>
      <c r="F1430" s="34"/>
      <c r="G1430" s="34"/>
      <c r="H1430" s="34"/>
    </row>
    <row r="1431" spans="1:8" ht="20">
      <c r="A1431" s="200"/>
      <c r="B1431" s="8"/>
      <c r="C1431" s="8"/>
      <c r="D1431" s="8"/>
      <c r="E1431" s="81"/>
      <c r="F1431" s="34"/>
      <c r="G1431" s="34"/>
      <c r="H1431" s="34"/>
    </row>
    <row r="1432" spans="1:8" ht="20">
      <c r="A1432" s="200"/>
      <c r="B1432" s="8"/>
      <c r="C1432" s="8"/>
      <c r="D1432" s="8"/>
      <c r="E1432" s="81"/>
      <c r="F1432" s="34"/>
      <c r="G1432" s="34"/>
      <c r="H1432" s="34"/>
    </row>
    <row r="1433" spans="1:8" ht="20">
      <c r="A1433" s="200"/>
      <c r="B1433" s="8"/>
      <c r="C1433" s="8"/>
      <c r="D1433" s="8"/>
      <c r="E1433" s="81"/>
      <c r="F1433" s="34"/>
      <c r="G1433" s="34"/>
      <c r="H1433" s="34"/>
    </row>
    <row r="1434" spans="1:8" ht="20">
      <c r="A1434" s="200"/>
      <c r="B1434" s="8"/>
      <c r="C1434" s="8"/>
      <c r="D1434" s="8"/>
      <c r="E1434" s="81"/>
      <c r="F1434" s="34"/>
      <c r="G1434" s="34"/>
      <c r="H1434" s="34"/>
    </row>
    <row r="1435" spans="1:8" ht="20">
      <c r="A1435" s="200"/>
      <c r="B1435" s="8"/>
      <c r="C1435" s="8"/>
      <c r="D1435" s="8"/>
      <c r="E1435" s="81"/>
      <c r="F1435" s="34"/>
      <c r="G1435" s="34"/>
      <c r="H1435" s="34"/>
    </row>
    <row r="1436" spans="1:8" ht="20">
      <c r="A1436" s="200"/>
      <c r="B1436" s="8"/>
      <c r="C1436" s="8"/>
      <c r="D1436" s="8"/>
      <c r="E1436" s="81"/>
      <c r="F1436" s="34"/>
      <c r="G1436" s="34"/>
      <c r="H1436" s="34"/>
    </row>
    <row r="1437" spans="1:8" ht="20">
      <c r="A1437" s="200"/>
      <c r="B1437" s="8"/>
      <c r="C1437" s="8"/>
      <c r="D1437" s="8"/>
      <c r="E1437" s="81"/>
      <c r="F1437" s="34"/>
      <c r="G1437" s="34"/>
      <c r="H1437" s="34"/>
    </row>
    <row r="1438" spans="1:8" ht="20">
      <c r="A1438" s="200"/>
      <c r="B1438" s="8"/>
      <c r="C1438" s="8"/>
      <c r="D1438" s="8"/>
      <c r="E1438" s="81"/>
      <c r="F1438" s="34"/>
      <c r="G1438" s="34"/>
      <c r="H1438" s="34"/>
    </row>
    <row r="1439" spans="1:8" ht="20">
      <c r="A1439" s="200"/>
      <c r="B1439" s="8"/>
      <c r="C1439" s="8"/>
      <c r="D1439" s="8"/>
      <c r="E1439" s="81"/>
      <c r="F1439" s="34"/>
      <c r="G1439" s="34"/>
      <c r="H1439" s="34"/>
    </row>
    <row r="1440" spans="1:8" ht="20">
      <c r="A1440" s="200"/>
      <c r="B1440" s="8"/>
      <c r="C1440" s="8"/>
      <c r="D1440" s="8"/>
      <c r="E1440" s="81"/>
      <c r="F1440" s="34"/>
      <c r="G1440" s="34"/>
      <c r="H1440" s="34"/>
    </row>
    <row r="1441" spans="1:8" ht="20">
      <c r="A1441" s="200"/>
      <c r="B1441" s="8"/>
      <c r="C1441" s="8"/>
      <c r="D1441" s="8"/>
      <c r="E1441" s="81"/>
      <c r="F1441" s="34"/>
      <c r="G1441" s="34"/>
      <c r="H1441" s="34"/>
    </row>
    <row r="1442" spans="1:8" ht="20">
      <c r="A1442" s="200"/>
      <c r="B1442" s="8"/>
      <c r="C1442" s="8"/>
      <c r="D1442" s="8"/>
      <c r="E1442" s="81"/>
      <c r="F1442" s="34"/>
      <c r="G1442" s="34"/>
      <c r="H1442" s="34"/>
    </row>
    <row r="1443" spans="1:8" ht="20">
      <c r="A1443" s="200"/>
      <c r="B1443" s="8"/>
      <c r="C1443" s="8"/>
      <c r="D1443" s="8"/>
      <c r="E1443" s="81"/>
      <c r="F1443" s="34"/>
      <c r="G1443" s="34"/>
      <c r="H1443" s="34"/>
    </row>
    <row r="1444" spans="1:8" ht="20">
      <c r="A1444" s="200"/>
      <c r="B1444" s="8"/>
      <c r="C1444" s="8"/>
      <c r="D1444" s="8"/>
      <c r="E1444" s="81"/>
      <c r="F1444" s="34"/>
      <c r="G1444" s="34"/>
      <c r="H1444" s="34"/>
    </row>
    <row r="1445" spans="1:8" ht="20">
      <c r="A1445" s="200"/>
      <c r="B1445" s="8"/>
      <c r="C1445" s="8"/>
      <c r="D1445" s="8"/>
      <c r="E1445" s="81"/>
      <c r="F1445" s="34"/>
      <c r="G1445" s="34"/>
      <c r="H1445" s="34"/>
    </row>
    <row r="1446" spans="1:8" ht="20">
      <c r="A1446" s="200"/>
      <c r="B1446" s="8"/>
      <c r="C1446" s="8"/>
      <c r="D1446" s="8"/>
      <c r="E1446" s="81"/>
      <c r="F1446" s="34"/>
      <c r="G1446" s="34"/>
      <c r="H1446" s="34"/>
    </row>
    <row r="1447" spans="1:8" ht="20">
      <c r="A1447" s="200"/>
      <c r="B1447" s="8"/>
      <c r="C1447" s="8"/>
      <c r="D1447" s="8"/>
      <c r="E1447" s="81"/>
      <c r="F1447" s="34"/>
      <c r="G1447" s="34"/>
      <c r="H1447" s="34"/>
    </row>
    <row r="1448" spans="1:8" ht="20">
      <c r="A1448" s="200"/>
      <c r="B1448" s="8"/>
      <c r="C1448" s="8"/>
      <c r="D1448" s="8"/>
      <c r="E1448" s="81"/>
      <c r="F1448" s="34"/>
      <c r="G1448" s="34"/>
      <c r="H1448" s="34"/>
    </row>
    <row r="1449" spans="1:8" ht="20">
      <c r="A1449" s="200"/>
      <c r="B1449" s="8"/>
      <c r="C1449" s="8"/>
      <c r="D1449" s="8"/>
      <c r="E1449" s="81"/>
      <c r="F1449" s="34"/>
      <c r="G1449" s="34"/>
      <c r="H1449" s="34"/>
    </row>
    <row r="1450" spans="1:8" ht="20">
      <c r="A1450" s="200"/>
      <c r="B1450" s="8"/>
      <c r="C1450" s="8"/>
      <c r="D1450" s="8"/>
      <c r="E1450" s="81"/>
      <c r="F1450" s="34"/>
      <c r="G1450" s="34"/>
      <c r="H1450" s="34"/>
    </row>
    <row r="1451" spans="1:8" ht="20">
      <c r="A1451" s="200"/>
      <c r="B1451" s="8"/>
      <c r="C1451" s="8"/>
      <c r="D1451" s="8"/>
      <c r="E1451" s="81"/>
      <c r="F1451" s="34"/>
      <c r="G1451" s="34"/>
      <c r="H1451" s="34"/>
    </row>
    <row r="1452" spans="1:8" ht="20">
      <c r="A1452" s="200"/>
      <c r="B1452" s="8"/>
      <c r="C1452" s="8"/>
      <c r="D1452" s="8"/>
      <c r="E1452" s="81"/>
      <c r="F1452" s="34"/>
      <c r="G1452" s="34"/>
      <c r="H1452" s="34"/>
    </row>
    <row r="1453" spans="1:8" ht="20">
      <c r="A1453" s="200"/>
      <c r="B1453" s="8"/>
      <c r="C1453" s="8"/>
      <c r="D1453" s="8"/>
      <c r="E1453" s="81"/>
      <c r="F1453" s="34"/>
      <c r="G1453" s="34"/>
      <c r="H1453" s="34"/>
    </row>
    <row r="1454" spans="1:8" ht="20">
      <c r="A1454" s="200"/>
      <c r="B1454" s="8"/>
      <c r="C1454" s="8"/>
      <c r="D1454" s="8"/>
      <c r="E1454" s="81"/>
      <c r="F1454" s="34"/>
      <c r="G1454" s="34"/>
      <c r="H1454" s="34"/>
    </row>
    <row r="1455" spans="1:8" ht="20">
      <c r="A1455" s="200"/>
      <c r="B1455" s="8"/>
      <c r="C1455" s="8"/>
      <c r="D1455" s="8"/>
      <c r="E1455" s="81"/>
      <c r="F1455" s="34"/>
      <c r="G1455" s="34"/>
      <c r="H1455" s="34"/>
    </row>
    <row r="1456" spans="1:8" ht="20">
      <c r="A1456" s="200"/>
      <c r="B1456" s="8"/>
      <c r="C1456" s="8"/>
      <c r="D1456" s="8"/>
      <c r="E1456" s="81"/>
      <c r="F1456" s="34"/>
      <c r="G1456" s="34"/>
      <c r="H1456" s="34"/>
    </row>
    <row r="1457" spans="1:8" ht="20">
      <c r="A1457" s="200"/>
      <c r="B1457" s="8"/>
      <c r="C1457" s="8"/>
      <c r="D1457" s="8"/>
      <c r="E1457" s="81"/>
      <c r="F1457" s="34"/>
      <c r="G1457" s="34"/>
      <c r="H1457" s="34"/>
    </row>
    <row r="1458" spans="1:8" ht="20">
      <c r="A1458" s="200"/>
      <c r="B1458" s="8"/>
      <c r="C1458" s="8"/>
      <c r="D1458" s="8"/>
      <c r="E1458" s="81"/>
      <c r="F1458" s="34"/>
      <c r="G1458" s="34"/>
      <c r="H1458" s="34"/>
    </row>
    <row r="1459" spans="1:8" ht="20">
      <c r="A1459" s="200"/>
      <c r="B1459" s="8"/>
      <c r="C1459" s="8"/>
      <c r="D1459" s="8"/>
      <c r="E1459" s="81"/>
      <c r="F1459" s="34"/>
      <c r="G1459" s="34"/>
      <c r="H1459" s="34"/>
    </row>
    <row r="1460" spans="1:8" ht="20">
      <c r="A1460" s="200"/>
      <c r="B1460" s="8"/>
      <c r="C1460" s="8"/>
      <c r="D1460" s="8"/>
      <c r="E1460" s="81"/>
      <c r="F1460" s="34"/>
      <c r="G1460" s="34"/>
      <c r="H1460" s="34"/>
    </row>
    <row r="1461" spans="1:8" ht="20">
      <c r="A1461" s="200"/>
      <c r="B1461" s="8"/>
      <c r="C1461" s="8"/>
      <c r="D1461" s="8"/>
      <c r="E1461" s="81"/>
      <c r="F1461" s="34"/>
      <c r="G1461" s="34"/>
      <c r="H1461" s="34"/>
    </row>
    <row r="1462" spans="1:8" ht="20">
      <c r="A1462" s="200"/>
      <c r="B1462" s="8"/>
      <c r="C1462" s="8"/>
      <c r="D1462" s="8"/>
      <c r="E1462" s="81"/>
      <c r="F1462" s="34"/>
      <c r="G1462" s="34"/>
      <c r="H1462" s="34"/>
    </row>
    <row r="1463" spans="1:8" ht="20">
      <c r="A1463" s="200"/>
      <c r="B1463" s="8"/>
      <c r="C1463" s="8"/>
      <c r="D1463" s="8"/>
      <c r="E1463" s="81"/>
      <c r="F1463" s="34"/>
      <c r="G1463" s="34"/>
      <c r="H1463" s="34"/>
    </row>
    <row r="1464" spans="1:8" ht="20">
      <c r="A1464" s="200"/>
      <c r="B1464" s="8"/>
      <c r="C1464" s="8"/>
      <c r="D1464" s="8"/>
      <c r="E1464" s="81"/>
      <c r="F1464" s="34"/>
      <c r="G1464" s="34"/>
      <c r="H1464" s="34"/>
    </row>
    <row r="1465" spans="1:8" ht="20">
      <c r="A1465" s="200"/>
      <c r="B1465" s="8"/>
      <c r="C1465" s="8"/>
      <c r="D1465" s="8"/>
      <c r="E1465" s="81"/>
      <c r="F1465" s="34"/>
      <c r="G1465" s="34"/>
      <c r="H1465" s="34"/>
    </row>
    <row r="1466" spans="1:8" ht="20">
      <c r="A1466" s="200"/>
      <c r="B1466" s="8"/>
      <c r="C1466" s="8"/>
      <c r="D1466" s="8"/>
      <c r="E1466" s="81"/>
      <c r="F1466" s="34"/>
      <c r="G1466" s="34"/>
      <c r="H1466" s="34"/>
    </row>
    <row r="1467" spans="1:8" ht="20">
      <c r="A1467" s="200"/>
      <c r="B1467" s="8"/>
      <c r="C1467" s="8"/>
      <c r="D1467" s="8"/>
      <c r="E1467" s="81"/>
      <c r="F1467" s="34"/>
      <c r="G1467" s="34"/>
      <c r="H1467" s="34"/>
    </row>
    <row r="1468" spans="1:8" ht="20">
      <c r="A1468" s="200"/>
      <c r="B1468" s="8"/>
      <c r="C1468" s="8"/>
      <c r="D1468" s="8"/>
      <c r="E1468" s="81"/>
      <c r="F1468" s="34"/>
      <c r="G1468" s="34"/>
      <c r="H1468" s="34"/>
    </row>
    <row r="1469" spans="1:8" ht="20">
      <c r="A1469" s="200"/>
      <c r="B1469" s="8"/>
      <c r="C1469" s="8"/>
      <c r="D1469" s="8"/>
      <c r="E1469" s="81"/>
      <c r="F1469" s="34"/>
      <c r="G1469" s="34"/>
      <c r="H1469" s="34"/>
    </row>
    <row r="1470" spans="1:8" ht="20">
      <c r="A1470" s="200"/>
      <c r="B1470" s="8"/>
      <c r="C1470" s="8"/>
      <c r="D1470" s="8"/>
      <c r="E1470" s="81"/>
      <c r="F1470" s="34"/>
      <c r="G1470" s="34"/>
      <c r="H1470" s="34"/>
    </row>
    <row r="1471" spans="1:8" ht="20">
      <c r="A1471" s="200"/>
      <c r="B1471" s="8"/>
      <c r="C1471" s="8"/>
      <c r="D1471" s="8"/>
      <c r="E1471" s="81"/>
      <c r="F1471" s="34"/>
      <c r="G1471" s="34"/>
      <c r="H1471" s="34"/>
    </row>
    <row r="1472" spans="1:8" ht="20">
      <c r="A1472" s="200"/>
      <c r="B1472" s="8"/>
      <c r="C1472" s="8"/>
      <c r="D1472" s="8"/>
      <c r="E1472" s="81"/>
      <c r="F1472" s="34"/>
      <c r="G1472" s="34"/>
      <c r="H1472" s="34"/>
    </row>
    <row r="1473" spans="1:8" ht="20">
      <c r="A1473" s="200"/>
      <c r="B1473" s="8"/>
      <c r="C1473" s="8"/>
      <c r="D1473" s="8"/>
      <c r="E1473" s="81"/>
      <c r="F1473" s="34"/>
      <c r="G1473" s="34"/>
      <c r="H1473" s="34"/>
    </row>
    <row r="1474" spans="1:8" ht="20">
      <c r="A1474" s="200"/>
      <c r="B1474" s="8"/>
      <c r="C1474" s="8"/>
      <c r="D1474" s="8"/>
      <c r="E1474" s="81"/>
      <c r="F1474" s="34"/>
      <c r="G1474" s="34"/>
      <c r="H1474" s="34"/>
    </row>
    <row r="1475" spans="1:8" ht="20">
      <c r="A1475" s="200"/>
      <c r="B1475" s="8"/>
      <c r="C1475" s="8"/>
      <c r="D1475" s="8"/>
      <c r="E1475" s="81"/>
      <c r="F1475" s="34"/>
      <c r="G1475" s="34"/>
      <c r="H1475" s="34"/>
    </row>
    <row r="1476" spans="1:8" ht="20">
      <c r="A1476" s="200"/>
      <c r="B1476" s="8"/>
      <c r="C1476" s="8"/>
      <c r="D1476" s="8"/>
      <c r="E1476" s="81"/>
      <c r="F1476" s="34"/>
      <c r="G1476" s="34"/>
      <c r="H1476" s="34"/>
    </row>
    <row r="1477" spans="1:8" ht="20">
      <c r="A1477" s="200"/>
      <c r="B1477" s="8"/>
      <c r="C1477" s="8"/>
      <c r="D1477" s="8"/>
      <c r="E1477" s="81"/>
      <c r="F1477" s="34"/>
      <c r="G1477" s="34"/>
      <c r="H1477" s="34"/>
    </row>
    <row r="1478" spans="1:8" ht="20">
      <c r="A1478" s="200"/>
      <c r="B1478" s="8"/>
      <c r="C1478" s="8"/>
      <c r="D1478" s="8"/>
      <c r="E1478" s="81"/>
      <c r="F1478" s="34"/>
      <c r="G1478" s="34"/>
      <c r="H1478" s="34"/>
    </row>
    <row r="1479" spans="1:8" ht="20">
      <c r="A1479" s="200"/>
      <c r="B1479" s="8"/>
      <c r="C1479" s="8"/>
      <c r="D1479" s="8"/>
      <c r="E1479" s="81"/>
      <c r="F1479" s="34"/>
      <c r="G1479" s="34"/>
      <c r="H1479" s="34"/>
    </row>
    <row r="1480" spans="1:8" ht="20">
      <c r="A1480" s="200"/>
      <c r="B1480" s="8"/>
      <c r="C1480" s="8"/>
      <c r="D1480" s="8"/>
      <c r="E1480" s="81"/>
      <c r="F1480" s="34"/>
      <c r="G1480" s="34"/>
      <c r="H1480" s="34"/>
    </row>
    <row r="1481" spans="1:8" ht="20">
      <c r="A1481" s="200"/>
      <c r="B1481" s="8"/>
      <c r="C1481" s="8"/>
      <c r="D1481" s="8"/>
      <c r="E1481" s="81"/>
      <c r="F1481" s="34"/>
      <c r="G1481" s="34"/>
      <c r="H1481" s="34"/>
    </row>
    <row r="1482" spans="1:8" ht="20">
      <c r="A1482" s="200"/>
      <c r="B1482" s="8"/>
      <c r="C1482" s="8"/>
      <c r="D1482" s="8"/>
      <c r="E1482" s="81"/>
      <c r="F1482" s="34"/>
      <c r="G1482" s="34"/>
      <c r="H1482" s="34"/>
    </row>
    <row r="1483" spans="1:8" ht="20">
      <c r="A1483" s="200"/>
      <c r="B1483" s="8"/>
      <c r="C1483" s="8"/>
      <c r="D1483" s="8"/>
      <c r="E1483" s="81"/>
      <c r="F1483" s="34"/>
      <c r="G1483" s="34"/>
      <c r="H1483" s="34"/>
    </row>
    <row r="1484" spans="1:8" ht="20">
      <c r="A1484" s="200"/>
      <c r="B1484" s="8"/>
      <c r="C1484" s="8"/>
      <c r="D1484" s="8"/>
      <c r="E1484" s="81"/>
      <c r="F1484" s="34"/>
      <c r="G1484" s="34"/>
      <c r="H1484" s="34"/>
    </row>
    <row r="1485" spans="1:8" ht="20">
      <c r="A1485" s="200"/>
      <c r="B1485" s="8"/>
      <c r="C1485" s="8"/>
      <c r="D1485" s="8"/>
      <c r="E1485" s="81"/>
      <c r="F1485" s="34"/>
      <c r="G1485" s="34"/>
      <c r="H1485" s="34"/>
    </row>
    <row r="1486" spans="1:8" ht="20">
      <c r="A1486" s="200"/>
      <c r="B1486" s="8"/>
      <c r="C1486" s="8"/>
      <c r="D1486" s="8"/>
      <c r="E1486" s="81"/>
      <c r="F1486" s="34"/>
      <c r="G1486" s="34"/>
      <c r="H1486" s="34"/>
    </row>
    <row r="1487" spans="1:8" ht="20">
      <c r="A1487" s="200"/>
      <c r="B1487" s="8"/>
      <c r="C1487" s="8"/>
      <c r="D1487" s="8"/>
      <c r="E1487" s="81"/>
      <c r="F1487" s="34"/>
      <c r="G1487" s="34"/>
      <c r="H1487" s="34"/>
    </row>
    <row r="1488" spans="1:8" ht="20">
      <c r="A1488" s="200"/>
      <c r="B1488" s="8"/>
      <c r="C1488" s="8"/>
      <c r="D1488" s="8"/>
      <c r="E1488" s="81"/>
      <c r="F1488" s="34"/>
      <c r="G1488" s="34"/>
      <c r="H1488" s="34"/>
    </row>
    <row r="1489" spans="1:8" ht="20">
      <c r="A1489" s="200"/>
      <c r="B1489" s="8"/>
      <c r="C1489" s="8"/>
      <c r="D1489" s="8"/>
      <c r="E1489" s="81"/>
      <c r="F1489" s="34"/>
      <c r="G1489" s="34"/>
      <c r="H1489" s="34"/>
    </row>
    <row r="1490" spans="1:8" ht="20">
      <c r="A1490" s="200"/>
      <c r="B1490" s="8"/>
      <c r="C1490" s="8"/>
      <c r="D1490" s="8"/>
      <c r="E1490" s="81"/>
      <c r="F1490" s="34"/>
      <c r="G1490" s="34"/>
      <c r="H1490" s="34"/>
    </row>
    <row r="1491" spans="1:8" ht="20">
      <c r="A1491" s="200"/>
      <c r="B1491" s="8"/>
      <c r="C1491" s="8"/>
      <c r="D1491" s="8"/>
      <c r="E1491" s="81"/>
      <c r="F1491" s="34"/>
      <c r="G1491" s="34"/>
      <c r="H1491" s="34"/>
    </row>
    <row r="1492" spans="1:8" ht="20">
      <c r="A1492" s="200"/>
      <c r="B1492" s="8"/>
      <c r="C1492" s="8"/>
      <c r="D1492" s="8"/>
      <c r="E1492" s="81"/>
      <c r="F1492" s="34"/>
      <c r="G1492" s="34"/>
      <c r="H1492" s="34"/>
    </row>
    <row r="1493" spans="1:8" ht="20">
      <c r="A1493" s="200"/>
      <c r="B1493" s="8"/>
      <c r="C1493" s="8"/>
      <c r="D1493" s="8"/>
      <c r="E1493" s="81"/>
      <c r="F1493" s="34"/>
      <c r="G1493" s="34"/>
      <c r="H1493" s="34"/>
    </row>
    <row r="1494" spans="1:8" ht="20">
      <c r="A1494" s="200"/>
      <c r="B1494" s="8"/>
      <c r="C1494" s="8"/>
      <c r="D1494" s="8"/>
      <c r="E1494" s="81"/>
      <c r="F1494" s="34"/>
      <c r="G1494" s="34"/>
      <c r="H1494" s="34"/>
    </row>
    <row r="1495" spans="1:8" ht="20">
      <c r="A1495" s="200"/>
      <c r="B1495" s="8"/>
      <c r="C1495" s="8"/>
      <c r="D1495" s="8"/>
      <c r="E1495" s="81"/>
      <c r="F1495" s="34"/>
      <c r="G1495" s="34"/>
      <c r="H1495" s="34"/>
    </row>
    <row r="1496" spans="1:8" ht="20">
      <c r="A1496" s="200"/>
      <c r="B1496" s="8"/>
      <c r="C1496" s="8"/>
      <c r="D1496" s="8"/>
      <c r="E1496" s="81"/>
      <c r="F1496" s="34"/>
      <c r="G1496" s="34"/>
      <c r="H1496" s="34"/>
    </row>
    <row r="1497" spans="1:8" ht="20">
      <c r="A1497" s="200"/>
      <c r="B1497" s="8"/>
      <c r="C1497" s="8"/>
      <c r="D1497" s="8"/>
      <c r="E1497" s="81"/>
      <c r="F1497" s="34"/>
      <c r="G1497" s="34"/>
      <c r="H1497" s="34"/>
    </row>
    <row r="1498" spans="1:8" ht="20">
      <c r="A1498" s="200"/>
      <c r="B1498" s="8"/>
      <c r="C1498" s="8"/>
      <c r="D1498" s="8"/>
      <c r="E1498" s="81"/>
      <c r="F1498" s="34"/>
      <c r="G1498" s="34"/>
      <c r="H1498" s="34"/>
    </row>
    <row r="1499" spans="1:8" ht="20">
      <c r="A1499" s="200"/>
      <c r="B1499" s="8"/>
      <c r="C1499" s="8"/>
      <c r="D1499" s="8"/>
      <c r="E1499" s="81"/>
      <c r="F1499" s="34"/>
      <c r="G1499" s="34"/>
      <c r="H1499" s="34"/>
    </row>
    <row r="1500" spans="1:8" ht="20">
      <c r="A1500" s="200"/>
      <c r="B1500" s="8"/>
      <c r="C1500" s="8"/>
      <c r="D1500" s="8"/>
      <c r="E1500" s="81"/>
      <c r="F1500" s="34"/>
      <c r="G1500" s="34"/>
      <c r="H1500" s="34"/>
    </row>
    <row r="1501" spans="1:8" ht="20">
      <c r="A1501" s="200"/>
      <c r="B1501" s="8"/>
      <c r="C1501" s="8"/>
      <c r="D1501" s="8"/>
      <c r="E1501" s="81"/>
      <c r="F1501" s="34"/>
      <c r="G1501" s="34"/>
      <c r="H1501" s="34"/>
    </row>
    <row r="1502" spans="1:8" ht="20">
      <c r="A1502" s="200"/>
      <c r="B1502" s="8"/>
      <c r="C1502" s="8"/>
      <c r="D1502" s="8"/>
      <c r="E1502" s="81"/>
      <c r="F1502" s="34"/>
      <c r="G1502" s="34"/>
      <c r="H1502" s="34"/>
    </row>
    <row r="1503" spans="1:8" ht="20">
      <c r="A1503" s="200"/>
      <c r="B1503" s="8"/>
      <c r="C1503" s="8"/>
      <c r="D1503" s="8"/>
      <c r="E1503" s="81"/>
      <c r="F1503" s="34"/>
      <c r="G1503" s="34"/>
      <c r="H1503" s="34"/>
    </row>
    <row r="1504" spans="1:8" ht="20">
      <c r="A1504" s="200"/>
      <c r="B1504" s="8"/>
      <c r="C1504" s="8"/>
      <c r="D1504" s="8"/>
      <c r="E1504" s="81"/>
      <c r="F1504" s="34"/>
      <c r="G1504" s="34"/>
      <c r="H1504" s="34"/>
    </row>
    <row r="1505" spans="1:8" ht="20">
      <c r="A1505" s="200"/>
      <c r="B1505" s="8"/>
      <c r="C1505" s="8"/>
      <c r="D1505" s="8"/>
      <c r="E1505" s="81"/>
      <c r="F1505" s="34"/>
      <c r="G1505" s="34"/>
      <c r="H1505" s="34"/>
    </row>
    <row r="1506" spans="1:8" ht="20">
      <c r="A1506" s="200"/>
      <c r="B1506" s="8"/>
      <c r="C1506" s="8"/>
      <c r="D1506" s="8"/>
      <c r="E1506" s="81"/>
      <c r="F1506" s="34"/>
      <c r="G1506" s="34"/>
      <c r="H1506" s="34"/>
    </row>
    <row r="1507" spans="1:8" ht="20">
      <c r="A1507" s="200"/>
      <c r="B1507" s="8"/>
      <c r="C1507" s="8"/>
      <c r="D1507" s="8"/>
      <c r="E1507" s="81"/>
      <c r="F1507" s="34"/>
      <c r="G1507" s="34"/>
      <c r="H1507" s="34"/>
    </row>
    <row r="1508" spans="1:8" ht="20">
      <c r="A1508" s="200"/>
      <c r="B1508" s="8"/>
      <c r="C1508" s="8"/>
      <c r="D1508" s="8"/>
      <c r="E1508" s="81"/>
      <c r="F1508" s="34"/>
      <c r="G1508" s="34"/>
      <c r="H1508" s="34"/>
    </row>
    <row r="1509" spans="1:8" ht="20">
      <c r="A1509" s="200"/>
      <c r="B1509" s="8"/>
      <c r="C1509" s="8"/>
      <c r="D1509" s="8"/>
      <c r="E1509" s="81"/>
      <c r="F1509" s="34"/>
      <c r="G1509" s="34"/>
      <c r="H1509" s="34"/>
    </row>
    <row r="1510" spans="1:8" ht="20">
      <c r="A1510" s="200"/>
      <c r="B1510" s="8"/>
      <c r="C1510" s="8"/>
      <c r="D1510" s="8"/>
      <c r="E1510" s="81"/>
      <c r="F1510" s="34"/>
      <c r="G1510" s="34"/>
      <c r="H1510" s="34"/>
    </row>
    <row r="1511" spans="1:8" ht="20">
      <c r="A1511" s="200"/>
      <c r="B1511" s="8"/>
      <c r="C1511" s="8"/>
      <c r="D1511" s="8"/>
      <c r="E1511" s="81"/>
      <c r="F1511" s="34"/>
      <c r="G1511" s="34"/>
      <c r="H1511" s="34"/>
    </row>
    <row r="1512" spans="1:8" ht="20">
      <c r="A1512" s="200"/>
      <c r="B1512" s="8"/>
      <c r="C1512" s="8"/>
      <c r="D1512" s="8"/>
      <c r="E1512" s="81"/>
      <c r="F1512" s="34"/>
      <c r="G1512" s="34"/>
      <c r="H1512" s="34"/>
    </row>
    <row r="1513" spans="1:8" ht="20">
      <c r="A1513" s="200"/>
      <c r="B1513" s="8"/>
      <c r="C1513" s="8"/>
      <c r="D1513" s="8"/>
      <c r="E1513" s="81"/>
      <c r="F1513" s="34"/>
      <c r="G1513" s="34"/>
      <c r="H1513" s="34"/>
    </row>
    <row r="1514" spans="1:8" ht="20">
      <c r="A1514" s="200"/>
      <c r="B1514" s="8"/>
      <c r="C1514" s="8"/>
      <c r="D1514" s="8"/>
      <c r="E1514" s="81"/>
      <c r="F1514" s="34"/>
      <c r="G1514" s="34"/>
      <c r="H1514" s="34"/>
    </row>
    <row r="1515" spans="1:8" ht="20">
      <c r="A1515" s="200"/>
      <c r="B1515" s="8"/>
      <c r="C1515" s="8"/>
      <c r="D1515" s="8"/>
      <c r="E1515" s="81"/>
      <c r="F1515" s="34"/>
      <c r="G1515" s="34"/>
      <c r="H1515" s="34"/>
    </row>
    <row r="1516" spans="1:8" ht="20">
      <c r="A1516" s="200"/>
      <c r="B1516" s="8"/>
      <c r="C1516" s="8"/>
      <c r="D1516" s="8"/>
      <c r="E1516" s="81"/>
      <c r="F1516" s="34"/>
      <c r="G1516" s="34"/>
      <c r="H1516" s="34"/>
    </row>
    <row r="1517" spans="1:8" ht="20">
      <c r="A1517" s="200"/>
      <c r="B1517" s="8"/>
      <c r="C1517" s="8"/>
      <c r="D1517" s="8"/>
      <c r="E1517" s="81"/>
      <c r="F1517" s="34"/>
      <c r="G1517" s="34"/>
      <c r="H1517" s="34"/>
    </row>
    <row r="1518" spans="1:8" ht="20">
      <c r="A1518" s="200"/>
      <c r="B1518" s="8"/>
      <c r="C1518" s="8"/>
      <c r="D1518" s="8"/>
      <c r="E1518" s="81"/>
      <c r="F1518" s="34"/>
      <c r="G1518" s="34"/>
      <c r="H1518" s="34"/>
    </row>
    <row r="1519" spans="1:8" ht="20">
      <c r="A1519" s="200"/>
      <c r="B1519" s="8"/>
      <c r="C1519" s="8"/>
      <c r="D1519" s="8"/>
      <c r="E1519" s="81"/>
      <c r="F1519" s="34"/>
      <c r="G1519" s="34"/>
      <c r="H1519" s="34"/>
    </row>
    <row r="1520" spans="1:8" ht="20">
      <c r="A1520" s="200"/>
      <c r="B1520" s="8"/>
      <c r="C1520" s="8"/>
      <c r="D1520" s="8"/>
      <c r="E1520" s="81"/>
      <c r="F1520" s="34"/>
      <c r="G1520" s="34"/>
      <c r="H1520" s="34"/>
    </row>
    <row r="1521" spans="1:8" ht="20">
      <c r="A1521" s="200"/>
      <c r="B1521" s="8"/>
      <c r="C1521" s="8"/>
      <c r="D1521" s="8"/>
      <c r="E1521" s="81"/>
      <c r="F1521" s="34"/>
      <c r="G1521" s="34"/>
      <c r="H1521" s="34"/>
    </row>
    <row r="1522" spans="1:8" ht="20">
      <c r="A1522" s="200"/>
      <c r="B1522" s="8"/>
      <c r="C1522" s="8"/>
      <c r="D1522" s="8"/>
      <c r="E1522" s="81"/>
      <c r="F1522" s="34"/>
      <c r="G1522" s="34"/>
      <c r="H1522" s="34"/>
    </row>
    <row r="1523" spans="1:8" ht="20">
      <c r="A1523" s="200"/>
      <c r="B1523" s="8"/>
      <c r="C1523" s="8"/>
      <c r="D1523" s="8"/>
      <c r="E1523" s="81"/>
      <c r="F1523" s="34"/>
      <c r="G1523" s="34"/>
      <c r="H1523" s="34"/>
    </row>
    <row r="1524" spans="1:8" ht="20">
      <c r="A1524" s="200"/>
      <c r="B1524" s="8"/>
      <c r="C1524" s="8"/>
      <c r="D1524" s="8"/>
      <c r="E1524" s="81"/>
      <c r="F1524" s="34"/>
      <c r="G1524" s="34"/>
      <c r="H1524" s="34"/>
    </row>
    <row r="1525" spans="1:8" ht="20">
      <c r="A1525" s="200"/>
      <c r="B1525" s="8"/>
      <c r="C1525" s="8"/>
      <c r="D1525" s="8"/>
      <c r="E1525" s="81"/>
      <c r="F1525" s="34"/>
      <c r="G1525" s="34"/>
      <c r="H1525" s="34"/>
    </row>
    <row r="1526" spans="1:8" ht="20">
      <c r="A1526" s="200"/>
      <c r="B1526" s="8"/>
      <c r="C1526" s="8"/>
      <c r="D1526" s="8"/>
      <c r="E1526" s="81"/>
      <c r="F1526" s="34"/>
      <c r="G1526" s="34"/>
      <c r="H1526" s="34"/>
    </row>
    <row r="1527" spans="1:8" ht="20">
      <c r="A1527" s="200"/>
      <c r="B1527" s="8"/>
      <c r="C1527" s="8"/>
      <c r="D1527" s="8"/>
      <c r="E1527" s="81"/>
      <c r="F1527" s="34"/>
      <c r="G1527" s="34"/>
      <c r="H1527" s="34"/>
    </row>
    <row r="1528" spans="1:8" ht="20">
      <c r="A1528" s="200"/>
      <c r="B1528" s="8"/>
      <c r="C1528" s="8"/>
      <c r="D1528" s="8"/>
      <c r="E1528" s="81"/>
      <c r="F1528" s="34"/>
      <c r="G1528" s="34"/>
      <c r="H1528" s="34"/>
    </row>
    <row r="1529" spans="1:8" ht="20">
      <c r="A1529" s="200"/>
      <c r="B1529" s="8"/>
      <c r="C1529" s="8"/>
      <c r="D1529" s="8"/>
      <c r="E1529" s="81"/>
      <c r="F1529" s="34"/>
      <c r="G1529" s="34"/>
      <c r="H1529" s="34"/>
    </row>
    <row r="1530" spans="1:8" ht="20">
      <c r="A1530" s="200"/>
      <c r="B1530" s="8"/>
      <c r="C1530" s="8"/>
      <c r="D1530" s="8"/>
      <c r="E1530" s="81"/>
      <c r="F1530" s="34"/>
      <c r="G1530" s="34"/>
      <c r="H1530" s="34"/>
    </row>
    <row r="1531" spans="1:8" ht="20">
      <c r="A1531" s="200"/>
      <c r="B1531" s="8"/>
      <c r="C1531" s="8"/>
      <c r="D1531" s="8"/>
      <c r="E1531" s="81"/>
      <c r="F1531" s="34"/>
      <c r="G1531" s="34"/>
      <c r="H1531" s="34"/>
    </row>
    <row r="1532" spans="1:8" ht="20">
      <c r="A1532" s="200"/>
      <c r="B1532" s="8"/>
      <c r="C1532" s="8"/>
      <c r="D1532" s="8"/>
      <c r="E1532" s="81"/>
      <c r="F1532" s="34"/>
      <c r="G1532" s="34"/>
      <c r="H1532" s="34"/>
    </row>
    <row r="1533" spans="1:8" ht="20">
      <c r="A1533" s="200"/>
      <c r="B1533" s="8"/>
      <c r="C1533" s="8"/>
      <c r="D1533" s="8"/>
      <c r="E1533" s="81"/>
      <c r="F1533" s="34"/>
      <c r="G1533" s="34"/>
      <c r="H1533" s="34"/>
    </row>
    <row r="1534" spans="1:8" ht="20">
      <c r="A1534" s="200"/>
      <c r="B1534" s="8"/>
      <c r="C1534" s="8"/>
      <c r="D1534" s="8"/>
      <c r="E1534" s="81"/>
      <c r="F1534" s="34"/>
      <c r="G1534" s="34"/>
      <c r="H1534" s="34"/>
    </row>
    <row r="1535" spans="1:8" ht="20">
      <c r="A1535" s="200"/>
      <c r="B1535" s="8"/>
      <c r="C1535" s="8"/>
      <c r="D1535" s="8"/>
      <c r="E1535" s="81"/>
      <c r="F1535" s="34"/>
      <c r="G1535" s="34"/>
      <c r="H1535" s="34"/>
    </row>
    <row r="1536" spans="1:8" ht="20">
      <c r="A1536" s="200"/>
      <c r="B1536" s="8"/>
      <c r="C1536" s="8"/>
      <c r="D1536" s="8"/>
      <c r="E1536" s="81"/>
      <c r="F1536" s="34"/>
      <c r="G1536" s="34"/>
      <c r="H1536" s="34"/>
    </row>
    <row r="1537" spans="1:8" ht="20">
      <c r="A1537" s="200"/>
      <c r="B1537" s="8"/>
      <c r="C1537" s="8"/>
      <c r="D1537" s="8"/>
      <c r="E1537" s="81"/>
      <c r="F1537" s="34"/>
      <c r="G1537" s="34"/>
      <c r="H1537" s="34"/>
    </row>
    <row r="1538" spans="1:8" ht="20">
      <c r="A1538" s="200"/>
      <c r="B1538" s="8"/>
      <c r="C1538" s="8"/>
      <c r="D1538" s="8"/>
      <c r="E1538" s="81"/>
      <c r="F1538" s="34"/>
      <c r="G1538" s="34"/>
      <c r="H1538" s="34"/>
    </row>
    <row r="1539" spans="1:8" ht="20">
      <c r="A1539" s="200"/>
      <c r="B1539" s="8"/>
      <c r="C1539" s="8"/>
      <c r="D1539" s="8"/>
      <c r="E1539" s="81"/>
      <c r="F1539" s="34"/>
      <c r="G1539" s="34"/>
      <c r="H1539" s="34"/>
    </row>
    <row r="1540" spans="1:8" ht="20">
      <c r="A1540" s="200"/>
      <c r="B1540" s="8"/>
      <c r="C1540" s="8"/>
      <c r="D1540" s="8"/>
      <c r="E1540" s="81"/>
      <c r="F1540" s="34"/>
      <c r="G1540" s="34"/>
      <c r="H1540" s="34"/>
    </row>
    <row r="1541" spans="1:8" ht="20">
      <c r="A1541" s="200"/>
      <c r="B1541" s="8"/>
      <c r="C1541" s="8"/>
      <c r="D1541" s="8"/>
      <c r="E1541" s="81"/>
      <c r="F1541" s="34"/>
      <c r="G1541" s="34"/>
      <c r="H1541" s="34"/>
    </row>
    <row r="1542" spans="1:8" ht="20">
      <c r="A1542" s="200"/>
      <c r="B1542" s="8"/>
      <c r="C1542" s="8"/>
      <c r="D1542" s="8"/>
      <c r="E1542" s="81"/>
      <c r="F1542" s="34"/>
      <c r="G1542" s="34"/>
      <c r="H1542" s="34"/>
    </row>
    <row r="1543" spans="1:8" ht="20">
      <c r="A1543" s="200"/>
      <c r="B1543" s="8"/>
      <c r="C1543" s="8"/>
      <c r="D1543" s="8"/>
      <c r="E1543" s="81"/>
      <c r="F1543" s="34"/>
      <c r="G1543" s="34"/>
      <c r="H1543" s="34"/>
    </row>
    <row r="1544" spans="1:8" ht="20">
      <c r="A1544" s="200"/>
      <c r="B1544" s="8"/>
      <c r="C1544" s="8"/>
      <c r="D1544" s="8"/>
      <c r="E1544" s="81"/>
      <c r="F1544" s="34"/>
      <c r="G1544" s="34"/>
      <c r="H1544" s="34"/>
    </row>
    <row r="1545" spans="1:8" ht="20">
      <c r="A1545" s="200"/>
      <c r="B1545" s="8"/>
      <c r="C1545" s="8"/>
      <c r="D1545" s="8"/>
      <c r="E1545" s="81"/>
      <c r="F1545" s="34"/>
      <c r="G1545" s="34"/>
      <c r="H1545" s="34"/>
    </row>
    <row r="1546" spans="1:8" ht="20">
      <c r="A1546" s="200"/>
      <c r="B1546" s="8"/>
      <c r="C1546" s="8"/>
      <c r="D1546" s="8"/>
      <c r="E1546" s="81"/>
      <c r="F1546" s="34"/>
      <c r="G1546" s="34"/>
      <c r="H1546" s="34"/>
    </row>
    <row r="1547" spans="1:8" ht="20">
      <c r="A1547" s="200"/>
      <c r="B1547" s="8"/>
      <c r="C1547" s="8"/>
      <c r="D1547" s="8"/>
      <c r="E1547" s="81"/>
      <c r="F1547" s="34"/>
      <c r="G1547" s="34"/>
      <c r="H1547" s="34"/>
    </row>
    <row r="1548" spans="1:8" ht="20">
      <c r="A1548" s="200"/>
      <c r="B1548" s="8"/>
      <c r="C1548" s="8"/>
      <c r="D1548" s="8"/>
      <c r="E1548" s="81"/>
      <c r="F1548" s="34"/>
      <c r="G1548" s="34"/>
      <c r="H1548" s="34"/>
    </row>
    <row r="1549" spans="1:8" ht="20">
      <c r="A1549" s="200"/>
      <c r="B1549" s="8"/>
      <c r="C1549" s="8"/>
      <c r="D1549" s="8"/>
      <c r="E1549" s="81"/>
      <c r="F1549" s="34"/>
      <c r="G1549" s="34"/>
      <c r="H1549" s="34"/>
    </row>
    <row r="1550" spans="1:8" ht="20">
      <c r="A1550" s="200"/>
      <c r="B1550" s="8"/>
      <c r="C1550" s="8"/>
      <c r="D1550" s="8"/>
      <c r="E1550" s="81"/>
      <c r="F1550" s="34"/>
      <c r="G1550" s="34"/>
      <c r="H1550" s="34"/>
    </row>
    <row r="1551" spans="1:8" ht="20">
      <c r="A1551" s="200"/>
      <c r="B1551" s="8"/>
      <c r="C1551" s="8"/>
      <c r="D1551" s="8"/>
      <c r="E1551" s="81"/>
      <c r="F1551" s="34"/>
      <c r="G1551" s="34"/>
      <c r="H1551" s="34"/>
    </row>
    <row r="1552" spans="1:8" ht="20">
      <c r="A1552" s="200"/>
      <c r="B1552" s="8"/>
      <c r="C1552" s="8"/>
      <c r="D1552" s="8"/>
      <c r="E1552" s="81"/>
      <c r="F1552" s="34"/>
      <c r="G1552" s="34"/>
      <c r="H1552" s="34"/>
    </row>
    <row r="1553" spans="1:8" ht="20">
      <c r="A1553" s="200"/>
      <c r="B1553" s="8"/>
      <c r="C1553" s="8"/>
      <c r="D1553" s="8"/>
      <c r="E1553" s="81"/>
      <c r="F1553" s="34"/>
      <c r="G1553" s="34"/>
      <c r="H1553" s="34"/>
    </row>
    <row r="1554" spans="1:8" ht="20">
      <c r="A1554" s="200"/>
      <c r="B1554" s="8"/>
      <c r="C1554" s="8"/>
      <c r="D1554" s="8"/>
      <c r="E1554" s="81"/>
      <c r="F1554" s="34"/>
      <c r="G1554" s="34"/>
      <c r="H1554" s="34"/>
    </row>
    <row r="1555" spans="1:8" ht="20">
      <c r="A1555" s="200"/>
      <c r="B1555" s="8"/>
      <c r="C1555" s="8"/>
      <c r="D1555" s="8"/>
      <c r="E1555" s="81"/>
      <c r="F1555" s="34"/>
      <c r="G1555" s="34"/>
      <c r="H1555" s="34"/>
    </row>
    <row r="1556" spans="1:8" ht="20">
      <c r="A1556" s="200"/>
      <c r="B1556" s="8"/>
      <c r="C1556" s="8"/>
      <c r="D1556" s="8"/>
      <c r="E1556" s="81"/>
      <c r="F1556" s="34"/>
      <c r="G1556" s="34"/>
      <c r="H1556" s="34"/>
    </row>
    <row r="1557" spans="1:8" ht="20">
      <c r="A1557" s="200"/>
      <c r="B1557" s="8"/>
      <c r="C1557" s="8"/>
      <c r="D1557" s="8"/>
      <c r="E1557" s="81"/>
      <c r="F1557" s="34"/>
      <c r="G1557" s="34"/>
      <c r="H1557" s="34"/>
    </row>
    <row r="1558" spans="1:8" ht="20">
      <c r="A1558" s="200"/>
      <c r="B1558" s="8"/>
      <c r="C1558" s="8"/>
      <c r="D1558" s="8"/>
      <c r="E1558" s="81"/>
      <c r="F1558" s="34"/>
      <c r="G1558" s="34"/>
      <c r="H1558" s="34"/>
    </row>
    <row r="1559" spans="1:8" ht="20">
      <c r="A1559" s="200"/>
      <c r="B1559" s="8"/>
      <c r="C1559" s="8"/>
      <c r="D1559" s="8"/>
      <c r="E1559" s="81"/>
      <c r="F1559" s="34"/>
      <c r="G1559" s="34"/>
      <c r="H1559" s="34"/>
    </row>
    <row r="1560" spans="1:8" ht="20">
      <c r="A1560" s="200"/>
      <c r="B1560" s="8"/>
      <c r="C1560" s="8"/>
      <c r="D1560" s="8"/>
      <c r="E1560" s="81"/>
      <c r="F1560" s="34"/>
      <c r="G1560" s="34"/>
      <c r="H1560" s="34"/>
    </row>
    <row r="1561" spans="1:8" ht="20">
      <c r="A1561" s="200"/>
      <c r="B1561" s="8"/>
      <c r="C1561" s="8"/>
      <c r="D1561" s="8"/>
      <c r="E1561" s="81"/>
      <c r="F1561" s="34"/>
      <c r="G1561" s="34"/>
      <c r="H1561" s="34"/>
    </row>
    <row r="1562" spans="1:8" ht="20">
      <c r="A1562" s="200"/>
      <c r="B1562" s="8"/>
      <c r="C1562" s="8"/>
      <c r="D1562" s="8"/>
      <c r="E1562" s="81"/>
      <c r="F1562" s="34"/>
      <c r="G1562" s="34"/>
      <c r="H1562" s="34"/>
    </row>
    <row r="1563" spans="1:8" ht="20">
      <c r="A1563" s="200"/>
      <c r="B1563" s="8"/>
      <c r="C1563" s="8"/>
      <c r="D1563" s="8"/>
      <c r="E1563" s="81"/>
      <c r="F1563" s="34"/>
      <c r="G1563" s="34"/>
      <c r="H1563" s="34"/>
    </row>
    <row r="1564" spans="1:8" ht="20">
      <c r="A1564" s="200"/>
      <c r="B1564" s="8"/>
      <c r="C1564" s="8"/>
      <c r="D1564" s="8"/>
      <c r="E1564" s="81"/>
      <c r="F1564" s="34"/>
      <c r="G1564" s="34"/>
      <c r="H1564" s="34"/>
    </row>
    <row r="1565" spans="1:8" ht="20">
      <c r="A1565" s="200"/>
      <c r="B1565" s="8"/>
      <c r="C1565" s="8"/>
      <c r="D1565" s="8"/>
      <c r="E1565" s="81"/>
      <c r="F1565" s="34"/>
      <c r="G1565" s="34"/>
      <c r="H1565" s="34"/>
    </row>
    <row r="1566" spans="1:8" ht="20">
      <c r="A1566" s="200"/>
      <c r="B1566" s="8"/>
      <c r="C1566" s="8"/>
      <c r="D1566" s="8"/>
      <c r="E1566" s="81"/>
      <c r="F1566" s="34"/>
      <c r="G1566" s="34"/>
      <c r="H1566" s="34"/>
    </row>
    <row r="1567" spans="1:8" ht="20">
      <c r="A1567" s="200"/>
      <c r="B1567" s="8"/>
      <c r="C1567" s="8"/>
      <c r="D1567" s="8"/>
      <c r="E1567" s="81"/>
      <c r="F1567" s="34"/>
      <c r="G1567" s="34"/>
      <c r="H1567" s="34"/>
    </row>
    <row r="1568" spans="1:8" ht="20">
      <c r="A1568" s="200"/>
      <c r="B1568" s="8"/>
      <c r="C1568" s="8"/>
      <c r="D1568" s="8"/>
      <c r="E1568" s="81"/>
      <c r="F1568" s="34"/>
      <c r="G1568" s="34"/>
      <c r="H1568" s="34"/>
    </row>
    <row r="1569" spans="1:8" ht="20">
      <c r="A1569" s="200"/>
      <c r="B1569" s="8"/>
      <c r="C1569" s="8"/>
      <c r="D1569" s="8"/>
      <c r="E1569" s="81"/>
      <c r="F1569" s="34"/>
      <c r="G1569" s="34"/>
      <c r="H1569" s="34"/>
    </row>
    <row r="1570" spans="1:8" ht="20">
      <c r="A1570" s="200"/>
      <c r="B1570" s="8"/>
      <c r="C1570" s="8"/>
      <c r="D1570" s="8"/>
      <c r="E1570" s="81"/>
      <c r="F1570" s="34"/>
      <c r="G1570" s="34"/>
      <c r="H1570" s="34"/>
    </row>
    <row r="1571" spans="1:8" ht="20">
      <c r="A1571" s="200"/>
      <c r="B1571" s="8"/>
      <c r="C1571" s="8"/>
      <c r="D1571" s="8"/>
      <c r="E1571" s="81"/>
      <c r="F1571" s="34"/>
      <c r="G1571" s="34"/>
      <c r="H1571" s="34"/>
    </row>
    <row r="1572" spans="1:8" ht="20">
      <c r="A1572" s="200"/>
      <c r="B1572" s="8"/>
      <c r="C1572" s="8"/>
      <c r="D1572" s="8"/>
      <c r="E1572" s="81"/>
      <c r="F1572" s="34"/>
      <c r="G1572" s="34"/>
      <c r="H1572" s="34"/>
    </row>
    <row r="1573" spans="1:8" ht="20">
      <c r="A1573" s="200"/>
      <c r="B1573" s="8"/>
      <c r="C1573" s="8"/>
      <c r="D1573" s="8"/>
      <c r="E1573" s="81"/>
      <c r="F1573" s="34"/>
      <c r="G1573" s="34"/>
      <c r="H1573" s="34"/>
    </row>
    <row r="1574" spans="1:8" ht="20">
      <c r="A1574" s="200"/>
      <c r="B1574" s="8"/>
      <c r="C1574" s="8"/>
      <c r="D1574" s="8"/>
      <c r="E1574" s="81"/>
      <c r="F1574" s="34"/>
      <c r="G1574" s="34"/>
      <c r="H1574" s="34"/>
    </row>
    <row r="1575" spans="1:8" ht="20">
      <c r="A1575" s="200"/>
      <c r="B1575" s="8"/>
      <c r="C1575" s="8"/>
      <c r="D1575" s="8"/>
      <c r="E1575" s="81"/>
      <c r="F1575" s="34"/>
      <c r="G1575" s="34"/>
      <c r="H1575" s="34"/>
    </row>
    <row r="1576" spans="1:8" ht="20">
      <c r="A1576" s="200"/>
      <c r="B1576" s="8"/>
      <c r="C1576" s="8"/>
      <c r="D1576" s="8"/>
      <c r="E1576" s="81"/>
      <c r="F1576" s="34"/>
      <c r="G1576" s="34"/>
      <c r="H1576" s="34"/>
    </row>
    <row r="1577" spans="1:8" ht="20">
      <c r="A1577" s="200"/>
      <c r="B1577" s="8"/>
      <c r="C1577" s="8"/>
      <c r="D1577" s="8"/>
      <c r="E1577" s="81"/>
      <c r="F1577" s="34"/>
      <c r="G1577" s="34"/>
      <c r="H1577" s="34"/>
    </row>
    <row r="1578" spans="1:8" ht="20">
      <c r="A1578" s="200"/>
      <c r="B1578" s="8"/>
      <c r="C1578" s="8"/>
      <c r="D1578" s="8"/>
      <c r="E1578" s="81"/>
      <c r="F1578" s="34"/>
      <c r="G1578" s="34"/>
      <c r="H1578" s="34"/>
    </row>
    <row r="1579" spans="1:8" ht="20">
      <c r="A1579" s="200"/>
      <c r="B1579" s="8"/>
      <c r="C1579" s="8"/>
      <c r="D1579" s="8"/>
      <c r="E1579" s="81"/>
      <c r="F1579" s="34"/>
      <c r="G1579" s="34"/>
      <c r="H1579" s="34"/>
    </row>
    <row r="1580" spans="1:8" ht="20">
      <c r="A1580" s="200"/>
      <c r="B1580" s="8"/>
      <c r="C1580" s="8"/>
      <c r="D1580" s="8"/>
      <c r="E1580" s="81"/>
      <c r="F1580" s="34"/>
      <c r="G1580" s="34"/>
      <c r="H1580" s="34"/>
    </row>
    <row r="1581" spans="1:8" ht="20">
      <c r="A1581" s="200"/>
      <c r="B1581" s="8"/>
      <c r="C1581" s="8"/>
      <c r="D1581" s="8"/>
      <c r="E1581" s="81"/>
      <c r="F1581" s="34"/>
      <c r="G1581" s="34"/>
      <c r="H1581" s="34"/>
    </row>
    <row r="1582" spans="1:8" ht="20">
      <c r="A1582" s="200"/>
      <c r="B1582" s="8"/>
      <c r="C1582" s="8"/>
      <c r="D1582" s="8"/>
      <c r="E1582" s="81"/>
      <c r="F1582" s="34"/>
      <c r="G1582" s="34"/>
      <c r="H1582" s="34"/>
    </row>
    <row r="1583" spans="1:8" ht="20">
      <c r="A1583" s="200"/>
      <c r="B1583" s="8"/>
      <c r="C1583" s="8"/>
      <c r="D1583" s="8"/>
      <c r="E1583" s="81"/>
      <c r="F1583" s="34"/>
      <c r="G1583" s="34"/>
      <c r="H1583" s="34"/>
    </row>
    <row r="1584" spans="1:8" ht="20">
      <c r="A1584" s="200"/>
      <c r="B1584" s="8"/>
      <c r="C1584" s="8"/>
      <c r="D1584" s="8"/>
      <c r="E1584" s="81"/>
      <c r="F1584" s="34"/>
      <c r="G1584" s="34"/>
      <c r="H1584" s="34"/>
    </row>
    <row r="1585" spans="1:8" ht="20">
      <c r="A1585" s="200"/>
      <c r="B1585" s="8"/>
      <c r="C1585" s="8"/>
      <c r="D1585" s="8"/>
      <c r="E1585" s="81"/>
      <c r="F1585" s="34"/>
      <c r="G1585" s="34"/>
      <c r="H1585" s="34"/>
    </row>
    <row r="1586" spans="1:8" ht="20">
      <c r="A1586" s="200"/>
      <c r="B1586" s="8"/>
      <c r="C1586" s="8"/>
      <c r="D1586" s="8"/>
      <c r="E1586" s="81"/>
      <c r="F1586" s="34"/>
      <c r="G1586" s="34"/>
      <c r="H1586" s="34"/>
    </row>
    <row r="1587" spans="1:8" ht="20">
      <c r="A1587" s="200"/>
      <c r="B1587" s="8"/>
      <c r="C1587" s="8"/>
      <c r="D1587" s="8"/>
      <c r="E1587" s="81"/>
      <c r="F1587" s="34"/>
      <c r="G1587" s="34"/>
      <c r="H1587" s="34"/>
    </row>
    <row r="1588" spans="1:8" ht="20">
      <c r="A1588" s="200"/>
      <c r="B1588" s="8"/>
      <c r="C1588" s="8"/>
      <c r="D1588" s="8"/>
      <c r="E1588" s="81"/>
      <c r="F1588" s="34"/>
      <c r="G1588" s="34"/>
      <c r="H1588" s="34"/>
    </row>
    <row r="1589" spans="1:8" ht="20">
      <c r="A1589" s="200"/>
      <c r="B1589" s="8"/>
      <c r="C1589" s="8"/>
      <c r="D1589" s="8"/>
      <c r="E1589" s="81"/>
      <c r="F1589" s="34"/>
      <c r="G1589" s="34"/>
      <c r="H1589" s="34"/>
    </row>
    <row r="1590" spans="1:8" ht="20">
      <c r="A1590" s="200"/>
      <c r="B1590" s="8"/>
      <c r="C1590" s="8"/>
      <c r="D1590" s="8"/>
      <c r="E1590" s="81"/>
      <c r="F1590" s="34"/>
      <c r="G1590" s="34"/>
      <c r="H1590" s="34"/>
    </row>
    <row r="1591" spans="1:8" ht="20">
      <c r="A1591" s="200"/>
      <c r="B1591" s="8"/>
      <c r="C1591" s="8"/>
      <c r="D1591" s="8"/>
      <c r="E1591" s="81"/>
      <c r="F1591" s="34"/>
      <c r="G1591" s="34"/>
      <c r="H1591" s="34"/>
    </row>
    <row r="1592" spans="1:8" ht="20">
      <c r="A1592" s="200"/>
      <c r="B1592" s="8"/>
      <c r="C1592" s="8"/>
      <c r="D1592" s="8"/>
      <c r="E1592" s="81"/>
      <c r="F1592" s="34"/>
      <c r="G1592" s="34"/>
      <c r="H1592" s="34"/>
    </row>
    <row r="1593" spans="1:8" ht="20">
      <c r="A1593" s="200"/>
      <c r="B1593" s="8"/>
      <c r="C1593" s="8"/>
      <c r="D1593" s="8"/>
      <c r="E1593" s="81"/>
      <c r="F1593" s="34"/>
      <c r="G1593" s="34"/>
      <c r="H1593" s="34"/>
    </row>
    <row r="1594" spans="1:8" ht="20">
      <c r="A1594" s="200"/>
      <c r="B1594" s="8"/>
      <c r="C1594" s="8"/>
      <c r="D1594" s="8"/>
      <c r="E1594" s="81"/>
      <c r="F1594" s="34"/>
      <c r="G1594" s="34"/>
      <c r="H1594" s="34"/>
    </row>
    <row r="1595" spans="1:8" ht="20">
      <c r="A1595" s="200"/>
      <c r="B1595" s="8"/>
      <c r="C1595" s="8"/>
      <c r="D1595" s="8"/>
      <c r="E1595" s="81"/>
      <c r="F1595" s="34"/>
      <c r="G1595" s="34"/>
      <c r="H1595" s="34"/>
    </row>
    <row r="1596" spans="1:8" ht="20">
      <c r="A1596" s="200"/>
      <c r="B1596" s="8"/>
      <c r="C1596" s="8"/>
      <c r="D1596" s="8"/>
      <c r="E1596" s="81"/>
      <c r="F1596" s="34"/>
      <c r="G1596" s="34"/>
      <c r="H1596" s="34"/>
    </row>
    <row r="1597" spans="1:8" ht="20">
      <c r="A1597" s="200"/>
      <c r="B1597" s="8"/>
      <c r="C1597" s="8"/>
      <c r="D1597" s="8"/>
      <c r="E1597" s="81"/>
      <c r="F1597" s="34"/>
      <c r="G1597" s="34"/>
      <c r="H1597" s="34"/>
    </row>
    <row r="1598" spans="1:8" ht="20">
      <c r="A1598" s="200"/>
      <c r="B1598" s="8"/>
      <c r="C1598" s="8"/>
      <c r="D1598" s="8"/>
      <c r="E1598" s="81"/>
      <c r="F1598" s="34"/>
      <c r="G1598" s="34"/>
      <c r="H1598" s="34"/>
    </row>
    <row r="1599" spans="1:8" ht="20">
      <c r="A1599" s="200"/>
      <c r="B1599" s="8"/>
      <c r="C1599" s="8"/>
      <c r="D1599" s="8"/>
      <c r="E1599" s="81"/>
      <c r="F1599" s="34"/>
      <c r="G1599" s="34"/>
      <c r="H1599" s="34"/>
    </row>
    <row r="1600" spans="1:8" ht="20">
      <c r="A1600" s="200"/>
      <c r="B1600" s="8"/>
      <c r="C1600" s="8"/>
      <c r="D1600" s="8"/>
      <c r="E1600" s="81"/>
      <c r="F1600" s="34"/>
      <c r="G1600" s="34"/>
      <c r="H1600" s="34"/>
    </row>
    <row r="1601" spans="1:8" ht="20">
      <c r="A1601" s="200"/>
      <c r="B1601" s="8"/>
      <c r="C1601" s="8"/>
      <c r="D1601" s="8"/>
      <c r="E1601" s="81"/>
      <c r="F1601" s="34"/>
      <c r="G1601" s="34"/>
      <c r="H1601" s="34"/>
    </row>
    <row r="1602" spans="1:8" ht="20">
      <c r="A1602" s="200"/>
      <c r="B1602" s="8"/>
      <c r="C1602" s="8"/>
      <c r="D1602" s="8"/>
      <c r="E1602" s="81"/>
      <c r="F1602" s="34"/>
      <c r="G1602" s="34"/>
      <c r="H1602" s="34"/>
    </row>
    <row r="1603" spans="1:8" ht="20">
      <c r="A1603" s="200"/>
      <c r="B1603" s="8"/>
      <c r="C1603" s="8"/>
      <c r="D1603" s="8"/>
      <c r="E1603" s="81"/>
      <c r="F1603" s="34"/>
      <c r="G1603" s="34"/>
      <c r="H1603" s="34"/>
    </row>
    <row r="1604" spans="1:8" ht="20">
      <c r="A1604" s="200"/>
      <c r="B1604" s="8"/>
      <c r="C1604" s="8"/>
      <c r="D1604" s="8"/>
      <c r="E1604" s="81"/>
      <c r="F1604" s="34"/>
      <c r="G1604" s="34"/>
      <c r="H1604" s="34"/>
    </row>
    <row r="1605" spans="1:8" ht="20">
      <c r="A1605" s="200"/>
      <c r="B1605" s="8"/>
      <c r="C1605" s="8"/>
      <c r="D1605" s="8"/>
      <c r="E1605" s="81"/>
      <c r="F1605" s="34"/>
      <c r="G1605" s="34"/>
      <c r="H1605" s="34"/>
    </row>
    <row r="1606" spans="1:8" ht="20">
      <c r="A1606" s="200"/>
      <c r="B1606" s="8"/>
      <c r="C1606" s="8"/>
      <c r="D1606" s="8"/>
      <c r="E1606" s="81"/>
      <c r="F1606" s="34"/>
      <c r="G1606" s="34"/>
      <c r="H1606" s="34"/>
    </row>
    <row r="1607" spans="1:8" ht="20">
      <c r="A1607" s="200"/>
      <c r="B1607" s="8"/>
      <c r="C1607" s="8"/>
      <c r="D1607" s="8"/>
      <c r="E1607" s="81"/>
      <c r="F1607" s="34"/>
      <c r="G1607" s="34"/>
      <c r="H1607" s="34"/>
    </row>
    <row r="1608" spans="1:8" ht="20">
      <c r="A1608" s="200"/>
      <c r="B1608" s="8"/>
      <c r="C1608" s="8"/>
      <c r="D1608" s="8"/>
      <c r="E1608" s="81"/>
      <c r="F1608" s="34"/>
      <c r="G1608" s="34"/>
      <c r="H1608" s="34"/>
    </row>
    <row r="1609" spans="1:8" ht="20">
      <c r="A1609" s="200"/>
      <c r="B1609" s="8"/>
      <c r="C1609" s="8"/>
      <c r="D1609" s="8"/>
      <c r="E1609" s="81"/>
      <c r="F1609" s="34"/>
      <c r="G1609" s="34"/>
      <c r="H1609" s="34"/>
    </row>
    <row r="1610" spans="1:8" ht="20">
      <c r="A1610" s="200"/>
      <c r="B1610" s="8"/>
      <c r="C1610" s="8"/>
      <c r="D1610" s="8"/>
      <c r="E1610" s="81"/>
      <c r="F1610" s="34"/>
      <c r="G1610" s="34"/>
      <c r="H1610" s="34"/>
    </row>
    <row r="1611" spans="1:8" ht="20">
      <c r="A1611" s="200"/>
      <c r="B1611" s="8"/>
      <c r="C1611" s="8"/>
      <c r="D1611" s="8"/>
      <c r="E1611" s="81"/>
      <c r="F1611" s="34"/>
      <c r="G1611" s="34"/>
      <c r="H1611" s="34"/>
    </row>
    <row r="1612" spans="1:8" ht="20">
      <c r="A1612" s="200"/>
      <c r="B1612" s="8"/>
      <c r="C1612" s="8"/>
      <c r="D1612" s="8"/>
      <c r="E1612" s="81"/>
      <c r="F1612" s="34"/>
      <c r="G1612" s="34"/>
      <c r="H1612" s="34"/>
    </row>
    <row r="1613" spans="1:8" ht="20">
      <c r="A1613" s="200"/>
      <c r="B1613" s="8"/>
      <c r="C1613" s="8"/>
      <c r="D1613" s="8"/>
      <c r="E1613" s="81"/>
      <c r="F1613" s="34"/>
      <c r="G1613" s="34"/>
      <c r="H1613" s="34"/>
    </row>
    <row r="1614" spans="1:8" ht="20">
      <c r="A1614" s="200"/>
      <c r="B1614" s="8"/>
      <c r="C1614" s="8"/>
      <c r="D1614" s="8"/>
      <c r="E1614" s="81"/>
      <c r="F1614" s="34"/>
      <c r="G1614" s="34"/>
      <c r="H1614" s="34"/>
    </row>
    <row r="1615" spans="1:8" ht="20">
      <c r="A1615" s="200"/>
      <c r="B1615" s="8"/>
      <c r="C1615" s="8"/>
      <c r="D1615" s="8"/>
      <c r="E1615" s="81"/>
      <c r="F1615" s="34"/>
      <c r="G1615" s="34"/>
      <c r="H1615" s="34"/>
    </row>
    <row r="1616" spans="1:8" ht="20">
      <c r="A1616" s="200"/>
      <c r="B1616" s="8"/>
      <c r="C1616" s="8"/>
      <c r="D1616" s="8"/>
      <c r="E1616" s="81"/>
      <c r="F1616" s="34"/>
      <c r="G1616" s="34"/>
      <c r="H1616" s="34"/>
    </row>
    <row r="1617" spans="1:8" ht="20">
      <c r="A1617" s="200"/>
      <c r="B1617" s="8"/>
      <c r="C1617" s="8"/>
      <c r="D1617" s="8"/>
      <c r="E1617" s="81"/>
      <c r="F1617" s="34"/>
      <c r="G1617" s="34"/>
      <c r="H1617" s="34"/>
    </row>
    <row r="1618" spans="1:8" ht="20">
      <c r="A1618" s="200"/>
      <c r="B1618" s="8"/>
      <c r="C1618" s="8"/>
      <c r="D1618" s="8"/>
      <c r="E1618" s="81"/>
      <c r="F1618" s="34"/>
      <c r="G1618" s="34"/>
      <c r="H1618" s="34"/>
    </row>
    <row r="1619" spans="1:8" ht="20">
      <c r="A1619" s="200"/>
      <c r="B1619" s="8"/>
      <c r="C1619" s="8"/>
      <c r="D1619" s="8"/>
      <c r="E1619" s="81"/>
      <c r="F1619" s="34"/>
      <c r="G1619" s="34"/>
      <c r="H1619" s="34"/>
    </row>
    <row r="1620" spans="1:8" ht="20">
      <c r="A1620" s="200"/>
      <c r="B1620" s="8"/>
      <c r="C1620" s="8"/>
      <c r="D1620" s="8"/>
      <c r="E1620" s="81"/>
      <c r="F1620" s="34"/>
      <c r="G1620" s="34"/>
      <c r="H1620" s="34"/>
    </row>
    <row r="1621" spans="1:8" ht="20">
      <c r="A1621" s="200"/>
      <c r="B1621" s="8"/>
      <c r="C1621" s="8"/>
      <c r="D1621" s="8"/>
      <c r="E1621" s="81"/>
      <c r="F1621" s="34"/>
      <c r="G1621" s="34"/>
      <c r="H1621" s="34"/>
    </row>
    <row r="1622" spans="1:8" ht="20">
      <c r="A1622" s="200"/>
      <c r="B1622" s="8"/>
      <c r="C1622" s="8"/>
      <c r="D1622" s="8"/>
      <c r="E1622" s="81"/>
      <c r="F1622" s="34"/>
      <c r="G1622" s="34"/>
      <c r="H1622" s="34"/>
    </row>
    <row r="1623" spans="1:8" ht="20">
      <c r="A1623" s="200"/>
      <c r="B1623" s="8"/>
      <c r="C1623" s="8"/>
      <c r="D1623" s="8"/>
      <c r="E1623" s="81"/>
      <c r="F1623" s="34"/>
      <c r="G1623" s="34"/>
      <c r="H1623" s="34"/>
    </row>
    <row r="1624" spans="1:8" ht="20">
      <c r="A1624" s="200"/>
      <c r="B1624" s="8"/>
      <c r="C1624" s="8"/>
      <c r="D1624" s="8"/>
      <c r="E1624" s="81"/>
      <c r="F1624" s="34"/>
      <c r="G1624" s="34"/>
      <c r="H1624" s="34"/>
    </row>
    <row r="1625" spans="1:8" ht="20">
      <c r="A1625" s="200"/>
      <c r="B1625" s="8"/>
      <c r="C1625" s="8"/>
      <c r="D1625" s="8"/>
      <c r="E1625" s="81"/>
      <c r="F1625" s="34"/>
      <c r="G1625" s="34"/>
      <c r="H1625" s="34"/>
    </row>
    <row r="1626" spans="1:8" ht="20">
      <c r="A1626" s="200"/>
      <c r="B1626" s="8"/>
      <c r="C1626" s="8"/>
      <c r="D1626" s="8"/>
      <c r="E1626" s="81"/>
      <c r="F1626" s="34"/>
      <c r="G1626" s="34"/>
      <c r="H1626" s="34"/>
    </row>
    <row r="1627" spans="1:8" ht="20">
      <c r="A1627" s="200"/>
      <c r="B1627" s="8"/>
      <c r="C1627" s="8"/>
      <c r="D1627" s="8"/>
      <c r="E1627" s="81"/>
      <c r="F1627" s="34"/>
      <c r="G1627" s="34"/>
      <c r="H1627" s="34"/>
    </row>
    <row r="1628" spans="1:8" ht="20">
      <c r="A1628" s="200"/>
      <c r="B1628" s="8"/>
      <c r="C1628" s="8"/>
      <c r="D1628" s="8"/>
      <c r="E1628" s="81"/>
      <c r="F1628" s="34"/>
      <c r="G1628" s="34"/>
      <c r="H1628" s="34"/>
    </row>
    <row r="1629" spans="1:8" ht="20">
      <c r="A1629" s="200"/>
      <c r="B1629" s="8"/>
      <c r="C1629" s="8"/>
      <c r="D1629" s="8"/>
      <c r="E1629" s="81"/>
      <c r="F1629" s="34"/>
      <c r="G1629" s="34"/>
      <c r="H1629" s="34"/>
    </row>
    <row r="1630" spans="1:8" ht="20">
      <c r="A1630" s="200"/>
      <c r="B1630" s="8"/>
      <c r="C1630" s="8"/>
      <c r="D1630" s="8"/>
      <c r="E1630" s="81"/>
      <c r="F1630" s="34"/>
      <c r="G1630" s="34"/>
      <c r="H1630" s="34"/>
    </row>
    <row r="1631" spans="1:8" ht="20">
      <c r="A1631" s="200"/>
      <c r="B1631" s="8"/>
      <c r="C1631" s="8"/>
      <c r="D1631" s="8"/>
      <c r="E1631" s="81"/>
      <c r="F1631" s="34"/>
      <c r="G1631" s="34"/>
      <c r="H1631" s="34"/>
    </row>
    <row r="1632" spans="1:8" ht="20">
      <c r="A1632" s="200"/>
      <c r="B1632" s="8"/>
      <c r="C1632" s="8"/>
      <c r="D1632" s="8"/>
      <c r="E1632" s="81"/>
      <c r="F1632" s="34"/>
      <c r="G1632" s="34"/>
      <c r="H1632" s="34"/>
    </row>
    <row r="1633" spans="1:8" ht="20">
      <c r="A1633" s="200"/>
      <c r="B1633" s="8"/>
      <c r="C1633" s="8"/>
      <c r="D1633" s="8"/>
      <c r="E1633" s="81"/>
      <c r="F1633" s="34"/>
      <c r="G1633" s="34"/>
      <c r="H1633" s="34"/>
    </row>
    <row r="1634" spans="1:8" ht="20">
      <c r="A1634" s="200"/>
      <c r="B1634" s="8"/>
      <c r="C1634" s="8"/>
      <c r="D1634" s="8"/>
      <c r="E1634" s="81"/>
      <c r="F1634" s="34"/>
      <c r="G1634" s="34"/>
      <c r="H1634" s="34"/>
    </row>
    <row r="1635" spans="1:8" ht="20">
      <c r="A1635" s="200"/>
      <c r="B1635" s="8"/>
      <c r="C1635" s="8"/>
      <c r="D1635" s="8"/>
      <c r="E1635" s="81"/>
      <c r="F1635" s="34"/>
      <c r="G1635" s="34"/>
      <c r="H1635" s="34"/>
    </row>
    <row r="1636" spans="1:8" ht="20">
      <c r="A1636" s="200"/>
      <c r="B1636" s="8"/>
      <c r="C1636" s="8"/>
      <c r="D1636" s="8"/>
      <c r="E1636" s="81"/>
      <c r="F1636" s="34"/>
      <c r="G1636" s="34"/>
      <c r="H1636" s="34"/>
    </row>
    <row r="1637" spans="1:8" ht="20">
      <c r="A1637" s="200"/>
      <c r="B1637" s="8"/>
      <c r="C1637" s="8"/>
      <c r="D1637" s="8"/>
      <c r="E1637" s="81"/>
      <c r="F1637" s="34"/>
      <c r="G1637" s="34"/>
      <c r="H1637" s="34"/>
    </row>
    <row r="1638" spans="1:8" ht="20">
      <c r="A1638" s="200"/>
      <c r="B1638" s="8"/>
      <c r="C1638" s="8"/>
      <c r="D1638" s="8"/>
      <c r="E1638" s="81"/>
      <c r="F1638" s="34"/>
      <c r="G1638" s="34"/>
      <c r="H1638" s="34"/>
    </row>
    <row r="1639" spans="1:8" ht="20">
      <c r="A1639" s="200"/>
      <c r="B1639" s="8"/>
      <c r="C1639" s="8"/>
      <c r="D1639" s="8"/>
      <c r="E1639" s="81"/>
      <c r="F1639" s="34"/>
      <c r="G1639" s="34"/>
      <c r="H1639" s="34"/>
    </row>
    <row r="1640" spans="1:8" ht="20">
      <c r="A1640" s="200"/>
      <c r="B1640" s="8"/>
      <c r="C1640" s="8"/>
      <c r="D1640" s="8"/>
      <c r="E1640" s="81"/>
      <c r="F1640" s="34"/>
      <c r="G1640" s="34"/>
      <c r="H1640" s="34"/>
    </row>
    <row r="1641" spans="1:8" ht="20">
      <c r="A1641" s="200"/>
      <c r="B1641" s="8"/>
      <c r="C1641" s="8"/>
      <c r="D1641" s="8"/>
      <c r="E1641" s="81"/>
      <c r="F1641" s="34"/>
      <c r="G1641" s="34"/>
      <c r="H1641" s="34"/>
    </row>
    <row r="1642" spans="1:8" ht="20">
      <c r="A1642" s="200"/>
      <c r="B1642" s="8"/>
      <c r="C1642" s="8"/>
      <c r="D1642" s="8"/>
      <c r="E1642" s="81"/>
      <c r="F1642" s="34"/>
      <c r="G1642" s="34"/>
      <c r="H1642" s="34"/>
    </row>
    <row r="1643" spans="1:8" ht="20">
      <c r="A1643" s="200"/>
      <c r="B1643" s="8"/>
      <c r="C1643" s="8"/>
      <c r="D1643" s="8"/>
      <c r="E1643" s="81"/>
      <c r="F1643" s="34"/>
      <c r="G1643" s="34"/>
      <c r="H1643" s="34"/>
    </row>
    <row r="1644" spans="1:8" ht="20">
      <c r="A1644" s="200"/>
      <c r="B1644" s="8"/>
      <c r="C1644" s="8"/>
      <c r="D1644" s="8"/>
      <c r="E1644" s="81"/>
      <c r="F1644" s="34"/>
      <c r="G1644" s="34"/>
      <c r="H1644" s="34"/>
    </row>
    <row r="1645" spans="1:8" ht="20">
      <c r="A1645" s="200"/>
      <c r="B1645" s="8"/>
      <c r="C1645" s="8"/>
      <c r="D1645" s="8"/>
      <c r="E1645" s="81"/>
      <c r="F1645" s="34"/>
      <c r="G1645" s="34"/>
      <c r="H1645" s="34"/>
    </row>
    <row r="1646" spans="1:8" ht="20">
      <c r="A1646" s="200"/>
      <c r="B1646" s="8"/>
      <c r="C1646" s="8"/>
      <c r="D1646" s="8"/>
      <c r="E1646" s="81"/>
      <c r="F1646" s="34"/>
      <c r="G1646" s="34"/>
      <c r="H1646" s="34"/>
    </row>
    <row r="1647" spans="1:8" ht="20">
      <c r="A1647" s="200"/>
      <c r="B1647" s="8"/>
      <c r="C1647" s="8"/>
      <c r="D1647" s="8"/>
      <c r="E1647" s="81"/>
      <c r="F1647" s="34"/>
      <c r="G1647" s="34"/>
      <c r="H1647" s="34"/>
    </row>
    <row r="1648" spans="1:8" ht="20">
      <c r="A1648" s="200"/>
      <c r="B1648" s="8"/>
      <c r="C1648" s="8"/>
      <c r="D1648" s="8"/>
      <c r="E1648" s="81"/>
      <c r="F1648" s="34"/>
      <c r="G1648" s="34"/>
      <c r="H1648" s="34"/>
    </row>
    <row r="1649" spans="1:8" ht="20">
      <c r="A1649" s="200"/>
      <c r="B1649" s="8"/>
      <c r="C1649" s="8"/>
      <c r="D1649" s="8"/>
      <c r="E1649" s="81"/>
      <c r="F1649" s="34"/>
      <c r="G1649" s="34"/>
      <c r="H1649" s="34"/>
    </row>
    <row r="1650" spans="1:8" ht="20">
      <c r="A1650" s="200"/>
      <c r="B1650" s="8"/>
      <c r="C1650" s="8"/>
      <c r="D1650" s="8"/>
      <c r="E1650" s="81"/>
      <c r="F1650" s="34"/>
      <c r="G1650" s="34"/>
      <c r="H1650" s="34"/>
    </row>
    <row r="1651" spans="1:8" ht="20">
      <c r="A1651" s="200"/>
      <c r="B1651" s="8"/>
      <c r="C1651" s="8"/>
      <c r="D1651" s="8"/>
      <c r="E1651" s="81"/>
      <c r="F1651" s="34"/>
      <c r="G1651" s="34"/>
      <c r="H1651" s="34"/>
    </row>
    <row r="1652" spans="1:8" ht="20">
      <c r="A1652" s="200"/>
      <c r="B1652" s="8"/>
      <c r="C1652" s="8"/>
      <c r="D1652" s="8"/>
      <c r="E1652" s="81"/>
      <c r="F1652" s="34"/>
      <c r="G1652" s="34"/>
      <c r="H1652" s="34"/>
    </row>
    <row r="1653" spans="1:8" ht="20">
      <c r="A1653" s="200"/>
      <c r="B1653" s="8"/>
      <c r="C1653" s="8"/>
      <c r="D1653" s="8"/>
      <c r="E1653" s="81"/>
      <c r="F1653" s="34"/>
      <c r="G1653" s="34"/>
      <c r="H1653" s="34"/>
    </row>
    <row r="1654" spans="1:8" ht="20">
      <c r="A1654" s="200"/>
      <c r="B1654" s="8"/>
      <c r="C1654" s="8"/>
      <c r="D1654" s="8"/>
      <c r="E1654" s="81"/>
      <c r="F1654" s="34"/>
      <c r="G1654" s="34"/>
      <c r="H1654" s="34"/>
    </row>
    <row r="1655" spans="1:8" ht="20">
      <c r="A1655" s="200"/>
      <c r="B1655" s="8"/>
      <c r="C1655" s="8"/>
      <c r="D1655" s="8"/>
      <c r="E1655" s="81"/>
      <c r="F1655" s="34"/>
      <c r="G1655" s="34"/>
      <c r="H1655" s="34"/>
    </row>
    <row r="1656" spans="1:8" ht="20">
      <c r="A1656" s="200"/>
      <c r="B1656" s="8"/>
      <c r="C1656" s="8"/>
      <c r="D1656" s="8"/>
      <c r="E1656" s="81"/>
      <c r="F1656" s="34"/>
      <c r="G1656" s="34"/>
      <c r="H1656" s="34"/>
    </row>
    <row r="1657" spans="1:8" ht="20">
      <c r="A1657" s="200"/>
      <c r="B1657" s="8"/>
      <c r="C1657" s="8"/>
      <c r="D1657" s="8"/>
      <c r="E1657" s="81"/>
      <c r="F1657" s="34"/>
      <c r="G1657" s="34"/>
      <c r="H1657" s="34"/>
    </row>
    <row r="1658" spans="1:8" ht="20">
      <c r="A1658" s="200"/>
      <c r="B1658" s="8"/>
      <c r="C1658" s="8"/>
      <c r="D1658" s="8"/>
      <c r="E1658" s="81"/>
      <c r="F1658" s="34"/>
      <c r="G1658" s="34"/>
      <c r="H1658" s="34"/>
    </row>
    <row r="1659" spans="1:8" ht="20">
      <c r="A1659" s="200"/>
      <c r="B1659" s="8"/>
      <c r="C1659" s="8"/>
      <c r="D1659" s="8"/>
      <c r="E1659" s="81"/>
      <c r="F1659" s="34"/>
      <c r="G1659" s="34"/>
      <c r="H1659" s="34"/>
    </row>
    <row r="1660" spans="1:8" ht="20">
      <c r="A1660" s="200"/>
      <c r="B1660" s="8"/>
      <c r="C1660" s="8"/>
      <c r="D1660" s="8"/>
      <c r="E1660" s="81"/>
      <c r="F1660" s="34"/>
      <c r="G1660" s="34"/>
      <c r="H1660" s="34"/>
    </row>
    <row r="1661" spans="1:8" ht="20">
      <c r="A1661" s="200"/>
      <c r="B1661" s="8"/>
      <c r="C1661" s="8"/>
      <c r="D1661" s="8"/>
      <c r="E1661" s="81"/>
      <c r="F1661" s="34"/>
      <c r="G1661" s="34"/>
      <c r="H1661" s="34"/>
    </row>
    <row r="1662" spans="1:8" ht="20">
      <c r="A1662" s="200"/>
      <c r="B1662" s="8"/>
      <c r="C1662" s="8"/>
      <c r="D1662" s="8"/>
      <c r="E1662" s="81"/>
      <c r="F1662" s="34"/>
      <c r="G1662" s="34"/>
      <c r="H1662" s="34"/>
    </row>
    <row r="1663" spans="1:8" ht="20">
      <c r="A1663" s="200"/>
      <c r="B1663" s="8"/>
      <c r="C1663" s="8"/>
      <c r="D1663" s="8"/>
      <c r="E1663" s="81"/>
      <c r="F1663" s="34"/>
      <c r="G1663" s="34"/>
      <c r="H1663" s="34"/>
    </row>
    <row r="1664" spans="1:8" ht="20">
      <c r="A1664" s="200"/>
      <c r="B1664" s="8"/>
      <c r="C1664" s="8"/>
      <c r="D1664" s="8"/>
      <c r="E1664" s="81"/>
      <c r="F1664" s="34"/>
      <c r="G1664" s="34"/>
      <c r="H1664" s="34"/>
    </row>
    <row r="1665" spans="1:8" ht="20">
      <c r="A1665" s="200"/>
      <c r="B1665" s="8"/>
      <c r="C1665" s="8"/>
      <c r="D1665" s="8"/>
      <c r="E1665" s="81"/>
      <c r="F1665" s="34"/>
      <c r="G1665" s="34"/>
      <c r="H1665" s="34"/>
    </row>
    <row r="1666" spans="1:8" ht="20">
      <c r="A1666" s="200"/>
      <c r="B1666" s="8"/>
      <c r="C1666" s="8"/>
      <c r="D1666" s="8"/>
      <c r="E1666" s="81"/>
      <c r="F1666" s="34"/>
      <c r="G1666" s="34"/>
      <c r="H1666" s="34"/>
    </row>
    <row r="1667" spans="1:8" ht="20">
      <c r="A1667" s="200"/>
      <c r="B1667" s="8"/>
      <c r="C1667" s="8"/>
      <c r="D1667" s="8"/>
      <c r="E1667" s="81"/>
      <c r="F1667" s="34"/>
      <c r="G1667" s="34"/>
      <c r="H1667" s="34"/>
    </row>
    <row r="1668" spans="1:8" ht="20">
      <c r="A1668" s="200"/>
      <c r="B1668" s="8"/>
      <c r="C1668" s="8"/>
      <c r="D1668" s="8"/>
      <c r="E1668" s="81"/>
      <c r="F1668" s="34"/>
      <c r="G1668" s="34"/>
      <c r="H1668" s="34"/>
    </row>
    <row r="1669" spans="1:8" ht="20">
      <c r="A1669" s="200"/>
      <c r="B1669" s="8"/>
      <c r="C1669" s="8"/>
      <c r="D1669" s="8"/>
      <c r="E1669" s="81"/>
      <c r="F1669" s="34"/>
      <c r="G1669" s="34"/>
      <c r="H1669" s="34"/>
    </row>
    <row r="1670" spans="1:8" ht="20">
      <c r="A1670" s="200"/>
      <c r="B1670" s="8"/>
      <c r="C1670" s="8"/>
      <c r="D1670" s="8"/>
      <c r="E1670" s="81"/>
      <c r="F1670" s="34"/>
      <c r="G1670" s="34"/>
      <c r="H1670" s="34"/>
    </row>
    <row r="1671" spans="1:8" ht="20">
      <c r="A1671" s="200"/>
      <c r="B1671" s="8"/>
      <c r="C1671" s="8"/>
      <c r="D1671" s="8"/>
      <c r="E1671" s="81"/>
      <c r="F1671" s="34"/>
      <c r="G1671" s="34"/>
      <c r="H1671" s="34"/>
    </row>
    <row r="1672" spans="1:8" ht="20">
      <c r="A1672" s="200"/>
      <c r="B1672" s="8"/>
      <c r="C1672" s="8"/>
      <c r="D1672" s="8"/>
      <c r="E1672" s="81"/>
      <c r="F1672" s="34"/>
      <c r="G1672" s="34"/>
      <c r="H1672" s="34"/>
    </row>
    <row r="1673" spans="1:8" ht="20">
      <c r="A1673" s="200"/>
      <c r="B1673" s="8"/>
      <c r="C1673" s="8"/>
      <c r="D1673" s="8"/>
      <c r="E1673" s="81"/>
      <c r="F1673" s="34"/>
      <c r="G1673" s="34"/>
      <c r="H1673" s="34"/>
    </row>
    <row r="1674" spans="1:8" ht="20">
      <c r="A1674" s="200"/>
      <c r="B1674" s="8"/>
      <c r="C1674" s="8"/>
      <c r="D1674" s="8"/>
      <c r="E1674" s="81"/>
      <c r="F1674" s="34"/>
      <c r="G1674" s="34"/>
      <c r="H1674" s="34"/>
    </row>
    <row r="1675" spans="1:8" ht="20">
      <c r="A1675" s="200"/>
      <c r="B1675" s="8"/>
      <c r="C1675" s="8"/>
      <c r="D1675" s="8"/>
      <c r="E1675" s="81"/>
      <c r="F1675" s="34"/>
      <c r="G1675" s="34"/>
      <c r="H1675" s="34"/>
    </row>
    <row r="1676" spans="1:8" ht="20">
      <c r="A1676" s="200"/>
      <c r="B1676" s="8"/>
      <c r="C1676" s="8"/>
      <c r="D1676" s="8"/>
      <c r="E1676" s="81"/>
      <c r="F1676" s="34"/>
      <c r="G1676" s="34"/>
      <c r="H1676" s="34"/>
    </row>
    <row r="1677" spans="1:8" ht="20">
      <c r="A1677" s="200"/>
      <c r="B1677" s="8"/>
      <c r="C1677" s="8"/>
      <c r="D1677" s="8"/>
      <c r="E1677" s="81"/>
      <c r="F1677" s="34"/>
      <c r="G1677" s="34"/>
      <c r="H1677" s="34"/>
    </row>
    <row r="1678" spans="1:8" ht="20">
      <c r="A1678" s="200"/>
      <c r="B1678" s="8"/>
      <c r="C1678" s="8"/>
      <c r="D1678" s="8"/>
      <c r="E1678" s="81"/>
      <c r="F1678" s="34"/>
      <c r="G1678" s="34"/>
      <c r="H1678" s="34"/>
    </row>
    <row r="1679" spans="1:8" ht="20">
      <c r="A1679" s="200"/>
      <c r="B1679" s="8"/>
      <c r="C1679" s="8"/>
      <c r="D1679" s="8"/>
      <c r="E1679" s="81"/>
      <c r="F1679" s="34"/>
      <c r="G1679" s="34"/>
      <c r="H1679" s="34"/>
    </row>
    <row r="1680" spans="1:8" ht="20">
      <c r="A1680" s="200"/>
      <c r="B1680" s="8"/>
      <c r="C1680" s="8"/>
      <c r="D1680" s="8"/>
      <c r="E1680" s="81"/>
      <c r="F1680" s="34"/>
      <c r="G1680" s="34"/>
      <c r="H1680" s="34"/>
    </row>
    <row r="1681" spans="1:8" ht="20">
      <c r="A1681" s="200"/>
      <c r="B1681" s="8"/>
      <c r="C1681" s="8"/>
      <c r="D1681" s="8"/>
      <c r="E1681" s="81"/>
      <c r="F1681" s="34"/>
      <c r="G1681" s="34"/>
      <c r="H1681" s="34"/>
    </row>
    <row r="1682" spans="1:8" ht="20">
      <c r="A1682" s="200"/>
      <c r="B1682" s="8"/>
      <c r="C1682" s="8"/>
      <c r="D1682" s="8"/>
      <c r="E1682" s="81"/>
      <c r="F1682" s="34"/>
      <c r="G1682" s="34"/>
      <c r="H1682" s="34"/>
    </row>
    <row r="1683" spans="1:8" ht="20">
      <c r="A1683" s="200"/>
      <c r="B1683" s="8"/>
      <c r="C1683" s="8"/>
      <c r="D1683" s="8"/>
      <c r="E1683" s="81"/>
      <c r="F1683" s="34"/>
      <c r="G1683" s="34"/>
      <c r="H1683" s="34"/>
    </row>
    <row r="1684" spans="1:8" ht="20">
      <c r="A1684" s="200"/>
      <c r="B1684" s="8"/>
      <c r="C1684" s="8"/>
      <c r="D1684" s="8"/>
      <c r="E1684" s="81"/>
      <c r="F1684" s="34"/>
      <c r="G1684" s="34"/>
      <c r="H1684" s="34"/>
    </row>
    <row r="1685" spans="1:8" ht="20">
      <c r="A1685" s="200"/>
      <c r="B1685" s="8"/>
      <c r="C1685" s="8"/>
      <c r="D1685" s="8"/>
      <c r="E1685" s="81"/>
      <c r="F1685" s="34"/>
      <c r="G1685" s="34"/>
      <c r="H1685" s="34"/>
    </row>
    <row r="1686" spans="1:8" ht="20">
      <c r="A1686" s="200"/>
      <c r="B1686" s="8"/>
      <c r="C1686" s="8"/>
      <c r="D1686" s="8"/>
      <c r="E1686" s="81"/>
      <c r="F1686" s="34"/>
      <c r="G1686" s="34"/>
      <c r="H1686" s="34"/>
    </row>
    <row r="1687" spans="1:8" ht="20">
      <c r="A1687" s="200"/>
      <c r="B1687" s="8"/>
      <c r="C1687" s="8"/>
      <c r="D1687" s="8"/>
      <c r="E1687" s="81"/>
      <c r="F1687" s="34"/>
      <c r="G1687" s="34"/>
      <c r="H1687" s="34"/>
    </row>
    <row r="1688" spans="1:8" ht="20">
      <c r="A1688" s="200"/>
      <c r="B1688" s="8"/>
      <c r="C1688" s="8"/>
      <c r="D1688" s="8"/>
      <c r="E1688" s="81"/>
      <c r="F1688" s="34"/>
      <c r="G1688" s="34"/>
      <c r="H1688" s="34"/>
    </row>
    <row r="1689" spans="1:8" ht="20">
      <c r="A1689" s="200"/>
      <c r="B1689" s="8"/>
      <c r="C1689" s="8"/>
      <c r="D1689" s="8"/>
      <c r="E1689" s="81"/>
      <c r="F1689" s="34"/>
      <c r="G1689" s="34"/>
      <c r="H1689" s="34"/>
    </row>
    <row r="1690" spans="1:8" ht="20">
      <c r="A1690" s="200"/>
      <c r="B1690" s="8"/>
      <c r="C1690" s="8"/>
      <c r="D1690" s="8"/>
      <c r="E1690" s="81"/>
      <c r="F1690" s="34"/>
      <c r="G1690" s="34"/>
      <c r="H1690" s="34"/>
    </row>
    <row r="1691" spans="1:8" ht="20">
      <c r="A1691" s="200"/>
      <c r="B1691" s="8"/>
      <c r="C1691" s="8"/>
      <c r="D1691" s="8"/>
      <c r="E1691" s="81"/>
      <c r="F1691" s="34"/>
      <c r="G1691" s="34"/>
      <c r="H1691" s="34"/>
    </row>
    <row r="1692" spans="1:8" ht="20">
      <c r="A1692" s="200"/>
      <c r="B1692" s="8"/>
      <c r="C1692" s="8"/>
      <c r="D1692" s="8"/>
      <c r="E1692" s="81"/>
      <c r="F1692" s="34"/>
      <c r="G1692" s="34"/>
      <c r="H1692" s="34"/>
    </row>
    <row r="1693" spans="1:8" ht="20">
      <c r="A1693" s="200"/>
      <c r="B1693" s="8"/>
      <c r="C1693" s="8"/>
      <c r="D1693" s="8"/>
      <c r="E1693" s="81"/>
      <c r="F1693" s="34"/>
      <c r="G1693" s="34"/>
      <c r="H1693" s="34"/>
    </row>
    <row r="1694" spans="1:8" ht="20">
      <c r="A1694" s="200"/>
      <c r="B1694" s="8"/>
      <c r="C1694" s="8"/>
      <c r="D1694" s="8"/>
      <c r="E1694" s="81"/>
      <c r="F1694" s="34"/>
      <c r="G1694" s="34"/>
      <c r="H1694" s="34"/>
    </row>
    <row r="1695" spans="1:8" ht="20">
      <c r="A1695" s="200"/>
      <c r="B1695" s="8"/>
      <c r="C1695" s="8"/>
      <c r="D1695" s="8"/>
      <c r="E1695" s="81"/>
      <c r="F1695" s="34"/>
      <c r="G1695" s="34"/>
      <c r="H1695" s="34"/>
    </row>
    <row r="1696" spans="1:8" ht="20">
      <c r="A1696" s="200"/>
      <c r="B1696" s="8"/>
      <c r="C1696" s="8"/>
      <c r="D1696" s="8"/>
      <c r="E1696" s="81"/>
      <c r="F1696" s="34"/>
      <c r="G1696" s="34"/>
      <c r="H1696" s="34"/>
    </row>
    <row r="1697" spans="1:8" ht="20">
      <c r="A1697" s="200"/>
      <c r="B1697" s="8"/>
      <c r="C1697" s="8"/>
      <c r="D1697" s="8"/>
      <c r="E1697" s="81"/>
      <c r="F1697" s="34"/>
      <c r="G1697" s="34"/>
      <c r="H1697" s="34"/>
    </row>
    <row r="1698" spans="1:8" ht="20">
      <c r="A1698" s="200"/>
      <c r="B1698" s="8"/>
      <c r="C1698" s="8"/>
      <c r="D1698" s="8"/>
      <c r="E1698" s="81"/>
      <c r="F1698" s="34"/>
      <c r="G1698" s="34"/>
      <c r="H1698" s="34"/>
    </row>
    <row r="1699" spans="1:8" ht="20">
      <c r="A1699" s="200"/>
      <c r="B1699" s="8"/>
      <c r="C1699" s="8"/>
      <c r="D1699" s="8"/>
      <c r="E1699" s="81"/>
      <c r="F1699" s="34"/>
      <c r="G1699" s="34"/>
      <c r="H1699" s="34"/>
    </row>
    <row r="1700" spans="1:8" ht="20">
      <c r="A1700" s="200"/>
      <c r="B1700" s="8"/>
      <c r="C1700" s="8"/>
      <c r="D1700" s="8"/>
      <c r="E1700" s="81"/>
      <c r="F1700" s="34"/>
      <c r="G1700" s="34"/>
      <c r="H1700" s="34"/>
    </row>
    <row r="1701" spans="1:8" ht="20">
      <c r="A1701" s="200"/>
      <c r="B1701" s="8"/>
      <c r="C1701" s="8"/>
      <c r="D1701" s="8"/>
      <c r="E1701" s="81"/>
      <c r="F1701" s="34"/>
      <c r="G1701" s="34"/>
      <c r="H1701" s="34"/>
    </row>
    <row r="1702" spans="1:8" ht="20">
      <c r="A1702" s="200"/>
      <c r="B1702" s="8"/>
      <c r="C1702" s="8"/>
      <c r="D1702" s="8"/>
      <c r="E1702" s="81"/>
      <c r="F1702" s="34"/>
      <c r="G1702" s="34"/>
      <c r="H1702" s="34"/>
    </row>
    <row r="1703" spans="1:8" ht="20">
      <c r="A1703" s="200"/>
      <c r="B1703" s="8"/>
      <c r="C1703" s="8"/>
      <c r="D1703" s="8"/>
      <c r="E1703" s="81"/>
      <c r="F1703" s="34"/>
      <c r="G1703" s="34"/>
      <c r="H1703" s="34"/>
    </row>
    <row r="1704" spans="1:8" ht="20">
      <c r="A1704" s="200"/>
      <c r="B1704" s="8"/>
      <c r="C1704" s="8"/>
      <c r="D1704" s="8"/>
      <c r="E1704" s="81"/>
      <c r="F1704" s="34"/>
      <c r="G1704" s="34"/>
      <c r="H1704" s="34"/>
    </row>
    <row r="1705" spans="1:8" ht="20">
      <c r="A1705" s="200"/>
      <c r="B1705" s="8"/>
      <c r="C1705" s="8"/>
      <c r="D1705" s="8"/>
      <c r="E1705" s="81"/>
      <c r="F1705" s="34"/>
      <c r="G1705" s="34"/>
      <c r="H1705" s="34"/>
    </row>
    <row r="1706" spans="1:8" ht="20">
      <c r="A1706" s="200"/>
      <c r="B1706" s="8"/>
      <c r="C1706" s="8"/>
      <c r="D1706" s="8"/>
      <c r="E1706" s="81"/>
      <c r="F1706" s="34"/>
      <c r="G1706" s="34"/>
      <c r="H1706" s="34"/>
    </row>
    <row r="1707" spans="1:8" ht="20">
      <c r="A1707" s="200"/>
      <c r="B1707" s="8"/>
      <c r="C1707" s="8"/>
      <c r="D1707" s="8"/>
      <c r="E1707" s="81"/>
      <c r="F1707" s="34"/>
      <c r="G1707" s="34"/>
      <c r="H1707" s="34"/>
    </row>
    <row r="1708" spans="1:8" ht="20">
      <c r="A1708" s="200"/>
      <c r="B1708" s="8"/>
      <c r="C1708" s="8"/>
      <c r="D1708" s="8"/>
      <c r="E1708" s="81"/>
      <c r="F1708" s="34"/>
      <c r="G1708" s="34"/>
      <c r="H1708" s="34"/>
    </row>
    <row r="1709" spans="1:8" ht="20">
      <c r="A1709" s="200"/>
      <c r="B1709" s="8"/>
      <c r="C1709" s="8"/>
      <c r="D1709" s="8"/>
      <c r="E1709" s="81"/>
      <c r="F1709" s="34"/>
      <c r="G1709" s="34"/>
      <c r="H1709" s="34"/>
    </row>
    <row r="1710" spans="1:8" ht="20">
      <c r="A1710" s="200"/>
      <c r="B1710" s="8"/>
      <c r="C1710" s="8"/>
      <c r="D1710" s="8"/>
      <c r="E1710" s="81"/>
      <c r="F1710" s="34"/>
      <c r="G1710" s="34"/>
      <c r="H1710" s="34"/>
    </row>
    <row r="1711" spans="1:8" ht="20">
      <c r="A1711" s="200"/>
      <c r="B1711" s="8"/>
      <c r="C1711" s="8"/>
      <c r="D1711" s="8"/>
      <c r="E1711" s="81"/>
      <c r="F1711" s="34"/>
      <c r="G1711" s="34"/>
      <c r="H1711" s="34"/>
    </row>
    <row r="1712" spans="1:8" ht="20">
      <c r="A1712" s="200"/>
      <c r="B1712" s="8"/>
      <c r="C1712" s="8"/>
      <c r="D1712" s="8"/>
      <c r="E1712" s="81"/>
      <c r="F1712" s="34"/>
      <c r="G1712" s="34"/>
      <c r="H1712" s="34"/>
    </row>
    <row r="1713" spans="1:8" ht="20">
      <c r="A1713" s="200"/>
      <c r="B1713" s="8"/>
      <c r="C1713" s="8"/>
      <c r="D1713" s="8"/>
      <c r="E1713" s="81"/>
      <c r="F1713" s="34"/>
      <c r="G1713" s="34"/>
      <c r="H1713" s="34"/>
    </row>
    <row r="1714" spans="1:8" ht="20">
      <c r="A1714" s="200"/>
      <c r="B1714" s="8"/>
      <c r="C1714" s="8"/>
      <c r="D1714" s="8"/>
      <c r="E1714" s="81"/>
      <c r="F1714" s="34"/>
      <c r="G1714" s="34"/>
      <c r="H1714" s="34"/>
    </row>
    <row r="1715" spans="1:8" ht="20">
      <c r="A1715" s="200"/>
      <c r="B1715" s="8"/>
      <c r="C1715" s="8"/>
      <c r="D1715" s="8"/>
      <c r="E1715" s="81"/>
      <c r="F1715" s="34"/>
      <c r="G1715" s="34"/>
      <c r="H1715" s="34"/>
    </row>
    <row r="1716" spans="1:8" ht="20">
      <c r="A1716" s="200"/>
      <c r="B1716" s="8"/>
      <c r="C1716" s="8"/>
      <c r="D1716" s="8"/>
      <c r="E1716" s="81"/>
      <c r="F1716" s="34"/>
      <c r="G1716" s="34"/>
      <c r="H1716" s="34"/>
    </row>
    <row r="1717" spans="1:8" ht="20">
      <c r="A1717" s="200"/>
      <c r="B1717" s="8"/>
      <c r="C1717" s="8"/>
      <c r="D1717" s="8"/>
      <c r="E1717" s="81"/>
      <c r="F1717" s="34"/>
      <c r="G1717" s="34"/>
      <c r="H1717" s="34"/>
    </row>
    <row r="1718" spans="1:8" ht="20">
      <c r="A1718" s="200"/>
      <c r="B1718" s="8"/>
      <c r="C1718" s="8"/>
      <c r="D1718" s="8"/>
      <c r="E1718" s="81"/>
      <c r="F1718" s="34"/>
      <c r="G1718" s="34"/>
      <c r="H1718" s="34"/>
    </row>
    <row r="1719" spans="1:8" ht="20">
      <c r="A1719" s="200"/>
      <c r="B1719" s="8"/>
      <c r="C1719" s="8"/>
      <c r="D1719" s="8"/>
      <c r="E1719" s="81"/>
      <c r="F1719" s="34"/>
      <c r="G1719" s="34"/>
      <c r="H1719" s="34"/>
    </row>
    <row r="1720" spans="1:8" ht="20">
      <c r="A1720" s="200"/>
      <c r="B1720" s="8"/>
      <c r="C1720" s="8"/>
      <c r="D1720" s="8"/>
      <c r="E1720" s="81"/>
      <c r="F1720" s="34"/>
      <c r="G1720" s="34"/>
      <c r="H1720" s="34"/>
    </row>
    <row r="1721" spans="1:8" ht="20">
      <c r="A1721" s="200"/>
      <c r="B1721" s="8"/>
      <c r="C1721" s="8"/>
      <c r="D1721" s="8"/>
      <c r="E1721" s="81"/>
      <c r="F1721" s="34"/>
      <c r="G1721" s="34"/>
      <c r="H1721" s="34"/>
    </row>
    <row r="1722" spans="1:8" ht="20">
      <c r="A1722" s="200"/>
      <c r="B1722" s="8"/>
      <c r="C1722" s="8"/>
      <c r="D1722" s="8"/>
      <c r="E1722" s="81"/>
      <c r="F1722" s="34"/>
      <c r="G1722" s="34"/>
      <c r="H1722" s="34"/>
    </row>
    <row r="1723" spans="1:8" ht="20">
      <c r="A1723" s="200"/>
      <c r="B1723" s="8"/>
      <c r="C1723" s="8"/>
      <c r="D1723" s="8"/>
      <c r="E1723" s="81"/>
      <c r="F1723" s="34"/>
      <c r="G1723" s="34"/>
      <c r="H1723" s="34"/>
    </row>
    <row r="1724" spans="1:8" ht="20">
      <c r="A1724" s="200"/>
      <c r="B1724" s="8"/>
      <c r="C1724" s="8"/>
      <c r="D1724" s="8"/>
      <c r="E1724" s="81"/>
      <c r="F1724" s="34"/>
      <c r="G1724" s="34"/>
      <c r="H1724" s="34"/>
    </row>
    <row r="1725" spans="1:8" ht="20">
      <c r="A1725" s="200"/>
      <c r="B1725" s="8"/>
      <c r="C1725" s="8"/>
      <c r="D1725" s="8"/>
      <c r="E1725" s="81"/>
      <c r="F1725" s="34"/>
      <c r="G1725" s="34"/>
      <c r="H1725" s="34"/>
    </row>
    <row r="1726" spans="1:8" ht="20">
      <c r="A1726" s="200"/>
      <c r="B1726" s="8"/>
      <c r="C1726" s="8"/>
      <c r="D1726" s="8"/>
      <c r="E1726" s="81"/>
      <c r="F1726" s="34"/>
      <c r="G1726" s="34"/>
      <c r="H1726" s="34"/>
    </row>
    <row r="1727" spans="1:8" ht="20">
      <c r="A1727" s="200"/>
      <c r="B1727" s="8"/>
      <c r="C1727" s="8"/>
      <c r="D1727" s="8"/>
      <c r="E1727" s="81"/>
      <c r="F1727" s="34"/>
      <c r="G1727" s="34"/>
      <c r="H1727" s="34"/>
    </row>
    <row r="1728" spans="1:8" ht="20">
      <c r="A1728" s="200"/>
      <c r="B1728" s="8"/>
      <c r="C1728" s="8"/>
      <c r="D1728" s="8"/>
      <c r="E1728" s="81"/>
      <c r="F1728" s="34"/>
      <c r="G1728" s="34"/>
      <c r="H1728" s="34"/>
    </row>
    <row r="1729" spans="1:8" ht="20">
      <c r="A1729" s="200"/>
      <c r="B1729" s="8"/>
      <c r="C1729" s="8"/>
      <c r="D1729" s="8"/>
      <c r="E1729" s="81"/>
      <c r="F1729" s="34"/>
      <c r="G1729" s="34"/>
      <c r="H1729" s="34"/>
    </row>
    <row r="1730" spans="1:8" ht="20">
      <c r="A1730" s="200"/>
      <c r="B1730" s="8"/>
      <c r="C1730" s="8"/>
      <c r="D1730" s="8"/>
      <c r="E1730" s="81"/>
      <c r="F1730" s="34"/>
      <c r="G1730" s="34"/>
      <c r="H1730" s="34"/>
    </row>
    <row r="1731" spans="1:8" ht="20">
      <c r="A1731" s="200"/>
      <c r="B1731" s="8"/>
      <c r="C1731" s="8"/>
      <c r="D1731" s="8"/>
      <c r="E1731" s="81"/>
      <c r="F1731" s="34"/>
      <c r="G1731" s="34"/>
      <c r="H1731" s="34"/>
    </row>
    <row r="1732" spans="1:8" ht="20">
      <c r="A1732" s="200"/>
      <c r="B1732" s="8"/>
      <c r="C1732" s="8"/>
      <c r="D1732" s="8"/>
      <c r="E1732" s="81"/>
      <c r="F1732" s="34"/>
      <c r="G1732" s="34"/>
      <c r="H1732" s="34"/>
    </row>
    <row r="1733" spans="1:8" ht="20">
      <c r="A1733" s="200"/>
      <c r="B1733" s="8"/>
      <c r="C1733" s="8"/>
      <c r="D1733" s="8"/>
      <c r="E1733" s="81"/>
      <c r="F1733" s="34"/>
      <c r="G1733" s="34"/>
      <c r="H1733" s="34"/>
    </row>
    <row r="1734" spans="1:8" ht="20">
      <c r="A1734" s="200"/>
      <c r="B1734" s="8"/>
      <c r="C1734" s="8"/>
      <c r="D1734" s="8"/>
      <c r="E1734" s="81"/>
      <c r="F1734" s="34"/>
      <c r="G1734" s="34"/>
      <c r="H1734" s="34"/>
    </row>
    <row r="1735" spans="1:8" ht="20">
      <c r="A1735" s="200"/>
      <c r="B1735" s="8"/>
      <c r="C1735" s="8"/>
      <c r="D1735" s="8"/>
      <c r="E1735" s="81"/>
      <c r="F1735" s="34"/>
      <c r="G1735" s="34"/>
      <c r="H1735" s="34"/>
    </row>
    <row r="1736" spans="1:8" ht="20">
      <c r="A1736" s="200"/>
      <c r="B1736" s="8"/>
      <c r="C1736" s="8"/>
      <c r="D1736" s="8"/>
      <c r="E1736" s="81"/>
      <c r="F1736" s="34"/>
      <c r="G1736" s="34"/>
      <c r="H1736" s="34"/>
    </row>
    <row r="1737" spans="1:8" ht="20">
      <c r="A1737" s="200"/>
      <c r="B1737" s="8"/>
      <c r="C1737" s="8"/>
      <c r="D1737" s="8"/>
      <c r="E1737" s="81"/>
      <c r="F1737" s="34"/>
      <c r="G1737" s="34"/>
      <c r="H1737" s="34"/>
    </row>
    <row r="1738" spans="1:8" ht="20">
      <c r="A1738" s="200"/>
      <c r="B1738" s="8"/>
      <c r="C1738" s="8"/>
      <c r="D1738" s="8"/>
      <c r="E1738" s="81"/>
      <c r="F1738" s="34"/>
      <c r="G1738" s="34"/>
      <c r="H1738" s="34"/>
    </row>
    <row r="1739" spans="1:8" ht="20">
      <c r="A1739" s="200"/>
      <c r="B1739" s="8"/>
      <c r="C1739" s="8"/>
      <c r="D1739" s="8"/>
      <c r="E1739" s="81"/>
      <c r="F1739" s="34"/>
      <c r="G1739" s="34"/>
      <c r="H1739" s="34"/>
    </row>
    <row r="1740" spans="1:8" ht="20">
      <c r="A1740" s="200"/>
      <c r="B1740" s="8"/>
      <c r="C1740" s="8"/>
      <c r="D1740" s="8"/>
      <c r="E1740" s="81"/>
      <c r="F1740" s="34"/>
      <c r="G1740" s="34"/>
      <c r="H1740" s="34"/>
    </row>
    <row r="1741" spans="1:8" ht="20">
      <c r="A1741" s="200"/>
      <c r="B1741" s="8"/>
      <c r="C1741" s="8"/>
      <c r="D1741" s="8"/>
      <c r="E1741" s="81"/>
      <c r="F1741" s="34"/>
      <c r="G1741" s="34"/>
      <c r="H1741" s="34"/>
    </row>
    <row r="1742" spans="1:8" ht="20">
      <c r="A1742" s="200"/>
      <c r="B1742" s="8"/>
      <c r="C1742" s="8"/>
      <c r="D1742" s="8"/>
      <c r="E1742" s="81"/>
      <c r="F1742" s="34"/>
      <c r="G1742" s="34"/>
      <c r="H1742" s="34"/>
    </row>
    <row r="1743" spans="1:8" ht="20">
      <c r="A1743" s="200"/>
      <c r="B1743" s="8"/>
      <c r="C1743" s="8"/>
      <c r="D1743" s="8"/>
      <c r="E1743" s="81"/>
      <c r="F1743" s="34"/>
      <c r="G1743" s="34"/>
      <c r="H1743" s="34"/>
    </row>
    <row r="1744" spans="1:8" ht="20">
      <c r="A1744" s="200"/>
      <c r="B1744" s="8"/>
      <c r="C1744" s="8"/>
      <c r="D1744" s="8"/>
      <c r="E1744" s="81"/>
      <c r="F1744" s="34"/>
      <c r="G1744" s="34"/>
      <c r="H1744" s="34"/>
    </row>
    <row r="1745" spans="1:8" ht="20">
      <c r="A1745" s="200"/>
      <c r="B1745" s="8"/>
      <c r="C1745" s="8"/>
      <c r="D1745" s="8"/>
      <c r="E1745" s="81"/>
      <c r="F1745" s="34"/>
      <c r="G1745" s="34"/>
      <c r="H1745" s="34"/>
    </row>
    <row r="1746" spans="1:8" ht="20">
      <c r="A1746" s="200"/>
      <c r="B1746" s="8"/>
      <c r="C1746" s="8"/>
      <c r="D1746" s="8"/>
      <c r="E1746" s="81"/>
      <c r="F1746" s="34"/>
      <c r="G1746" s="34"/>
      <c r="H1746" s="34"/>
    </row>
    <row r="1747" spans="1:8" ht="20">
      <c r="A1747" s="200"/>
      <c r="B1747" s="8"/>
      <c r="C1747" s="8"/>
      <c r="D1747" s="8"/>
      <c r="E1747" s="81"/>
      <c r="F1747" s="34"/>
      <c r="G1747" s="34"/>
      <c r="H1747" s="34"/>
    </row>
    <row r="1748" spans="1:8" ht="20">
      <c r="A1748" s="200"/>
      <c r="B1748" s="8"/>
      <c r="C1748" s="8"/>
      <c r="D1748" s="8"/>
      <c r="E1748" s="81"/>
      <c r="F1748" s="34"/>
      <c r="G1748" s="34"/>
      <c r="H1748" s="34"/>
    </row>
    <row r="1749" spans="1:8" ht="20">
      <c r="A1749" s="200"/>
      <c r="B1749" s="8"/>
      <c r="C1749" s="8"/>
      <c r="D1749" s="8"/>
      <c r="E1749" s="81"/>
      <c r="F1749" s="34"/>
      <c r="G1749" s="34"/>
      <c r="H1749" s="34"/>
    </row>
    <row r="1750" spans="1:8" ht="20">
      <c r="A1750" s="200"/>
      <c r="B1750" s="8"/>
      <c r="C1750" s="8"/>
      <c r="D1750" s="8"/>
      <c r="E1750" s="81"/>
      <c r="F1750" s="34"/>
      <c r="G1750" s="34"/>
      <c r="H1750" s="34"/>
    </row>
    <row r="1751" spans="1:8" ht="20">
      <c r="A1751" s="200"/>
      <c r="B1751" s="8"/>
      <c r="C1751" s="8"/>
      <c r="D1751" s="8"/>
      <c r="E1751" s="81"/>
      <c r="F1751" s="34"/>
      <c r="G1751" s="34"/>
      <c r="H1751" s="34"/>
    </row>
    <row r="1752" spans="1:8" ht="20">
      <c r="A1752" s="200"/>
      <c r="B1752" s="8"/>
      <c r="C1752" s="8"/>
      <c r="D1752" s="8"/>
      <c r="E1752" s="81"/>
      <c r="F1752" s="34"/>
      <c r="G1752" s="34"/>
      <c r="H1752" s="34"/>
    </row>
    <row r="1753" spans="1:8" ht="20">
      <c r="A1753" s="200"/>
      <c r="B1753" s="8"/>
      <c r="C1753" s="8"/>
      <c r="D1753" s="8"/>
      <c r="E1753" s="81"/>
      <c r="F1753" s="34"/>
      <c r="G1753" s="34"/>
      <c r="H1753" s="34"/>
    </row>
    <row r="1754" spans="1:8" ht="20">
      <c r="A1754" s="200"/>
      <c r="B1754" s="8"/>
      <c r="C1754" s="8"/>
      <c r="D1754" s="8"/>
      <c r="E1754" s="81"/>
      <c r="F1754" s="34"/>
      <c r="G1754" s="34"/>
      <c r="H1754" s="34"/>
    </row>
    <row r="1755" spans="1:8" ht="20">
      <c r="A1755" s="200"/>
      <c r="B1755" s="8"/>
      <c r="C1755" s="8"/>
      <c r="D1755" s="8"/>
      <c r="E1755" s="81"/>
      <c r="F1755" s="34"/>
      <c r="G1755" s="34"/>
      <c r="H1755" s="34"/>
    </row>
    <row r="1756" spans="1:8" ht="20">
      <c r="A1756" s="200"/>
      <c r="B1756" s="8"/>
      <c r="C1756" s="8"/>
      <c r="D1756" s="8"/>
      <c r="E1756" s="81"/>
      <c r="F1756" s="34"/>
      <c r="G1756" s="34"/>
      <c r="H1756" s="34"/>
    </row>
    <row r="1757" spans="1:8" ht="20">
      <c r="A1757" s="200"/>
      <c r="B1757" s="8"/>
      <c r="C1757" s="8"/>
      <c r="D1757" s="8"/>
      <c r="E1757" s="81"/>
      <c r="F1757" s="34"/>
      <c r="G1757" s="34"/>
      <c r="H1757" s="34"/>
    </row>
    <row r="1758" spans="1:8" ht="20">
      <c r="A1758" s="200"/>
      <c r="B1758" s="8"/>
      <c r="C1758" s="8"/>
      <c r="D1758" s="8"/>
      <c r="E1758" s="81"/>
      <c r="F1758" s="34"/>
      <c r="G1758" s="34"/>
      <c r="H1758" s="34"/>
    </row>
    <row r="1759" spans="1:8" ht="20">
      <c r="A1759" s="200"/>
      <c r="B1759" s="8"/>
      <c r="C1759" s="8"/>
      <c r="D1759" s="8"/>
      <c r="E1759" s="81"/>
      <c r="F1759" s="34"/>
      <c r="G1759" s="34"/>
      <c r="H1759" s="34"/>
    </row>
    <row r="1760" spans="1:8" ht="20">
      <c r="A1760" s="200"/>
      <c r="B1760" s="8"/>
      <c r="C1760" s="8"/>
      <c r="D1760" s="8"/>
      <c r="E1760" s="81"/>
      <c r="F1760" s="34"/>
      <c r="G1760" s="34"/>
      <c r="H1760" s="34"/>
    </row>
    <row r="1761" spans="1:8" ht="20">
      <c r="A1761" s="200"/>
      <c r="B1761" s="8"/>
      <c r="C1761" s="8"/>
      <c r="D1761" s="8"/>
      <c r="E1761" s="81"/>
      <c r="F1761" s="34"/>
      <c r="G1761" s="34"/>
      <c r="H1761" s="34"/>
    </row>
    <row r="1762" spans="1:8" ht="20">
      <c r="A1762" s="200"/>
      <c r="B1762" s="8"/>
      <c r="C1762" s="8"/>
      <c r="D1762" s="8"/>
      <c r="E1762" s="81"/>
      <c r="F1762" s="34"/>
      <c r="G1762" s="34"/>
      <c r="H1762" s="34"/>
    </row>
    <row r="1763" spans="1:8" ht="20">
      <c r="A1763" s="200"/>
      <c r="B1763" s="8"/>
      <c r="C1763" s="8"/>
      <c r="D1763" s="8"/>
      <c r="E1763" s="81"/>
      <c r="F1763" s="34"/>
      <c r="G1763" s="34"/>
      <c r="H1763" s="34"/>
    </row>
    <row r="1764" spans="1:8" ht="20">
      <c r="A1764" s="200"/>
      <c r="B1764" s="8"/>
      <c r="C1764" s="8"/>
      <c r="D1764" s="8"/>
      <c r="E1764" s="81"/>
      <c r="F1764" s="34"/>
      <c r="G1764" s="34"/>
      <c r="H1764" s="34"/>
    </row>
    <row r="1765" spans="1:8" ht="20">
      <c r="A1765" s="200"/>
      <c r="B1765" s="8"/>
      <c r="C1765" s="8"/>
      <c r="D1765" s="8"/>
      <c r="E1765" s="81"/>
      <c r="F1765" s="34"/>
      <c r="G1765" s="34"/>
      <c r="H1765" s="34"/>
    </row>
    <row r="1766" spans="1:8" ht="20">
      <c r="A1766" s="200"/>
      <c r="B1766" s="8"/>
      <c r="C1766" s="8"/>
      <c r="D1766" s="8"/>
      <c r="E1766" s="81"/>
      <c r="F1766" s="34"/>
      <c r="G1766" s="34"/>
      <c r="H1766" s="34"/>
    </row>
    <row r="1767" spans="1:8" ht="20">
      <c r="A1767" s="200"/>
      <c r="B1767" s="8"/>
      <c r="C1767" s="8"/>
      <c r="D1767" s="8"/>
      <c r="E1767" s="81"/>
      <c r="F1767" s="34"/>
      <c r="G1767" s="34"/>
      <c r="H1767" s="34"/>
    </row>
    <row r="1768" spans="1:8" ht="20">
      <c r="A1768" s="200"/>
      <c r="B1768" s="8"/>
      <c r="C1768" s="8"/>
      <c r="D1768" s="8"/>
      <c r="E1768" s="81"/>
      <c r="F1768" s="34"/>
      <c r="G1768" s="34"/>
      <c r="H1768" s="34"/>
    </row>
    <row r="1769" spans="1:8" ht="20">
      <c r="A1769" s="200"/>
      <c r="B1769" s="8"/>
      <c r="C1769" s="8"/>
      <c r="D1769" s="8"/>
      <c r="E1769" s="81"/>
      <c r="F1769" s="34"/>
      <c r="G1769" s="34"/>
      <c r="H1769" s="34"/>
    </row>
    <row r="1770" spans="1:8" ht="20">
      <c r="A1770" s="200"/>
      <c r="B1770" s="8"/>
      <c r="C1770" s="8"/>
      <c r="D1770" s="8"/>
      <c r="E1770" s="81"/>
      <c r="F1770" s="34"/>
      <c r="G1770" s="34"/>
      <c r="H1770" s="34"/>
    </row>
    <row r="1771" spans="1:8" ht="20">
      <c r="A1771" s="200"/>
      <c r="B1771" s="8"/>
      <c r="C1771" s="8"/>
      <c r="D1771" s="8"/>
      <c r="E1771" s="81"/>
      <c r="F1771" s="34"/>
      <c r="G1771" s="34"/>
      <c r="H1771" s="34"/>
    </row>
    <row r="1772" spans="1:8" ht="20">
      <c r="A1772" s="200"/>
      <c r="B1772" s="8"/>
      <c r="C1772" s="8"/>
      <c r="D1772" s="8"/>
      <c r="E1772" s="81"/>
      <c r="F1772" s="34"/>
      <c r="G1772" s="34"/>
      <c r="H1772" s="34"/>
    </row>
    <row r="1773" spans="1:8" ht="20">
      <c r="A1773" s="200"/>
      <c r="B1773" s="8"/>
      <c r="C1773" s="8"/>
      <c r="D1773" s="8"/>
      <c r="E1773" s="81"/>
      <c r="F1773" s="34"/>
      <c r="G1773" s="34"/>
      <c r="H1773" s="34"/>
    </row>
    <row r="1774" spans="1:8" ht="20">
      <c r="A1774" s="200"/>
      <c r="B1774" s="8"/>
      <c r="C1774" s="8"/>
      <c r="D1774" s="8"/>
      <c r="E1774" s="81"/>
      <c r="F1774" s="34"/>
      <c r="G1774" s="34"/>
      <c r="H1774" s="34"/>
    </row>
    <row r="1775" spans="1:8" ht="20">
      <c r="A1775" s="200"/>
      <c r="B1775" s="8"/>
      <c r="C1775" s="8"/>
      <c r="D1775" s="8"/>
      <c r="E1775" s="81"/>
      <c r="F1775" s="34"/>
      <c r="G1775" s="34"/>
      <c r="H1775" s="34"/>
    </row>
    <row r="1776" spans="1:8" ht="20">
      <c r="A1776" s="200"/>
      <c r="B1776" s="8"/>
      <c r="C1776" s="8"/>
      <c r="D1776" s="8"/>
      <c r="E1776" s="81"/>
      <c r="F1776" s="34"/>
      <c r="G1776" s="34"/>
      <c r="H1776" s="34"/>
    </row>
    <row r="1777" spans="1:8" ht="20">
      <c r="A1777" s="200"/>
      <c r="B1777" s="8"/>
      <c r="C1777" s="8"/>
      <c r="D1777" s="8"/>
      <c r="E1777" s="81"/>
      <c r="F1777" s="34"/>
      <c r="G1777" s="34"/>
      <c r="H1777" s="34"/>
    </row>
    <row r="1778" spans="1:8" ht="20">
      <c r="A1778" s="200"/>
      <c r="B1778" s="8"/>
      <c r="C1778" s="8"/>
      <c r="D1778" s="8"/>
      <c r="E1778" s="81"/>
      <c r="F1778" s="34"/>
      <c r="G1778" s="34"/>
      <c r="H1778" s="34"/>
    </row>
    <row r="1779" spans="1:8" ht="20">
      <c r="A1779" s="200"/>
      <c r="B1779" s="8"/>
      <c r="C1779" s="8"/>
      <c r="D1779" s="8"/>
      <c r="E1779" s="81"/>
      <c r="F1779" s="34"/>
      <c r="G1779" s="34"/>
      <c r="H1779" s="34"/>
    </row>
    <row r="1780" spans="1:8" ht="20">
      <c r="A1780" s="200"/>
      <c r="B1780" s="8"/>
      <c r="C1780" s="8"/>
      <c r="D1780" s="8"/>
      <c r="E1780" s="81"/>
      <c r="F1780" s="34"/>
      <c r="G1780" s="34"/>
      <c r="H1780" s="34"/>
    </row>
    <row r="1781" spans="1:8" ht="20">
      <c r="A1781" s="200"/>
      <c r="B1781" s="8"/>
      <c r="C1781" s="8"/>
      <c r="D1781" s="8"/>
      <c r="E1781" s="81"/>
      <c r="F1781" s="34"/>
      <c r="G1781" s="34"/>
      <c r="H1781" s="34"/>
    </row>
    <row r="1782" spans="1:8" ht="20">
      <c r="A1782" s="200"/>
      <c r="B1782" s="8"/>
      <c r="C1782" s="8"/>
      <c r="D1782" s="8"/>
      <c r="E1782" s="81"/>
      <c r="F1782" s="34"/>
      <c r="G1782" s="34"/>
      <c r="H1782" s="34"/>
    </row>
    <row r="1783" spans="1:8" ht="20">
      <c r="A1783" s="200"/>
      <c r="B1783" s="8"/>
      <c r="C1783" s="8"/>
      <c r="D1783" s="8"/>
      <c r="E1783" s="81"/>
      <c r="F1783" s="34"/>
      <c r="G1783" s="34"/>
      <c r="H1783" s="34"/>
    </row>
    <row r="1784" spans="1:8" ht="20">
      <c r="A1784" s="200"/>
      <c r="B1784" s="8"/>
      <c r="C1784" s="8"/>
      <c r="D1784" s="8"/>
      <c r="E1784" s="81"/>
      <c r="F1784" s="34"/>
      <c r="G1784" s="34"/>
      <c r="H1784" s="34"/>
    </row>
    <row r="1785" spans="1:8" ht="20">
      <c r="A1785" s="200"/>
      <c r="B1785" s="8"/>
      <c r="C1785" s="8"/>
      <c r="D1785" s="8"/>
      <c r="E1785" s="81"/>
      <c r="F1785" s="34"/>
      <c r="G1785" s="34"/>
      <c r="H1785" s="34"/>
    </row>
    <row r="1786" spans="1:8" ht="20">
      <c r="A1786" s="200"/>
      <c r="B1786" s="8"/>
      <c r="C1786" s="8"/>
      <c r="D1786" s="8"/>
      <c r="E1786" s="81"/>
      <c r="F1786" s="34"/>
      <c r="G1786" s="34"/>
      <c r="H1786" s="34"/>
    </row>
    <row r="1787" spans="1:8" ht="20">
      <c r="A1787" s="200"/>
      <c r="B1787" s="8"/>
      <c r="C1787" s="8"/>
      <c r="D1787" s="8"/>
      <c r="E1787" s="81"/>
      <c r="F1787" s="34"/>
      <c r="G1787" s="34"/>
      <c r="H1787" s="34"/>
    </row>
    <row r="1788" spans="1:8" ht="20">
      <c r="A1788" s="200"/>
      <c r="B1788" s="8"/>
      <c r="C1788" s="8"/>
      <c r="D1788" s="8"/>
      <c r="E1788" s="81"/>
      <c r="F1788" s="34"/>
      <c r="G1788" s="34"/>
      <c r="H1788" s="34"/>
    </row>
    <row r="1789" spans="1:8" ht="20">
      <c r="A1789" s="200"/>
      <c r="B1789" s="8"/>
      <c r="C1789" s="8"/>
      <c r="D1789" s="8"/>
      <c r="E1789" s="81"/>
      <c r="F1789" s="34"/>
      <c r="G1789" s="34"/>
      <c r="H1789" s="34"/>
    </row>
    <row r="1790" spans="1:8" ht="20">
      <c r="A1790" s="200"/>
      <c r="B1790" s="8"/>
      <c r="C1790" s="8"/>
      <c r="D1790" s="8"/>
      <c r="E1790" s="81"/>
      <c r="F1790" s="34"/>
      <c r="G1790" s="34"/>
      <c r="H1790" s="34"/>
    </row>
    <row r="1791" spans="1:8" ht="20">
      <c r="A1791" s="200"/>
      <c r="B1791" s="8"/>
      <c r="C1791" s="8"/>
      <c r="D1791" s="8"/>
      <c r="E1791" s="81"/>
      <c r="F1791" s="34"/>
      <c r="G1791" s="34"/>
      <c r="H1791" s="34"/>
    </row>
    <row r="1792" spans="1:8" ht="20">
      <c r="A1792" s="200"/>
      <c r="B1792" s="8"/>
      <c r="C1792" s="8"/>
      <c r="D1792" s="8"/>
      <c r="E1792" s="81"/>
      <c r="F1792" s="34"/>
      <c r="G1792" s="34"/>
      <c r="H1792" s="34"/>
    </row>
    <row r="1793" spans="1:8" ht="20">
      <c r="A1793" s="200"/>
      <c r="B1793" s="8"/>
      <c r="C1793" s="8"/>
      <c r="D1793" s="8"/>
      <c r="E1793" s="81"/>
      <c r="F1793" s="34"/>
      <c r="G1793" s="34"/>
      <c r="H1793" s="34"/>
    </row>
    <row r="1794" spans="1:8" ht="20">
      <c r="A1794" s="200"/>
      <c r="B1794" s="8"/>
      <c r="C1794" s="8"/>
      <c r="D1794" s="8"/>
      <c r="E1794" s="81"/>
      <c r="F1794" s="34"/>
      <c r="G1794" s="34"/>
      <c r="H1794" s="34"/>
    </row>
    <row r="1795" spans="1:8" ht="20">
      <c r="A1795" s="200"/>
      <c r="B1795" s="8"/>
      <c r="C1795" s="8"/>
      <c r="D1795" s="8"/>
      <c r="E1795" s="81"/>
      <c r="F1795" s="34"/>
      <c r="G1795" s="34"/>
      <c r="H1795" s="34"/>
    </row>
    <row r="1796" spans="1:8" ht="20">
      <c r="A1796" s="200"/>
      <c r="B1796" s="8"/>
      <c r="C1796" s="8"/>
      <c r="D1796" s="8"/>
      <c r="E1796" s="81"/>
      <c r="F1796" s="34"/>
      <c r="G1796" s="34"/>
      <c r="H1796" s="34"/>
    </row>
    <row r="1797" spans="1:8" ht="20">
      <c r="A1797" s="200"/>
      <c r="B1797" s="8"/>
      <c r="C1797" s="8"/>
      <c r="D1797" s="8"/>
      <c r="E1797" s="81"/>
      <c r="F1797" s="34"/>
      <c r="G1797" s="34"/>
      <c r="H1797" s="34"/>
    </row>
    <row r="1798" spans="1:8" ht="20">
      <c r="A1798" s="200"/>
      <c r="B1798" s="8"/>
      <c r="C1798" s="8"/>
      <c r="D1798" s="8"/>
      <c r="E1798" s="81"/>
      <c r="F1798" s="34"/>
      <c r="G1798" s="34"/>
      <c r="H1798" s="34"/>
    </row>
    <row r="1799" spans="1:8" ht="20">
      <c r="A1799" s="200"/>
      <c r="B1799" s="8"/>
      <c r="C1799" s="8"/>
      <c r="D1799" s="8"/>
      <c r="E1799" s="81"/>
      <c r="F1799" s="34"/>
      <c r="G1799" s="34"/>
      <c r="H1799" s="34"/>
    </row>
    <row r="1800" spans="1:8" ht="20">
      <c r="A1800" s="200"/>
      <c r="B1800" s="8"/>
      <c r="C1800" s="8"/>
      <c r="D1800" s="8"/>
      <c r="E1800" s="81"/>
      <c r="F1800" s="34"/>
      <c r="G1800" s="34"/>
      <c r="H1800" s="34"/>
    </row>
    <row r="1801" spans="1:8" ht="20">
      <c r="A1801" s="200"/>
      <c r="B1801" s="8"/>
      <c r="C1801" s="8"/>
      <c r="D1801" s="8"/>
      <c r="E1801" s="81"/>
      <c r="F1801" s="34"/>
      <c r="G1801" s="34"/>
      <c r="H1801" s="34"/>
    </row>
    <row r="1802" spans="1:8" ht="20">
      <c r="A1802" s="200"/>
      <c r="B1802" s="8"/>
      <c r="C1802" s="8"/>
      <c r="D1802" s="8"/>
      <c r="E1802" s="81"/>
      <c r="F1802" s="34"/>
      <c r="G1802" s="34"/>
      <c r="H1802" s="34"/>
    </row>
    <row r="1803" spans="1:8" ht="20">
      <c r="A1803" s="200"/>
      <c r="B1803" s="8"/>
      <c r="C1803" s="8"/>
      <c r="D1803" s="8"/>
      <c r="E1803" s="81"/>
      <c r="F1803" s="34"/>
      <c r="G1803" s="34"/>
      <c r="H1803" s="34"/>
    </row>
    <row r="1804" spans="1:8" ht="20">
      <c r="A1804" s="200"/>
      <c r="B1804" s="8"/>
      <c r="C1804" s="8"/>
      <c r="D1804" s="8"/>
      <c r="E1804" s="81"/>
      <c r="F1804" s="34"/>
      <c r="G1804" s="34"/>
      <c r="H1804" s="34"/>
    </row>
    <row r="1805" spans="1:8" ht="20">
      <c r="A1805" s="200"/>
      <c r="B1805" s="8"/>
      <c r="C1805" s="8"/>
      <c r="D1805" s="8"/>
      <c r="E1805" s="81"/>
      <c r="F1805" s="34"/>
      <c r="G1805" s="34"/>
      <c r="H1805" s="34"/>
    </row>
    <row r="1806" spans="1:8" ht="20">
      <c r="A1806" s="200"/>
      <c r="B1806" s="8"/>
      <c r="C1806" s="8"/>
      <c r="D1806" s="8"/>
      <c r="E1806" s="81"/>
      <c r="F1806" s="34"/>
      <c r="G1806" s="34"/>
      <c r="H1806" s="34"/>
    </row>
    <row r="1807" spans="1:8" ht="20">
      <c r="A1807" s="200"/>
      <c r="B1807" s="8"/>
      <c r="C1807" s="8"/>
      <c r="D1807" s="8"/>
      <c r="E1807" s="81"/>
      <c r="F1807" s="34"/>
      <c r="G1807" s="34"/>
      <c r="H1807" s="34"/>
    </row>
    <row r="1808" spans="1:8" ht="20">
      <c r="A1808" s="200"/>
      <c r="B1808" s="8"/>
      <c r="C1808" s="8"/>
      <c r="D1808" s="8"/>
      <c r="E1808" s="81"/>
      <c r="F1808" s="34"/>
      <c r="G1808" s="34"/>
      <c r="H1808" s="34"/>
    </row>
    <row r="1809" spans="1:8" ht="20">
      <c r="A1809" s="200"/>
      <c r="B1809" s="8"/>
      <c r="C1809" s="8"/>
      <c r="D1809" s="8"/>
      <c r="E1809" s="81"/>
      <c r="F1809" s="34"/>
      <c r="G1809" s="34"/>
      <c r="H1809" s="34"/>
    </row>
    <row r="1810" spans="1:8" ht="20">
      <c r="A1810" s="200"/>
      <c r="B1810" s="8"/>
      <c r="C1810" s="8"/>
      <c r="D1810" s="8"/>
      <c r="E1810" s="81"/>
      <c r="F1810" s="34"/>
      <c r="G1810" s="34"/>
      <c r="H1810" s="34"/>
    </row>
    <row r="1811" spans="1:8" ht="20">
      <c r="A1811" s="200"/>
      <c r="B1811" s="8"/>
      <c r="C1811" s="8"/>
      <c r="D1811" s="8"/>
      <c r="E1811" s="81"/>
      <c r="F1811" s="34"/>
      <c r="G1811" s="34"/>
      <c r="H1811" s="34"/>
    </row>
    <row r="1812" spans="1:8" ht="20">
      <c r="A1812" s="200"/>
      <c r="B1812" s="8"/>
      <c r="C1812" s="8"/>
      <c r="D1812" s="8"/>
      <c r="E1812" s="81"/>
      <c r="F1812" s="34"/>
      <c r="G1812" s="34"/>
      <c r="H1812" s="34"/>
    </row>
    <row r="1813" spans="1:8" ht="20">
      <c r="A1813" s="200"/>
      <c r="B1813" s="8"/>
      <c r="C1813" s="8"/>
      <c r="D1813" s="8"/>
      <c r="E1813" s="81"/>
      <c r="F1813" s="34"/>
      <c r="G1813" s="34"/>
      <c r="H1813" s="34"/>
    </row>
    <row r="1814" spans="1:8" ht="20">
      <c r="A1814" s="200"/>
      <c r="B1814" s="8"/>
      <c r="C1814" s="8"/>
      <c r="D1814" s="8"/>
      <c r="E1814" s="81"/>
      <c r="F1814" s="34"/>
      <c r="G1814" s="34"/>
      <c r="H1814" s="34"/>
    </row>
    <row r="1815" spans="1:8" ht="20">
      <c r="A1815" s="200"/>
      <c r="B1815" s="8"/>
      <c r="C1815" s="8"/>
      <c r="D1815" s="8"/>
      <c r="E1815" s="81"/>
      <c r="F1815" s="34"/>
      <c r="G1815" s="34"/>
      <c r="H1815" s="34"/>
    </row>
    <row r="1816" spans="1:8" ht="20">
      <c r="A1816" s="200"/>
      <c r="B1816" s="8"/>
      <c r="C1816" s="8"/>
      <c r="D1816" s="8"/>
      <c r="E1816" s="81"/>
      <c r="F1816" s="34"/>
      <c r="G1816" s="34"/>
      <c r="H1816" s="34"/>
    </row>
    <row r="1817" spans="1:8" ht="20">
      <c r="A1817" s="200"/>
      <c r="B1817" s="8"/>
      <c r="C1817" s="8"/>
      <c r="D1817" s="8"/>
      <c r="E1817" s="81"/>
      <c r="F1817" s="34"/>
      <c r="G1817" s="34"/>
      <c r="H1817" s="34"/>
    </row>
    <row r="1818" spans="1:8" ht="20">
      <c r="A1818" s="200"/>
      <c r="B1818" s="8"/>
      <c r="C1818" s="8"/>
      <c r="D1818" s="8"/>
      <c r="E1818" s="81"/>
      <c r="F1818" s="34"/>
      <c r="G1818" s="34"/>
      <c r="H1818" s="34"/>
    </row>
    <row r="1819" spans="1:8" ht="20">
      <c r="A1819" s="200"/>
      <c r="B1819" s="8"/>
      <c r="C1819" s="8"/>
      <c r="D1819" s="8"/>
      <c r="E1819" s="81"/>
      <c r="F1819" s="34"/>
      <c r="G1819" s="34"/>
      <c r="H1819" s="34"/>
    </row>
    <row r="1820" spans="1:8" ht="20">
      <c r="A1820" s="200"/>
      <c r="B1820" s="8"/>
      <c r="C1820" s="8"/>
      <c r="D1820" s="8"/>
      <c r="E1820" s="81"/>
      <c r="F1820" s="34"/>
      <c r="G1820" s="34"/>
      <c r="H1820" s="34"/>
    </row>
    <row r="1821" spans="1:8" ht="20">
      <c r="A1821" s="200"/>
      <c r="B1821" s="8"/>
      <c r="C1821" s="8"/>
      <c r="D1821" s="8"/>
      <c r="E1821" s="81"/>
      <c r="F1821" s="34"/>
      <c r="G1821" s="34"/>
      <c r="H1821" s="34"/>
    </row>
    <row r="1822" spans="1:8" ht="20">
      <c r="A1822" s="200"/>
      <c r="B1822" s="8"/>
      <c r="C1822" s="8"/>
      <c r="D1822" s="8"/>
      <c r="E1822" s="81"/>
      <c r="F1822" s="34"/>
      <c r="G1822" s="34"/>
      <c r="H1822" s="34"/>
    </row>
    <row r="1823" spans="1:8" ht="20">
      <c r="A1823" s="200"/>
      <c r="B1823" s="8"/>
      <c r="C1823" s="8"/>
      <c r="D1823" s="8"/>
      <c r="E1823" s="81"/>
      <c r="F1823" s="34"/>
      <c r="G1823" s="34"/>
      <c r="H1823" s="34"/>
    </row>
    <row r="1824" spans="1:8" ht="20">
      <c r="A1824" s="200"/>
      <c r="B1824" s="8"/>
      <c r="C1824" s="8"/>
      <c r="D1824" s="8"/>
      <c r="E1824" s="81"/>
      <c r="F1824" s="34"/>
      <c r="G1824" s="34"/>
      <c r="H1824" s="34"/>
    </row>
    <row r="1825" spans="1:8" ht="20">
      <c r="A1825" s="200"/>
      <c r="B1825" s="8"/>
      <c r="C1825" s="8"/>
      <c r="D1825" s="8"/>
      <c r="E1825" s="81"/>
      <c r="F1825" s="34"/>
      <c r="G1825" s="34"/>
      <c r="H1825" s="34"/>
    </row>
    <row r="1826" spans="1:8" ht="20">
      <c r="A1826" s="200"/>
      <c r="B1826" s="8"/>
      <c r="C1826" s="8"/>
      <c r="D1826" s="8"/>
      <c r="E1826" s="81"/>
      <c r="F1826" s="34"/>
      <c r="G1826" s="34"/>
      <c r="H1826" s="34"/>
    </row>
    <row r="1827" spans="1:8" ht="20">
      <c r="A1827" s="200"/>
      <c r="B1827" s="8"/>
      <c r="C1827" s="8"/>
      <c r="D1827" s="8"/>
      <c r="E1827" s="81"/>
      <c r="F1827" s="34"/>
      <c r="G1827" s="34"/>
      <c r="H1827" s="34"/>
    </row>
    <row r="1828" spans="1:8" ht="20">
      <c r="A1828" s="200"/>
      <c r="B1828" s="8"/>
      <c r="C1828" s="8"/>
      <c r="D1828" s="8"/>
      <c r="E1828" s="81"/>
      <c r="F1828" s="34"/>
      <c r="G1828" s="34"/>
      <c r="H1828" s="34"/>
    </row>
    <row r="1829" spans="1:8" ht="20">
      <c r="A1829" s="200"/>
      <c r="B1829" s="8"/>
      <c r="C1829" s="8"/>
      <c r="D1829" s="8"/>
      <c r="E1829" s="81"/>
      <c r="F1829" s="34"/>
      <c r="G1829" s="34"/>
      <c r="H1829" s="34"/>
    </row>
    <row r="1830" spans="1:8" ht="20">
      <c r="A1830" s="200"/>
      <c r="B1830" s="8"/>
      <c r="C1830" s="8"/>
      <c r="D1830" s="8"/>
      <c r="E1830" s="81"/>
      <c r="F1830" s="34"/>
      <c r="G1830" s="34"/>
      <c r="H1830" s="34"/>
    </row>
    <row r="1831" spans="1:8" ht="20">
      <c r="A1831" s="200"/>
      <c r="B1831" s="8"/>
      <c r="C1831" s="8"/>
      <c r="D1831" s="8"/>
      <c r="E1831" s="81"/>
      <c r="F1831" s="34"/>
      <c r="G1831" s="34"/>
      <c r="H1831" s="34"/>
    </row>
    <row r="1832" spans="1:8" ht="20">
      <c r="A1832" s="200"/>
      <c r="B1832" s="8"/>
      <c r="C1832" s="8"/>
      <c r="D1832" s="8"/>
      <c r="E1832" s="81"/>
      <c r="F1832" s="34"/>
      <c r="G1832" s="34"/>
      <c r="H1832" s="34"/>
    </row>
    <row r="1833" spans="1:8" ht="20">
      <c r="A1833" s="200"/>
      <c r="B1833" s="8"/>
      <c r="C1833" s="8"/>
      <c r="D1833" s="8"/>
      <c r="E1833" s="81"/>
      <c r="F1833" s="34"/>
      <c r="G1833" s="34"/>
      <c r="H1833" s="34"/>
    </row>
    <row r="1834" spans="1:8" ht="20">
      <c r="A1834" s="200"/>
      <c r="B1834" s="8"/>
      <c r="C1834" s="8"/>
      <c r="D1834" s="8"/>
      <c r="E1834" s="81"/>
      <c r="F1834" s="34"/>
      <c r="G1834" s="34"/>
      <c r="H1834" s="34"/>
    </row>
    <row r="1835" spans="1:8" ht="20">
      <c r="A1835" s="200"/>
      <c r="B1835" s="8"/>
      <c r="C1835" s="8"/>
      <c r="D1835" s="8"/>
      <c r="E1835" s="81"/>
      <c r="F1835" s="34"/>
      <c r="G1835" s="34"/>
      <c r="H1835" s="34"/>
    </row>
    <row r="1836" spans="1:8" ht="20">
      <c r="A1836" s="200"/>
      <c r="B1836" s="8"/>
      <c r="C1836" s="8"/>
      <c r="D1836" s="8"/>
      <c r="E1836" s="81"/>
      <c r="F1836" s="34"/>
      <c r="G1836" s="34"/>
      <c r="H1836" s="34"/>
    </row>
    <row r="1837" spans="1:8" ht="20">
      <c r="A1837" s="200"/>
      <c r="B1837" s="8"/>
      <c r="C1837" s="8"/>
      <c r="D1837" s="8"/>
      <c r="E1837" s="81"/>
      <c r="F1837" s="34"/>
      <c r="G1837" s="34"/>
      <c r="H1837" s="34"/>
    </row>
    <row r="1838" spans="1:8" ht="20">
      <c r="A1838" s="200"/>
      <c r="B1838" s="8"/>
      <c r="C1838" s="8"/>
      <c r="D1838" s="8"/>
      <c r="E1838" s="81"/>
      <c r="F1838" s="34"/>
      <c r="G1838" s="34"/>
      <c r="H1838" s="34"/>
    </row>
    <row r="1839" spans="1:8" ht="20">
      <c r="A1839" s="200"/>
      <c r="B1839" s="8"/>
      <c r="C1839" s="8"/>
      <c r="D1839" s="8"/>
      <c r="E1839" s="81"/>
      <c r="F1839" s="34"/>
      <c r="G1839" s="34"/>
      <c r="H1839" s="34"/>
    </row>
    <row r="1840" spans="1:8" ht="20">
      <c r="A1840" s="200"/>
      <c r="B1840" s="8"/>
      <c r="C1840" s="8"/>
      <c r="D1840" s="8"/>
      <c r="E1840" s="81"/>
      <c r="F1840" s="34"/>
      <c r="G1840" s="34"/>
      <c r="H1840" s="34"/>
    </row>
    <row r="1841" spans="1:8" ht="20">
      <c r="A1841" s="200"/>
      <c r="B1841" s="8"/>
      <c r="C1841" s="8"/>
      <c r="D1841" s="8"/>
      <c r="E1841" s="81"/>
      <c r="F1841" s="34"/>
      <c r="G1841" s="34"/>
      <c r="H1841" s="34"/>
    </row>
    <row r="1842" spans="1:8" ht="20">
      <c r="A1842" s="200"/>
      <c r="B1842" s="8"/>
      <c r="C1842" s="8"/>
      <c r="D1842" s="8"/>
      <c r="E1842" s="81"/>
      <c r="F1842" s="34"/>
      <c r="G1842" s="34"/>
      <c r="H1842" s="34"/>
    </row>
    <row r="1843" spans="1:8" ht="20">
      <c r="A1843" s="200"/>
      <c r="B1843" s="8"/>
      <c r="C1843" s="8"/>
      <c r="D1843" s="8"/>
      <c r="E1843" s="81"/>
      <c r="F1843" s="34"/>
      <c r="G1843" s="34"/>
      <c r="H1843" s="34"/>
    </row>
    <row r="1844" spans="1:8" ht="20">
      <c r="A1844" s="200"/>
      <c r="B1844" s="8"/>
      <c r="C1844" s="8"/>
      <c r="D1844" s="8"/>
      <c r="E1844" s="81"/>
      <c r="F1844" s="34"/>
      <c r="G1844" s="34"/>
      <c r="H1844" s="34"/>
    </row>
    <row r="1845" spans="1:8" ht="20">
      <c r="A1845" s="200"/>
      <c r="B1845" s="8"/>
      <c r="C1845" s="8"/>
      <c r="D1845" s="8"/>
      <c r="E1845" s="81"/>
      <c r="F1845" s="34"/>
      <c r="G1845" s="34"/>
      <c r="H1845" s="34"/>
    </row>
    <row r="1846" spans="1:8" ht="20">
      <c r="A1846" s="200"/>
      <c r="B1846" s="8"/>
      <c r="C1846" s="8"/>
      <c r="D1846" s="8"/>
      <c r="E1846" s="81"/>
      <c r="F1846" s="34"/>
      <c r="G1846" s="34"/>
      <c r="H1846" s="34"/>
    </row>
    <row r="1847" spans="1:8" ht="20">
      <c r="A1847" s="200"/>
      <c r="B1847" s="8"/>
      <c r="C1847" s="8"/>
      <c r="D1847" s="8"/>
      <c r="E1847" s="81"/>
      <c r="F1847" s="34"/>
      <c r="G1847" s="34"/>
      <c r="H1847" s="34"/>
    </row>
    <row r="1848" spans="1:8" ht="20">
      <c r="A1848" s="200"/>
      <c r="B1848" s="8"/>
      <c r="C1848" s="8"/>
      <c r="D1848" s="8"/>
      <c r="E1848" s="81"/>
      <c r="F1848" s="34"/>
      <c r="G1848" s="34"/>
      <c r="H1848" s="34"/>
    </row>
    <row r="1849" spans="1:8" ht="20">
      <c r="A1849" s="200"/>
      <c r="B1849" s="8"/>
      <c r="C1849" s="8"/>
      <c r="D1849" s="8"/>
      <c r="E1849" s="81"/>
      <c r="F1849" s="34"/>
      <c r="G1849" s="34"/>
      <c r="H1849" s="34"/>
    </row>
    <row r="1850" spans="1:8" ht="20">
      <c r="A1850" s="200"/>
      <c r="B1850" s="8"/>
      <c r="C1850" s="8"/>
      <c r="D1850" s="8"/>
      <c r="E1850" s="81"/>
      <c r="F1850" s="34"/>
      <c r="G1850" s="34"/>
      <c r="H1850" s="34"/>
    </row>
    <row r="1851" spans="1:8" ht="20">
      <c r="A1851" s="200"/>
      <c r="B1851" s="8"/>
      <c r="C1851" s="8"/>
      <c r="D1851" s="8"/>
      <c r="E1851" s="81"/>
      <c r="F1851" s="34"/>
      <c r="G1851" s="34"/>
      <c r="H1851" s="34"/>
    </row>
    <row r="1852" spans="1:8" ht="20">
      <c r="A1852" s="200"/>
      <c r="B1852" s="8"/>
      <c r="C1852" s="8"/>
      <c r="D1852" s="8"/>
      <c r="E1852" s="81"/>
      <c r="F1852" s="34"/>
      <c r="G1852" s="34"/>
      <c r="H1852" s="34"/>
    </row>
    <row r="1853" spans="1:8" ht="20">
      <c r="A1853" s="200"/>
      <c r="B1853" s="8"/>
      <c r="C1853" s="8"/>
      <c r="D1853" s="8"/>
      <c r="E1853" s="81"/>
      <c r="F1853" s="34"/>
      <c r="G1853" s="34"/>
      <c r="H1853" s="34"/>
    </row>
    <row r="1854" spans="1:8" ht="20">
      <c r="A1854" s="200"/>
      <c r="B1854" s="8"/>
      <c r="C1854" s="8"/>
      <c r="D1854" s="8"/>
      <c r="E1854" s="81"/>
      <c r="F1854" s="34"/>
      <c r="G1854" s="34"/>
      <c r="H1854" s="34"/>
    </row>
    <row r="1855" spans="1:8" ht="20">
      <c r="A1855" s="200"/>
      <c r="B1855" s="8"/>
      <c r="C1855" s="8"/>
      <c r="D1855" s="8"/>
      <c r="E1855" s="81"/>
      <c r="F1855" s="34"/>
      <c r="G1855" s="34"/>
      <c r="H1855" s="34"/>
    </row>
    <row r="1856" spans="1:8" ht="20">
      <c r="A1856" s="200"/>
      <c r="B1856" s="8"/>
      <c r="C1856" s="8"/>
      <c r="D1856" s="8"/>
      <c r="E1856" s="81"/>
      <c r="F1856" s="34"/>
      <c r="G1856" s="34"/>
      <c r="H1856" s="34"/>
    </row>
    <row r="1857" spans="1:8" ht="20">
      <c r="A1857" s="200"/>
      <c r="B1857" s="8"/>
      <c r="C1857" s="8"/>
      <c r="D1857" s="8"/>
      <c r="E1857" s="81"/>
      <c r="F1857" s="34"/>
      <c r="G1857" s="34"/>
      <c r="H1857" s="34"/>
    </row>
    <row r="1858" spans="1:8" ht="20">
      <c r="A1858" s="200"/>
      <c r="B1858" s="8"/>
      <c r="C1858" s="8"/>
      <c r="D1858" s="8"/>
      <c r="E1858" s="81"/>
      <c r="F1858" s="34"/>
      <c r="G1858" s="34"/>
      <c r="H1858" s="34"/>
    </row>
    <row r="1859" spans="1:8" ht="20">
      <c r="A1859" s="200"/>
      <c r="B1859" s="8"/>
      <c r="C1859" s="8"/>
      <c r="D1859" s="8"/>
      <c r="E1859" s="81"/>
      <c r="F1859" s="34"/>
      <c r="G1859" s="34"/>
      <c r="H1859" s="34"/>
    </row>
    <row r="1860" spans="1:8" ht="20">
      <c r="A1860" s="200"/>
      <c r="B1860" s="8"/>
      <c r="C1860" s="8"/>
      <c r="D1860" s="8"/>
      <c r="E1860" s="81"/>
      <c r="F1860" s="34"/>
      <c r="G1860" s="34"/>
      <c r="H1860" s="34"/>
    </row>
    <row r="1861" spans="1:8" ht="20">
      <c r="A1861" s="200"/>
      <c r="B1861" s="8"/>
      <c r="C1861" s="8"/>
      <c r="D1861" s="8"/>
      <c r="E1861" s="81"/>
      <c r="F1861" s="34"/>
      <c r="G1861" s="34"/>
      <c r="H1861" s="34"/>
    </row>
    <row r="1862" spans="1:8" ht="20">
      <c r="A1862" s="200"/>
      <c r="B1862" s="8"/>
      <c r="C1862" s="8"/>
      <c r="D1862" s="8"/>
      <c r="E1862" s="81"/>
      <c r="F1862" s="34"/>
      <c r="G1862" s="34"/>
      <c r="H1862" s="34"/>
    </row>
    <row r="1863" spans="1:8" ht="20">
      <c r="A1863" s="200"/>
      <c r="B1863" s="8"/>
      <c r="C1863" s="8"/>
      <c r="D1863" s="8"/>
      <c r="E1863" s="81"/>
      <c r="F1863" s="34"/>
      <c r="G1863" s="34"/>
      <c r="H1863" s="34"/>
    </row>
    <row r="1864" spans="1:8" ht="20">
      <c r="A1864" s="200"/>
      <c r="B1864" s="8"/>
      <c r="C1864" s="8"/>
      <c r="D1864" s="8"/>
      <c r="E1864" s="81"/>
      <c r="F1864" s="34"/>
      <c r="G1864" s="34"/>
      <c r="H1864" s="34"/>
    </row>
    <row r="1865" spans="1:8" ht="20">
      <c r="A1865" s="200"/>
      <c r="B1865" s="8"/>
      <c r="C1865" s="8"/>
      <c r="D1865" s="8"/>
      <c r="E1865" s="81"/>
      <c r="F1865" s="34"/>
      <c r="G1865" s="34"/>
      <c r="H1865" s="34"/>
    </row>
    <row r="1866" spans="1:8" ht="20">
      <c r="A1866" s="200"/>
      <c r="B1866" s="8"/>
      <c r="C1866" s="8"/>
      <c r="D1866" s="8"/>
      <c r="E1866" s="81"/>
      <c r="F1866" s="34"/>
      <c r="G1866" s="34"/>
      <c r="H1866" s="34"/>
    </row>
    <row r="1867" spans="1:8" ht="20">
      <c r="A1867" s="200"/>
      <c r="B1867" s="8"/>
      <c r="C1867" s="8"/>
      <c r="D1867" s="8"/>
      <c r="E1867" s="81"/>
      <c r="F1867" s="34"/>
      <c r="G1867" s="34"/>
      <c r="H1867" s="34"/>
    </row>
    <row r="1868" spans="1:8" ht="20">
      <c r="A1868" s="200"/>
      <c r="B1868" s="8"/>
      <c r="C1868" s="8"/>
      <c r="D1868" s="8"/>
      <c r="E1868" s="81"/>
      <c r="F1868" s="34"/>
      <c r="G1868" s="34"/>
      <c r="H1868" s="34"/>
    </row>
    <row r="1869" spans="1:8" ht="20">
      <c r="A1869" s="200"/>
      <c r="B1869" s="8"/>
      <c r="C1869" s="8"/>
      <c r="D1869" s="8"/>
      <c r="E1869" s="81"/>
      <c r="F1869" s="34"/>
      <c r="G1869" s="34"/>
      <c r="H1869" s="34"/>
    </row>
    <row r="1870" spans="1:8" ht="20">
      <c r="A1870" s="200"/>
      <c r="B1870" s="8"/>
      <c r="C1870" s="8"/>
      <c r="D1870" s="8"/>
      <c r="E1870" s="81"/>
      <c r="F1870" s="34"/>
      <c r="G1870" s="34"/>
      <c r="H1870" s="34"/>
    </row>
    <row r="1871" spans="1:8" ht="20">
      <c r="A1871" s="200"/>
      <c r="B1871" s="8"/>
      <c r="C1871" s="8"/>
      <c r="D1871" s="8"/>
      <c r="E1871" s="81"/>
      <c r="F1871" s="34"/>
      <c r="G1871" s="34"/>
      <c r="H1871" s="34"/>
    </row>
    <row r="1872" spans="1:8" ht="20">
      <c r="A1872" s="200"/>
      <c r="B1872" s="8"/>
      <c r="C1872" s="8"/>
      <c r="D1872" s="8"/>
      <c r="E1872" s="81"/>
      <c r="F1872" s="34"/>
      <c r="G1872" s="34"/>
      <c r="H1872" s="34"/>
    </row>
    <row r="1873" spans="1:8" ht="20">
      <c r="A1873" s="200"/>
      <c r="B1873" s="8"/>
      <c r="C1873" s="8"/>
      <c r="D1873" s="8"/>
      <c r="E1873" s="81"/>
      <c r="F1873" s="34"/>
      <c r="G1873" s="34"/>
      <c r="H1873" s="34"/>
    </row>
    <row r="1874" spans="1:8" ht="20">
      <c r="A1874" s="200"/>
      <c r="B1874" s="8"/>
      <c r="C1874" s="8"/>
      <c r="D1874" s="8"/>
      <c r="E1874" s="81"/>
      <c r="F1874" s="34"/>
      <c r="G1874" s="34"/>
      <c r="H1874" s="34"/>
    </row>
    <row r="1875" spans="1:8" ht="20">
      <c r="A1875" s="200"/>
      <c r="B1875" s="8"/>
      <c r="C1875" s="8"/>
      <c r="D1875" s="8"/>
      <c r="E1875" s="81"/>
      <c r="F1875" s="34"/>
      <c r="G1875" s="34"/>
      <c r="H1875" s="34"/>
    </row>
    <row r="1876" spans="1:8" ht="20">
      <c r="A1876" s="200"/>
      <c r="B1876" s="8"/>
      <c r="C1876" s="8"/>
      <c r="D1876" s="8"/>
      <c r="E1876" s="81"/>
      <c r="F1876" s="34"/>
      <c r="G1876" s="34"/>
      <c r="H1876" s="34"/>
    </row>
    <row r="1877" spans="1:8" ht="20">
      <c r="A1877" s="200"/>
      <c r="B1877" s="8"/>
      <c r="C1877" s="8"/>
      <c r="D1877" s="8"/>
      <c r="E1877" s="81"/>
      <c r="F1877" s="34"/>
      <c r="G1877" s="34"/>
      <c r="H1877" s="34"/>
    </row>
    <row r="1878" spans="1:8" ht="20">
      <c r="A1878" s="200"/>
      <c r="B1878" s="8"/>
      <c r="C1878" s="8"/>
      <c r="D1878" s="8"/>
      <c r="E1878" s="81"/>
      <c r="F1878" s="34"/>
      <c r="G1878" s="34"/>
      <c r="H1878" s="34"/>
    </row>
    <row r="1879" spans="1:8" ht="20">
      <c r="A1879" s="200"/>
      <c r="B1879" s="8"/>
      <c r="C1879" s="8"/>
      <c r="D1879" s="8"/>
      <c r="E1879" s="81"/>
      <c r="F1879" s="34"/>
      <c r="G1879" s="34"/>
      <c r="H1879" s="34"/>
    </row>
    <row r="1880" spans="1:8" ht="20">
      <c r="A1880" s="200"/>
      <c r="B1880" s="8"/>
      <c r="C1880" s="8"/>
      <c r="D1880" s="8"/>
      <c r="E1880" s="81"/>
      <c r="F1880" s="34"/>
      <c r="G1880" s="34"/>
      <c r="H1880" s="34"/>
    </row>
    <row r="1881" spans="1:8" ht="20">
      <c r="A1881" s="200"/>
      <c r="B1881" s="8"/>
      <c r="C1881" s="8"/>
      <c r="D1881" s="8"/>
      <c r="E1881" s="81"/>
      <c r="F1881" s="34"/>
      <c r="G1881" s="34"/>
      <c r="H1881" s="34"/>
    </row>
    <row r="1882" spans="1:8" ht="20">
      <c r="A1882" s="200"/>
      <c r="B1882" s="8"/>
      <c r="C1882" s="8"/>
      <c r="D1882" s="8"/>
      <c r="E1882" s="81"/>
      <c r="F1882" s="34"/>
      <c r="G1882" s="34"/>
      <c r="H1882" s="34"/>
    </row>
    <row r="1883" spans="1:8" ht="20">
      <c r="A1883" s="200"/>
      <c r="B1883" s="8"/>
      <c r="C1883" s="8"/>
      <c r="D1883" s="8"/>
      <c r="E1883" s="81"/>
      <c r="F1883" s="34"/>
      <c r="G1883" s="34"/>
      <c r="H1883" s="34"/>
    </row>
    <row r="1884" spans="1:8" ht="20">
      <c r="A1884" s="200"/>
      <c r="B1884" s="8"/>
      <c r="C1884" s="8"/>
      <c r="D1884" s="8"/>
      <c r="E1884" s="81"/>
      <c r="F1884" s="34"/>
      <c r="G1884" s="34"/>
      <c r="H1884" s="34"/>
    </row>
    <row r="1885" spans="1:8" ht="20">
      <c r="A1885" s="200"/>
      <c r="B1885" s="8"/>
      <c r="C1885" s="8"/>
      <c r="D1885" s="8"/>
      <c r="E1885" s="81"/>
      <c r="F1885" s="34"/>
      <c r="G1885" s="34"/>
      <c r="H1885" s="34"/>
    </row>
    <row r="1886" spans="1:8" ht="20">
      <c r="A1886" s="200"/>
      <c r="B1886" s="8"/>
      <c r="C1886" s="8"/>
      <c r="D1886" s="8"/>
      <c r="E1886" s="81"/>
      <c r="F1886" s="34"/>
      <c r="G1886" s="34"/>
      <c r="H1886" s="34"/>
    </row>
    <row r="1887" spans="1:8" ht="20">
      <c r="A1887" s="200"/>
      <c r="B1887" s="8"/>
      <c r="C1887" s="8"/>
      <c r="D1887" s="8"/>
      <c r="E1887" s="81"/>
      <c r="F1887" s="34"/>
      <c r="G1887" s="34"/>
      <c r="H1887" s="34"/>
    </row>
    <row r="1888" spans="1:8" ht="20">
      <c r="A1888" s="200"/>
      <c r="B1888" s="8"/>
      <c r="C1888" s="8"/>
      <c r="D1888" s="8"/>
      <c r="E1888" s="81"/>
      <c r="F1888" s="34"/>
      <c r="G1888" s="34"/>
      <c r="H1888" s="34"/>
    </row>
    <row r="1889" spans="1:8" ht="20">
      <c r="A1889" s="200"/>
      <c r="B1889" s="8"/>
      <c r="C1889" s="8"/>
      <c r="D1889" s="8"/>
      <c r="E1889" s="81"/>
      <c r="F1889" s="34"/>
      <c r="G1889" s="34"/>
      <c r="H1889" s="34"/>
    </row>
    <row r="1890" spans="1:8" ht="20">
      <c r="A1890" s="200"/>
      <c r="B1890" s="8"/>
      <c r="C1890" s="8"/>
      <c r="D1890" s="8"/>
      <c r="E1890" s="81"/>
      <c r="F1890" s="34"/>
      <c r="G1890" s="34"/>
      <c r="H1890" s="34"/>
    </row>
    <row r="1891" spans="1:8" ht="20">
      <c r="A1891" s="200"/>
      <c r="B1891" s="8"/>
      <c r="C1891" s="8"/>
      <c r="D1891" s="8"/>
      <c r="E1891" s="81"/>
      <c r="F1891" s="34"/>
      <c r="G1891" s="34"/>
      <c r="H1891" s="34"/>
    </row>
    <row r="1892" spans="1:8" ht="20">
      <c r="A1892" s="200"/>
      <c r="B1892" s="8"/>
      <c r="C1892" s="8"/>
      <c r="D1892" s="8"/>
      <c r="E1892" s="81"/>
      <c r="F1892" s="34"/>
      <c r="G1892" s="34"/>
      <c r="H1892" s="34"/>
    </row>
    <row r="1893" spans="1:8" ht="20">
      <c r="A1893" s="200"/>
      <c r="B1893" s="8"/>
      <c r="C1893" s="8"/>
      <c r="D1893" s="8"/>
      <c r="E1893" s="81"/>
      <c r="F1893" s="34"/>
      <c r="G1893" s="34"/>
      <c r="H1893" s="34"/>
    </row>
    <row r="1894" spans="1:8" ht="20">
      <c r="A1894" s="200"/>
      <c r="B1894" s="8"/>
      <c r="C1894" s="8"/>
      <c r="D1894" s="8"/>
      <c r="E1894" s="81"/>
      <c r="F1894" s="34"/>
      <c r="G1894" s="34"/>
      <c r="H1894" s="34"/>
    </row>
    <row r="1895" spans="1:8" ht="20">
      <c r="A1895" s="200"/>
      <c r="B1895" s="8"/>
      <c r="C1895" s="8"/>
      <c r="D1895" s="8"/>
      <c r="E1895" s="81"/>
      <c r="F1895" s="34"/>
      <c r="G1895" s="34"/>
      <c r="H1895" s="34"/>
    </row>
    <row r="1896" spans="1:8" ht="20">
      <c r="A1896" s="200"/>
      <c r="B1896" s="8"/>
      <c r="C1896" s="8"/>
      <c r="D1896" s="8"/>
      <c r="E1896" s="81"/>
      <c r="F1896" s="34"/>
      <c r="G1896" s="34"/>
      <c r="H1896" s="34"/>
    </row>
    <row r="1897" spans="1:8" ht="20">
      <c r="A1897" s="200"/>
      <c r="B1897" s="8"/>
      <c r="C1897" s="8"/>
      <c r="D1897" s="8"/>
      <c r="E1897" s="81"/>
      <c r="F1897" s="34"/>
      <c r="G1897" s="34"/>
      <c r="H1897" s="34"/>
    </row>
    <row r="1898" spans="1:8" ht="20">
      <c r="A1898" s="200"/>
      <c r="B1898" s="8"/>
      <c r="C1898" s="8"/>
      <c r="D1898" s="8"/>
      <c r="E1898" s="81"/>
      <c r="F1898" s="34"/>
      <c r="G1898" s="34"/>
      <c r="H1898" s="34"/>
    </row>
    <row r="1899" spans="1:8" ht="20">
      <c r="A1899" s="200"/>
      <c r="B1899" s="8"/>
      <c r="C1899" s="8"/>
      <c r="D1899" s="8"/>
      <c r="E1899" s="81"/>
      <c r="F1899" s="34"/>
      <c r="G1899" s="34"/>
      <c r="H1899" s="34"/>
    </row>
    <row r="1900" spans="1:8" ht="20">
      <c r="A1900" s="200"/>
      <c r="B1900" s="8"/>
      <c r="C1900" s="8"/>
      <c r="D1900" s="8"/>
      <c r="E1900" s="81"/>
      <c r="F1900" s="34"/>
      <c r="G1900" s="34"/>
      <c r="H1900" s="34"/>
    </row>
    <row r="1901" spans="1:8" ht="20">
      <c r="A1901" s="200"/>
      <c r="B1901" s="8"/>
      <c r="C1901" s="8"/>
      <c r="D1901" s="8"/>
      <c r="E1901" s="81"/>
      <c r="F1901" s="34"/>
      <c r="G1901" s="34"/>
      <c r="H1901" s="34"/>
    </row>
    <row r="1902" spans="1:8" ht="20">
      <c r="A1902" s="200"/>
      <c r="B1902" s="8"/>
      <c r="C1902" s="8"/>
      <c r="D1902" s="8"/>
      <c r="E1902" s="81"/>
      <c r="F1902" s="34"/>
      <c r="G1902" s="34"/>
      <c r="H1902" s="34"/>
    </row>
    <row r="1903" spans="1:8" ht="20">
      <c r="A1903" s="200"/>
      <c r="B1903" s="8"/>
      <c r="C1903" s="8"/>
      <c r="D1903" s="8"/>
      <c r="E1903" s="81"/>
      <c r="F1903" s="34"/>
      <c r="G1903" s="34"/>
      <c r="H1903" s="34"/>
    </row>
    <row r="1904" spans="1:8" ht="20">
      <c r="A1904" s="200"/>
      <c r="B1904" s="8"/>
      <c r="C1904" s="8"/>
      <c r="D1904" s="8"/>
      <c r="E1904" s="81"/>
      <c r="F1904" s="34"/>
      <c r="G1904" s="34"/>
      <c r="H1904" s="34"/>
    </row>
    <row r="1905" spans="1:8" ht="20">
      <c r="A1905" s="200"/>
      <c r="B1905" s="8"/>
      <c r="C1905" s="8"/>
      <c r="D1905" s="8"/>
      <c r="E1905" s="81"/>
      <c r="F1905" s="34"/>
      <c r="G1905" s="34"/>
      <c r="H1905" s="34"/>
    </row>
    <row r="1906" spans="1:8" ht="20">
      <c r="A1906" s="200"/>
      <c r="B1906" s="8"/>
      <c r="C1906" s="8"/>
      <c r="D1906" s="8"/>
      <c r="E1906" s="81"/>
      <c r="F1906" s="34"/>
      <c r="G1906" s="34"/>
      <c r="H1906" s="34"/>
    </row>
    <row r="1907" spans="1:8" ht="20">
      <c r="A1907" s="200"/>
      <c r="B1907" s="8"/>
      <c r="C1907" s="8"/>
      <c r="D1907" s="8"/>
      <c r="E1907" s="81"/>
      <c r="F1907" s="34"/>
      <c r="G1907" s="34"/>
      <c r="H1907" s="34"/>
    </row>
    <row r="1908" spans="1:8" ht="20">
      <c r="A1908" s="200"/>
      <c r="B1908" s="8"/>
      <c r="C1908" s="8"/>
      <c r="D1908" s="8"/>
      <c r="E1908" s="81"/>
      <c r="F1908" s="34"/>
      <c r="G1908" s="34"/>
      <c r="H1908" s="34"/>
    </row>
    <row r="1909" spans="1:8" ht="20">
      <c r="A1909" s="200"/>
      <c r="B1909" s="8"/>
      <c r="C1909" s="8"/>
      <c r="D1909" s="8"/>
      <c r="E1909" s="81"/>
      <c r="F1909" s="34"/>
      <c r="G1909" s="34"/>
      <c r="H1909" s="34"/>
    </row>
    <row r="1910" spans="1:8" ht="20">
      <c r="A1910" s="200"/>
      <c r="B1910" s="8"/>
      <c r="C1910" s="8"/>
      <c r="D1910" s="8"/>
      <c r="E1910" s="81"/>
      <c r="F1910" s="34"/>
      <c r="G1910" s="34"/>
      <c r="H1910" s="34"/>
    </row>
    <row r="1911" spans="1:8" ht="20">
      <c r="A1911" s="200"/>
      <c r="B1911" s="8"/>
      <c r="C1911" s="8"/>
      <c r="D1911" s="8"/>
      <c r="E1911" s="81"/>
      <c r="F1911" s="34"/>
      <c r="G1911" s="34"/>
      <c r="H1911" s="34"/>
    </row>
    <row r="1912" spans="1:8" ht="20">
      <c r="A1912" s="200"/>
      <c r="B1912" s="8"/>
      <c r="C1912" s="8"/>
      <c r="D1912" s="8"/>
      <c r="E1912" s="81"/>
      <c r="F1912" s="34"/>
      <c r="G1912" s="34"/>
      <c r="H1912" s="34"/>
    </row>
    <row r="1913" spans="1:8" ht="20">
      <c r="A1913" s="200"/>
      <c r="B1913" s="8"/>
      <c r="C1913" s="8"/>
      <c r="D1913" s="8"/>
      <c r="E1913" s="81"/>
      <c r="F1913" s="34"/>
      <c r="G1913" s="34"/>
      <c r="H1913" s="34"/>
    </row>
    <row r="1914" spans="1:8" ht="20">
      <c r="A1914" s="200"/>
      <c r="B1914" s="8"/>
      <c r="C1914" s="8"/>
      <c r="D1914" s="8"/>
      <c r="E1914" s="81"/>
      <c r="F1914" s="34"/>
      <c r="G1914" s="34"/>
      <c r="H1914" s="34"/>
    </row>
    <row r="1915" spans="1:8" ht="20">
      <c r="A1915" s="200"/>
      <c r="B1915" s="8"/>
      <c r="C1915" s="8"/>
      <c r="D1915" s="8"/>
      <c r="E1915" s="81"/>
      <c r="F1915" s="34"/>
      <c r="G1915" s="34"/>
      <c r="H1915" s="34"/>
    </row>
    <row r="1916" spans="1:8" ht="20">
      <c r="A1916" s="200"/>
      <c r="B1916" s="8"/>
      <c r="C1916" s="8"/>
      <c r="D1916" s="8"/>
      <c r="E1916" s="81"/>
      <c r="F1916" s="34"/>
      <c r="G1916" s="34"/>
      <c r="H1916" s="34"/>
    </row>
    <row r="1917" spans="1:8" ht="20">
      <c r="A1917" s="200"/>
      <c r="B1917" s="8"/>
      <c r="C1917" s="8"/>
      <c r="D1917" s="8"/>
      <c r="E1917" s="81"/>
      <c r="F1917" s="34"/>
      <c r="G1917" s="34"/>
      <c r="H1917" s="34"/>
    </row>
    <row r="1918" spans="1:8" ht="20">
      <c r="A1918" s="200"/>
      <c r="B1918" s="8"/>
      <c r="C1918" s="8"/>
      <c r="D1918" s="8"/>
      <c r="E1918" s="81"/>
      <c r="F1918" s="34"/>
      <c r="G1918" s="34"/>
      <c r="H1918" s="34"/>
    </row>
    <row r="1919" spans="1:8" ht="20">
      <c r="A1919" s="200"/>
      <c r="B1919" s="8"/>
      <c r="C1919" s="8"/>
      <c r="D1919" s="8"/>
      <c r="E1919" s="81"/>
      <c r="F1919" s="34"/>
      <c r="G1919" s="34"/>
      <c r="H1919" s="34"/>
    </row>
    <row r="1920" spans="1:8" ht="20">
      <c r="A1920" s="200"/>
      <c r="B1920" s="8"/>
      <c r="C1920" s="8"/>
      <c r="D1920" s="8"/>
      <c r="E1920" s="81"/>
      <c r="F1920" s="34"/>
      <c r="G1920" s="34"/>
      <c r="H1920" s="34"/>
    </row>
    <row r="1921" spans="1:8" ht="20">
      <c r="A1921" s="200"/>
      <c r="B1921" s="8"/>
      <c r="C1921" s="8"/>
      <c r="D1921" s="8"/>
      <c r="E1921" s="81"/>
      <c r="F1921" s="34"/>
      <c r="G1921" s="34"/>
      <c r="H1921" s="34"/>
    </row>
    <row r="1922" spans="1:8" ht="20">
      <c r="A1922" s="200"/>
      <c r="B1922" s="8"/>
      <c r="C1922" s="8"/>
      <c r="D1922" s="8"/>
      <c r="E1922" s="81"/>
      <c r="F1922" s="34"/>
      <c r="G1922" s="34"/>
      <c r="H1922" s="34"/>
    </row>
    <row r="1923" spans="1:8" ht="20">
      <c r="A1923" s="200"/>
      <c r="B1923" s="8"/>
      <c r="C1923" s="8"/>
      <c r="D1923" s="8"/>
      <c r="E1923" s="81"/>
      <c r="F1923" s="34"/>
      <c r="G1923" s="34"/>
      <c r="H1923" s="34"/>
    </row>
    <row r="1924" spans="1:8" ht="20">
      <c r="A1924" s="200"/>
      <c r="B1924" s="8"/>
      <c r="C1924" s="8"/>
      <c r="D1924" s="8"/>
      <c r="E1924" s="81"/>
      <c r="F1924" s="34"/>
      <c r="G1924" s="34"/>
      <c r="H1924" s="34"/>
    </row>
    <row r="1925" spans="1:8" ht="20">
      <c r="A1925" s="200"/>
      <c r="B1925" s="8"/>
      <c r="C1925" s="8"/>
      <c r="D1925" s="8"/>
      <c r="E1925" s="81"/>
      <c r="F1925" s="34"/>
      <c r="G1925" s="34"/>
      <c r="H1925" s="34"/>
    </row>
    <row r="1926" spans="1:8" ht="20">
      <c r="A1926" s="200"/>
      <c r="B1926" s="8"/>
      <c r="C1926" s="8"/>
      <c r="D1926" s="8"/>
      <c r="E1926" s="81"/>
      <c r="F1926" s="34"/>
      <c r="G1926" s="34"/>
      <c r="H1926" s="34"/>
    </row>
    <row r="1927" spans="1:8" ht="20">
      <c r="A1927" s="200"/>
      <c r="B1927" s="8"/>
      <c r="C1927" s="8"/>
      <c r="D1927" s="8"/>
      <c r="E1927" s="81"/>
      <c r="F1927" s="34"/>
      <c r="G1927" s="34"/>
      <c r="H1927" s="34"/>
    </row>
    <row r="1928" spans="1:8" ht="20">
      <c r="A1928" s="200"/>
      <c r="B1928" s="8"/>
      <c r="C1928" s="8"/>
      <c r="D1928" s="8"/>
      <c r="E1928" s="81"/>
      <c r="F1928" s="34"/>
      <c r="G1928" s="34"/>
      <c r="H1928" s="34"/>
    </row>
    <row r="1929" spans="1:8" ht="20">
      <c r="A1929" s="200"/>
      <c r="B1929" s="8"/>
      <c r="C1929" s="8"/>
      <c r="D1929" s="8"/>
      <c r="E1929" s="81"/>
      <c r="F1929" s="34"/>
      <c r="G1929" s="34"/>
      <c r="H1929" s="34"/>
    </row>
    <row r="1930" spans="1:8" ht="20">
      <c r="A1930" s="200"/>
      <c r="B1930" s="8"/>
      <c r="C1930" s="8"/>
      <c r="D1930" s="8"/>
      <c r="E1930" s="81"/>
      <c r="F1930" s="34"/>
      <c r="G1930" s="34"/>
      <c r="H1930" s="34"/>
    </row>
    <row r="1931" spans="1:8" ht="20">
      <c r="A1931" s="200"/>
      <c r="B1931" s="8"/>
      <c r="C1931" s="8"/>
      <c r="D1931" s="8"/>
      <c r="E1931" s="81"/>
      <c r="F1931" s="34"/>
      <c r="G1931" s="34"/>
      <c r="H1931" s="34"/>
    </row>
    <row r="1932" spans="1:8" ht="20">
      <c r="A1932" s="200"/>
      <c r="B1932" s="8"/>
      <c r="C1932" s="8"/>
      <c r="D1932" s="8"/>
      <c r="E1932" s="81"/>
      <c r="F1932" s="34"/>
      <c r="G1932" s="34"/>
      <c r="H1932" s="34"/>
    </row>
    <row r="1933" spans="1:8" ht="20">
      <c r="A1933" s="200"/>
      <c r="B1933" s="8"/>
      <c r="C1933" s="8"/>
      <c r="D1933" s="8"/>
      <c r="E1933" s="81"/>
      <c r="F1933" s="34"/>
      <c r="G1933" s="34"/>
      <c r="H1933" s="34"/>
    </row>
    <row r="1934" spans="1:8" ht="20">
      <c r="A1934" s="200"/>
      <c r="B1934" s="8"/>
      <c r="C1934" s="8"/>
      <c r="D1934" s="8"/>
      <c r="E1934" s="81"/>
      <c r="F1934" s="34"/>
      <c r="G1934" s="34"/>
      <c r="H1934" s="34"/>
    </row>
    <row r="1935" spans="1:8" ht="20">
      <c r="A1935" s="200"/>
      <c r="B1935" s="8"/>
      <c r="C1935" s="8"/>
      <c r="D1935" s="8"/>
      <c r="E1935" s="81"/>
      <c r="F1935" s="34"/>
      <c r="G1935" s="34"/>
      <c r="H1935" s="34"/>
    </row>
    <row r="1936" spans="1:8" ht="20">
      <c r="A1936" s="200"/>
      <c r="B1936" s="8"/>
      <c r="C1936" s="8"/>
      <c r="D1936" s="8"/>
      <c r="E1936" s="81"/>
      <c r="F1936" s="34"/>
      <c r="G1936" s="34"/>
      <c r="H1936" s="34"/>
    </row>
    <row r="1937" spans="1:8" ht="20">
      <c r="A1937" s="200"/>
      <c r="B1937" s="8"/>
      <c r="C1937" s="8"/>
      <c r="D1937" s="8"/>
      <c r="E1937" s="81"/>
      <c r="F1937" s="34"/>
      <c r="G1937" s="34"/>
      <c r="H1937" s="34"/>
    </row>
    <row r="1938" spans="1:8" ht="20">
      <c r="A1938" s="200"/>
      <c r="B1938" s="8"/>
      <c r="C1938" s="8"/>
      <c r="D1938" s="8"/>
      <c r="E1938" s="81"/>
      <c r="F1938" s="34"/>
      <c r="G1938" s="34"/>
      <c r="H1938" s="34"/>
    </row>
    <row r="1939" spans="1:8" ht="20">
      <c r="A1939" s="200"/>
      <c r="B1939" s="8"/>
      <c r="C1939" s="8"/>
      <c r="D1939" s="8"/>
      <c r="E1939" s="81"/>
      <c r="F1939" s="34"/>
      <c r="G1939" s="34"/>
      <c r="H1939" s="34"/>
    </row>
    <row r="1940" spans="1:8" ht="20">
      <c r="A1940" s="200"/>
      <c r="B1940" s="8"/>
      <c r="C1940" s="8"/>
      <c r="D1940" s="8"/>
      <c r="E1940" s="81"/>
      <c r="F1940" s="34"/>
      <c r="G1940" s="34"/>
      <c r="H1940" s="34"/>
    </row>
    <row r="1941" spans="1:8" ht="20">
      <c r="A1941" s="200"/>
      <c r="B1941" s="8"/>
      <c r="C1941" s="8"/>
      <c r="D1941" s="8"/>
      <c r="E1941" s="81"/>
      <c r="F1941" s="34"/>
      <c r="G1941" s="34"/>
      <c r="H1941" s="34"/>
    </row>
    <row r="1942" spans="1:8" ht="20">
      <c r="A1942" s="200"/>
      <c r="B1942" s="8"/>
      <c r="C1942" s="8"/>
      <c r="D1942" s="8"/>
      <c r="E1942" s="81"/>
      <c r="F1942" s="34"/>
      <c r="G1942" s="34"/>
      <c r="H1942" s="34"/>
    </row>
    <row r="1943" spans="1:8" ht="20">
      <c r="A1943" s="200"/>
      <c r="B1943" s="8"/>
      <c r="C1943" s="8"/>
      <c r="D1943" s="8"/>
      <c r="E1943" s="81"/>
      <c r="F1943" s="34"/>
      <c r="G1943" s="34"/>
      <c r="H1943" s="34"/>
    </row>
    <row r="1944" spans="1:8" ht="20">
      <c r="A1944" s="200"/>
      <c r="B1944" s="8"/>
      <c r="C1944" s="8"/>
      <c r="D1944" s="8"/>
      <c r="E1944" s="81"/>
      <c r="F1944" s="34"/>
      <c r="G1944" s="34"/>
      <c r="H1944" s="34"/>
    </row>
    <row r="1945" spans="1:8" ht="20">
      <c r="A1945" s="200"/>
      <c r="B1945" s="8"/>
      <c r="C1945" s="8"/>
      <c r="D1945" s="8"/>
      <c r="E1945" s="81"/>
      <c r="F1945" s="34"/>
      <c r="G1945" s="34"/>
      <c r="H1945" s="34"/>
    </row>
    <row r="1946" spans="1:8" ht="20">
      <c r="A1946" s="200"/>
      <c r="B1946" s="8"/>
      <c r="C1946" s="8"/>
      <c r="D1946" s="8"/>
      <c r="E1946" s="81"/>
      <c r="F1946" s="34"/>
      <c r="G1946" s="34"/>
      <c r="H1946" s="34"/>
    </row>
    <row r="1947" spans="1:8" ht="20">
      <c r="A1947" s="200"/>
      <c r="B1947" s="8"/>
      <c r="C1947" s="8"/>
      <c r="D1947" s="8"/>
      <c r="E1947" s="81"/>
      <c r="F1947" s="34"/>
      <c r="G1947" s="34"/>
      <c r="H1947" s="34"/>
    </row>
    <row r="1948" spans="1:8" ht="20">
      <c r="A1948" s="200"/>
      <c r="B1948" s="8"/>
      <c r="C1948" s="8"/>
      <c r="D1948" s="8"/>
      <c r="E1948" s="81"/>
      <c r="F1948" s="34"/>
      <c r="G1948" s="34"/>
      <c r="H1948" s="34"/>
    </row>
    <row r="1949" spans="1:8" ht="20">
      <c r="A1949" s="200"/>
      <c r="B1949" s="8"/>
      <c r="C1949" s="8"/>
      <c r="D1949" s="8"/>
      <c r="E1949" s="81"/>
      <c r="F1949" s="34"/>
      <c r="G1949" s="34"/>
      <c r="H1949" s="34"/>
    </row>
    <row r="1950" spans="1:8" ht="20">
      <c r="A1950" s="200"/>
      <c r="B1950" s="8"/>
      <c r="C1950" s="8"/>
      <c r="D1950" s="8"/>
      <c r="E1950" s="81"/>
      <c r="F1950" s="34"/>
      <c r="G1950" s="34"/>
      <c r="H1950" s="34"/>
    </row>
    <row r="1951" spans="1:8" ht="20">
      <c r="A1951" s="200"/>
      <c r="B1951" s="8"/>
      <c r="C1951" s="8"/>
      <c r="D1951" s="8"/>
      <c r="E1951" s="81"/>
      <c r="F1951" s="34"/>
      <c r="G1951" s="34"/>
      <c r="H1951" s="34"/>
    </row>
    <row r="1952" spans="1:8" ht="20">
      <c r="A1952" s="200"/>
      <c r="B1952" s="8"/>
      <c r="C1952" s="8"/>
      <c r="D1952" s="8"/>
      <c r="E1952" s="81"/>
      <c r="F1952" s="34"/>
      <c r="G1952" s="34"/>
      <c r="H1952" s="34"/>
    </row>
    <row r="1953" spans="1:8" ht="20">
      <c r="A1953" s="200"/>
      <c r="B1953" s="8"/>
      <c r="C1953" s="8"/>
      <c r="D1953" s="8"/>
      <c r="E1953" s="81"/>
      <c r="F1953" s="34"/>
      <c r="G1953" s="34"/>
      <c r="H1953" s="34"/>
    </row>
    <row r="1954" spans="1:8" ht="20">
      <c r="A1954" s="200"/>
      <c r="B1954" s="8"/>
      <c r="C1954" s="8"/>
      <c r="D1954" s="8"/>
      <c r="E1954" s="81"/>
      <c r="F1954" s="34"/>
      <c r="G1954" s="34"/>
      <c r="H1954" s="34"/>
    </row>
    <row r="1955" spans="1:8" ht="20">
      <c r="A1955" s="200"/>
      <c r="B1955" s="8"/>
      <c r="C1955" s="8"/>
      <c r="D1955" s="8"/>
      <c r="E1955" s="81"/>
      <c r="F1955" s="34"/>
      <c r="G1955" s="34"/>
      <c r="H1955" s="34"/>
    </row>
    <row r="1956" spans="1:8" ht="20">
      <c r="A1956" s="200"/>
      <c r="B1956" s="8"/>
      <c r="C1956" s="8"/>
      <c r="D1956" s="8"/>
      <c r="E1956" s="81"/>
      <c r="F1956" s="34"/>
      <c r="G1956" s="34"/>
      <c r="H1956" s="34"/>
    </row>
    <row r="1957" spans="1:8" ht="20">
      <c r="A1957" s="200"/>
      <c r="B1957" s="8"/>
      <c r="C1957" s="8"/>
      <c r="D1957" s="8"/>
      <c r="E1957" s="81"/>
      <c r="F1957" s="34"/>
      <c r="G1957" s="34"/>
      <c r="H1957" s="34"/>
    </row>
    <row r="1958" spans="1:8" ht="20">
      <c r="A1958" s="200"/>
      <c r="B1958" s="8"/>
      <c r="C1958" s="8"/>
      <c r="D1958" s="8"/>
      <c r="E1958" s="81"/>
      <c r="F1958" s="34"/>
      <c r="G1958" s="34"/>
      <c r="H1958" s="34"/>
    </row>
    <row r="1959" spans="1:8" ht="20">
      <c r="A1959" s="200"/>
      <c r="B1959" s="8"/>
      <c r="C1959" s="8"/>
      <c r="D1959" s="8"/>
      <c r="E1959" s="81"/>
      <c r="F1959" s="34"/>
      <c r="G1959" s="34"/>
      <c r="H1959" s="34"/>
    </row>
    <row r="1960" spans="1:8" ht="20">
      <c r="A1960" s="200"/>
      <c r="B1960" s="8"/>
      <c r="C1960" s="8"/>
      <c r="D1960" s="8"/>
      <c r="E1960" s="81"/>
      <c r="F1960" s="34"/>
      <c r="G1960" s="34"/>
      <c r="H1960" s="34"/>
    </row>
    <row r="1961" spans="1:8" ht="20">
      <c r="A1961" s="200"/>
      <c r="B1961" s="8"/>
      <c r="C1961" s="8"/>
      <c r="D1961" s="8"/>
      <c r="E1961" s="81"/>
      <c r="F1961" s="34"/>
      <c r="G1961" s="34"/>
      <c r="H1961" s="34"/>
    </row>
    <row r="1962" spans="1:8" ht="20">
      <c r="A1962" s="200"/>
      <c r="B1962" s="8"/>
      <c r="C1962" s="8"/>
      <c r="D1962" s="8"/>
      <c r="E1962" s="81"/>
      <c r="F1962" s="34"/>
      <c r="G1962" s="34"/>
      <c r="H1962" s="34"/>
    </row>
    <row r="1963" spans="1:8" ht="20">
      <c r="A1963" s="200"/>
      <c r="B1963" s="8"/>
      <c r="C1963" s="8"/>
      <c r="D1963" s="8"/>
      <c r="E1963" s="81"/>
      <c r="F1963" s="34"/>
      <c r="G1963" s="34"/>
      <c r="H1963" s="34"/>
    </row>
    <row r="1964" spans="1:8" ht="20">
      <c r="A1964" s="200"/>
      <c r="B1964" s="8"/>
      <c r="C1964" s="8"/>
      <c r="D1964" s="8"/>
      <c r="E1964" s="81"/>
      <c r="F1964" s="34"/>
      <c r="G1964" s="34"/>
      <c r="H1964" s="34"/>
    </row>
    <row r="1965" spans="1:8" ht="20">
      <c r="A1965" s="200"/>
      <c r="B1965" s="8"/>
      <c r="C1965" s="8"/>
      <c r="D1965" s="8"/>
      <c r="E1965" s="81"/>
      <c r="F1965" s="34"/>
      <c r="G1965" s="34"/>
      <c r="H1965" s="34"/>
    </row>
    <row r="1966" spans="1:8" ht="20">
      <c r="A1966" s="200"/>
      <c r="B1966" s="8"/>
      <c r="C1966" s="8"/>
      <c r="D1966" s="8"/>
      <c r="E1966" s="81"/>
      <c r="F1966" s="34"/>
      <c r="G1966" s="34"/>
      <c r="H1966" s="34"/>
    </row>
    <row r="1967" spans="1:8" ht="20">
      <c r="A1967" s="200"/>
      <c r="B1967" s="8"/>
      <c r="C1967" s="8"/>
      <c r="D1967" s="8"/>
      <c r="E1967" s="81"/>
      <c r="F1967" s="34"/>
      <c r="G1967" s="34"/>
      <c r="H1967" s="34"/>
    </row>
    <row r="1968" spans="1:8" ht="20">
      <c r="A1968" s="200"/>
      <c r="B1968" s="8"/>
      <c r="C1968" s="8"/>
      <c r="D1968" s="8"/>
      <c r="E1968" s="81"/>
      <c r="F1968" s="34"/>
      <c r="G1968" s="34"/>
      <c r="H1968" s="34"/>
    </row>
    <row r="1969" spans="1:8" ht="20">
      <c r="A1969" s="200"/>
      <c r="B1969" s="8"/>
      <c r="C1969" s="8"/>
      <c r="D1969" s="8"/>
      <c r="E1969" s="81"/>
      <c r="F1969" s="34"/>
      <c r="G1969" s="34"/>
      <c r="H1969" s="34"/>
    </row>
    <row r="1970" spans="1:8" ht="20">
      <c r="A1970" s="200"/>
      <c r="B1970" s="8"/>
      <c r="C1970" s="8"/>
      <c r="D1970" s="8"/>
      <c r="E1970" s="81"/>
      <c r="F1970" s="34"/>
      <c r="G1970" s="34"/>
      <c r="H1970" s="34"/>
    </row>
    <row r="1971" spans="1:8" ht="20">
      <c r="A1971" s="200"/>
      <c r="B1971" s="8"/>
      <c r="C1971" s="8"/>
      <c r="D1971" s="8"/>
      <c r="E1971" s="81"/>
      <c r="F1971" s="34"/>
      <c r="G1971" s="34"/>
      <c r="H1971" s="34"/>
    </row>
    <row r="1972" spans="1:8" ht="20">
      <c r="A1972" s="200"/>
      <c r="B1972" s="8"/>
      <c r="C1972" s="8"/>
      <c r="D1972" s="8"/>
      <c r="E1972" s="81"/>
      <c r="F1972" s="34"/>
      <c r="G1972" s="34"/>
      <c r="H1972" s="34"/>
    </row>
    <row r="1973" spans="1:8" ht="20">
      <c r="A1973" s="200"/>
      <c r="B1973" s="8"/>
      <c r="C1973" s="8"/>
      <c r="D1973" s="8"/>
      <c r="E1973" s="81"/>
      <c r="F1973" s="34"/>
      <c r="G1973" s="34"/>
      <c r="H1973" s="34"/>
    </row>
    <row r="1974" spans="1:8" ht="20">
      <c r="A1974" s="200"/>
      <c r="B1974" s="8"/>
      <c r="C1974" s="8"/>
      <c r="D1974" s="8"/>
      <c r="E1974" s="81"/>
      <c r="F1974" s="34"/>
      <c r="G1974" s="34"/>
      <c r="H1974" s="34"/>
    </row>
    <row r="1975" spans="1:8" ht="20">
      <c r="A1975" s="200"/>
      <c r="B1975" s="8"/>
      <c r="C1975" s="8"/>
      <c r="D1975" s="8"/>
      <c r="E1975" s="81"/>
      <c r="F1975" s="34"/>
      <c r="G1975" s="34"/>
      <c r="H1975" s="34"/>
    </row>
    <row r="1976" spans="1:8" ht="20">
      <c r="A1976" s="200"/>
      <c r="B1976" s="8"/>
      <c r="C1976" s="8"/>
      <c r="D1976" s="8"/>
      <c r="E1976" s="81"/>
      <c r="F1976" s="34"/>
      <c r="G1976" s="34"/>
      <c r="H1976" s="34"/>
    </row>
    <row r="1977" spans="1:8" ht="20">
      <c r="A1977" s="200"/>
      <c r="B1977" s="8"/>
      <c r="C1977" s="8"/>
      <c r="D1977" s="8"/>
      <c r="E1977" s="81"/>
      <c r="F1977" s="34"/>
      <c r="G1977" s="34"/>
      <c r="H1977" s="34"/>
    </row>
    <row r="1978" spans="1:8" ht="20">
      <c r="A1978" s="200"/>
      <c r="B1978" s="8"/>
      <c r="C1978" s="8"/>
      <c r="D1978" s="8"/>
      <c r="E1978" s="81"/>
      <c r="F1978" s="34"/>
      <c r="G1978" s="34"/>
      <c r="H1978" s="34"/>
    </row>
    <row r="1979" spans="1:8" ht="20">
      <c r="A1979" s="200"/>
      <c r="B1979" s="8"/>
      <c r="C1979" s="8"/>
      <c r="D1979" s="8"/>
      <c r="E1979" s="81"/>
      <c r="F1979" s="34"/>
      <c r="G1979" s="34"/>
      <c r="H1979" s="34"/>
    </row>
    <row r="1980" spans="1:8" ht="20">
      <c r="A1980" s="200"/>
      <c r="B1980" s="8"/>
      <c r="C1980" s="8"/>
      <c r="D1980" s="8"/>
      <c r="E1980" s="81"/>
      <c r="F1980" s="34"/>
      <c r="G1980" s="34"/>
      <c r="H1980" s="34"/>
    </row>
    <row r="1981" spans="1:8" ht="20">
      <c r="A1981" s="200"/>
      <c r="B1981" s="8"/>
      <c r="C1981" s="8"/>
      <c r="D1981" s="8"/>
      <c r="E1981" s="81"/>
      <c r="F1981" s="34"/>
      <c r="G1981" s="34"/>
      <c r="H1981" s="34"/>
    </row>
    <row r="1982" spans="1:8" ht="20">
      <c r="A1982" s="200"/>
      <c r="B1982" s="8"/>
      <c r="C1982" s="8"/>
      <c r="D1982" s="8"/>
      <c r="E1982" s="81"/>
      <c r="F1982" s="34"/>
      <c r="G1982" s="34"/>
      <c r="H1982" s="34"/>
    </row>
    <row r="1983" spans="1:8" ht="20">
      <c r="A1983" s="200"/>
      <c r="B1983" s="8"/>
      <c r="C1983" s="8"/>
      <c r="D1983" s="8"/>
      <c r="E1983" s="81"/>
      <c r="F1983" s="34"/>
      <c r="G1983" s="34"/>
      <c r="H1983" s="34"/>
    </row>
    <row r="1984" spans="1:8" ht="20">
      <c r="A1984" s="200"/>
      <c r="B1984" s="8"/>
      <c r="C1984" s="8"/>
      <c r="D1984" s="8"/>
      <c r="E1984" s="81"/>
      <c r="F1984" s="34"/>
      <c r="G1984" s="34"/>
      <c r="H1984" s="34"/>
    </row>
    <row r="1985" spans="1:8" ht="20">
      <c r="A1985" s="200"/>
      <c r="B1985" s="8"/>
      <c r="C1985" s="8"/>
      <c r="D1985" s="8"/>
      <c r="E1985" s="81"/>
      <c r="F1985" s="34"/>
      <c r="G1985" s="34"/>
      <c r="H1985" s="34"/>
    </row>
    <row r="1986" spans="1:8" ht="20">
      <c r="A1986" s="200"/>
      <c r="B1986" s="8"/>
      <c r="C1986" s="8"/>
      <c r="D1986" s="8"/>
      <c r="E1986" s="81"/>
      <c r="F1986" s="34"/>
      <c r="G1986" s="34"/>
      <c r="H1986" s="34"/>
    </row>
    <row r="1987" spans="1:8" ht="20">
      <c r="A1987" s="200"/>
      <c r="B1987" s="8"/>
      <c r="C1987" s="8"/>
      <c r="D1987" s="8"/>
      <c r="E1987" s="81"/>
      <c r="F1987" s="34"/>
      <c r="G1987" s="34"/>
      <c r="H1987" s="34"/>
    </row>
    <row r="1988" spans="1:8" ht="20">
      <c r="A1988" s="200"/>
      <c r="B1988" s="8"/>
      <c r="C1988" s="8"/>
      <c r="D1988" s="8"/>
      <c r="E1988" s="81"/>
      <c r="F1988" s="34"/>
      <c r="G1988" s="34"/>
      <c r="H1988" s="34"/>
    </row>
    <row r="1989" spans="1:8" ht="20">
      <c r="A1989" s="200"/>
      <c r="B1989" s="8"/>
      <c r="C1989" s="8"/>
      <c r="D1989" s="8"/>
      <c r="E1989" s="81"/>
      <c r="F1989" s="34"/>
      <c r="G1989" s="34"/>
      <c r="H1989" s="34"/>
    </row>
    <row r="1990" spans="1:8" ht="20">
      <c r="A1990" s="200"/>
      <c r="B1990" s="8"/>
      <c r="C1990" s="8"/>
      <c r="D1990" s="8"/>
      <c r="E1990" s="81"/>
      <c r="F1990" s="34"/>
      <c r="G1990" s="34"/>
      <c r="H1990" s="34"/>
    </row>
    <row r="1991" spans="1:8" ht="20">
      <c r="A1991" s="200"/>
      <c r="B1991" s="8"/>
      <c r="C1991" s="8"/>
      <c r="D1991" s="8"/>
      <c r="E1991" s="81"/>
      <c r="F1991" s="34"/>
      <c r="G1991" s="34"/>
      <c r="H1991" s="34"/>
    </row>
    <row r="1992" spans="1:8" ht="20">
      <c r="A1992" s="200"/>
      <c r="B1992" s="8"/>
      <c r="C1992" s="8"/>
      <c r="D1992" s="8"/>
      <c r="E1992" s="81"/>
      <c r="F1992" s="34"/>
      <c r="G1992" s="34"/>
      <c r="H1992" s="34"/>
    </row>
    <row r="1993" spans="1:8" ht="20">
      <c r="A1993" s="200"/>
      <c r="B1993" s="8"/>
      <c r="C1993" s="8"/>
      <c r="D1993" s="8"/>
      <c r="E1993" s="81"/>
      <c r="F1993" s="34"/>
      <c r="G1993" s="34"/>
      <c r="H1993" s="34"/>
    </row>
    <row r="1994" spans="1:8" ht="20">
      <c r="A1994" s="200"/>
      <c r="B1994" s="8"/>
      <c r="C1994" s="8"/>
      <c r="D1994" s="8"/>
      <c r="E1994" s="81"/>
      <c r="F1994" s="34"/>
      <c r="G1994" s="34"/>
      <c r="H1994" s="34"/>
    </row>
    <row r="1995" spans="1:8" ht="20">
      <c r="A1995" s="200"/>
      <c r="B1995" s="8"/>
      <c r="C1995" s="8"/>
      <c r="D1995" s="8"/>
      <c r="E1995" s="81"/>
      <c r="F1995" s="34"/>
      <c r="G1995" s="34"/>
      <c r="H1995" s="34"/>
    </row>
    <row r="1996" spans="1:8" ht="20">
      <c r="A1996" s="200"/>
      <c r="B1996" s="8"/>
      <c r="C1996" s="8"/>
      <c r="D1996" s="8"/>
      <c r="E1996" s="81"/>
      <c r="F1996" s="34"/>
      <c r="G1996" s="34"/>
      <c r="H1996" s="34"/>
    </row>
    <row r="1997" spans="1:8" ht="20">
      <c r="A1997" s="200"/>
      <c r="B1997" s="8"/>
      <c r="C1997" s="8"/>
      <c r="D1997" s="8"/>
      <c r="E1997" s="81"/>
      <c r="F1997" s="34"/>
      <c r="G1997" s="34"/>
      <c r="H1997" s="34"/>
    </row>
    <row r="1998" spans="1:8" ht="20">
      <c r="A1998" s="200"/>
      <c r="B1998" s="8"/>
      <c r="C1998" s="8"/>
      <c r="D1998" s="8"/>
      <c r="E1998" s="81"/>
      <c r="F1998" s="34"/>
      <c r="G1998" s="34"/>
      <c r="H1998" s="34"/>
    </row>
    <row r="1999" spans="1:8" ht="20">
      <c r="A1999" s="200"/>
      <c r="B1999" s="8"/>
      <c r="C1999" s="8"/>
      <c r="D1999" s="8"/>
      <c r="E1999" s="81"/>
      <c r="F1999" s="34"/>
      <c r="G1999" s="34"/>
      <c r="H1999" s="34"/>
    </row>
    <row r="2000" spans="1:8" ht="20">
      <c r="A2000" s="200"/>
      <c r="B2000" s="8"/>
      <c r="C2000" s="8"/>
      <c r="D2000" s="8"/>
      <c r="E2000" s="81"/>
      <c r="F2000" s="34"/>
      <c r="G2000" s="34"/>
      <c r="H2000" s="34"/>
    </row>
    <row r="2001" spans="1:8" ht="20">
      <c r="A2001" s="200"/>
      <c r="B2001" s="8"/>
      <c r="C2001" s="8"/>
      <c r="D2001" s="8"/>
      <c r="E2001" s="81"/>
      <c r="F2001" s="34"/>
      <c r="G2001" s="34"/>
      <c r="H2001" s="34"/>
    </row>
    <row r="2002" spans="1:8" ht="20">
      <c r="A2002" s="200"/>
      <c r="B2002" s="8"/>
      <c r="C2002" s="8"/>
      <c r="D2002" s="8"/>
      <c r="E2002" s="81"/>
      <c r="F2002" s="34"/>
      <c r="G2002" s="34"/>
      <c r="H2002" s="34"/>
    </row>
    <row r="2003" spans="1:8" ht="20">
      <c r="A2003" s="200"/>
      <c r="B2003" s="8"/>
      <c r="C2003" s="8"/>
      <c r="D2003" s="8"/>
      <c r="E2003" s="81"/>
      <c r="F2003" s="34"/>
      <c r="G2003" s="34"/>
      <c r="H2003" s="34"/>
    </row>
    <row r="2004" spans="1:8" ht="20">
      <c r="A2004" s="200"/>
      <c r="B2004" s="8"/>
      <c r="C2004" s="8"/>
      <c r="D2004" s="8"/>
      <c r="E2004" s="81"/>
      <c r="F2004" s="34"/>
      <c r="G2004" s="34"/>
      <c r="H2004" s="34"/>
    </row>
    <row r="2005" spans="1:8" ht="20">
      <c r="A2005" s="200"/>
      <c r="B2005" s="8"/>
      <c r="C2005" s="8"/>
      <c r="D2005" s="8"/>
      <c r="E2005" s="81"/>
      <c r="F2005" s="34"/>
      <c r="G2005" s="34"/>
      <c r="H2005" s="34"/>
    </row>
    <row r="2006" spans="1:8" ht="20">
      <c r="A2006" s="200"/>
      <c r="B2006" s="8"/>
      <c r="C2006" s="8"/>
      <c r="D2006" s="8"/>
      <c r="E2006" s="81"/>
      <c r="F2006" s="34"/>
      <c r="G2006" s="34"/>
      <c r="H2006" s="34"/>
    </row>
    <row r="2007" spans="1:8" ht="20">
      <c r="A2007" s="200"/>
      <c r="B2007" s="8"/>
      <c r="C2007" s="8"/>
      <c r="D2007" s="8"/>
      <c r="E2007" s="81"/>
      <c r="F2007" s="34"/>
      <c r="G2007" s="34"/>
      <c r="H2007" s="34"/>
    </row>
    <row r="2008" spans="1:8" ht="20">
      <c r="A2008" s="200"/>
      <c r="B2008" s="8"/>
      <c r="C2008" s="8"/>
      <c r="D2008" s="8"/>
      <c r="E2008" s="81"/>
      <c r="F2008" s="34"/>
      <c r="G2008" s="34"/>
      <c r="H2008" s="34"/>
    </row>
    <row r="2009" spans="1:8" ht="20">
      <c r="A2009" s="200"/>
      <c r="B2009" s="8"/>
      <c r="C2009" s="8"/>
      <c r="D2009" s="8"/>
      <c r="E2009" s="81"/>
      <c r="F2009" s="34"/>
      <c r="G2009" s="34"/>
      <c r="H2009" s="34"/>
    </row>
    <row r="2010" spans="1:8" ht="20">
      <c r="A2010" s="200"/>
      <c r="B2010" s="8"/>
      <c r="C2010" s="8"/>
      <c r="D2010" s="8"/>
      <c r="E2010" s="81"/>
      <c r="F2010" s="34"/>
      <c r="G2010" s="34"/>
      <c r="H2010" s="34"/>
    </row>
    <row r="2011" spans="1:8" ht="20">
      <c r="A2011" s="200"/>
      <c r="B2011" s="8"/>
      <c r="C2011" s="8"/>
      <c r="D2011" s="8"/>
      <c r="E2011" s="81"/>
      <c r="F2011" s="34"/>
      <c r="G2011" s="34"/>
      <c r="H2011" s="34"/>
    </row>
    <row r="2012" spans="1:8" ht="20">
      <c r="A2012" s="200"/>
      <c r="B2012" s="8"/>
      <c r="C2012" s="8"/>
      <c r="D2012" s="8"/>
      <c r="E2012" s="81"/>
      <c r="F2012" s="34"/>
      <c r="G2012" s="34"/>
      <c r="H2012" s="34"/>
    </row>
    <row r="2013" spans="1:8" ht="20">
      <c r="A2013" s="200"/>
      <c r="B2013" s="8"/>
      <c r="C2013" s="8"/>
      <c r="D2013" s="8"/>
      <c r="E2013" s="81"/>
      <c r="F2013" s="34"/>
      <c r="G2013" s="34"/>
      <c r="H2013" s="34"/>
    </row>
    <row r="2014" spans="1:8" ht="20">
      <c r="A2014" s="200"/>
      <c r="B2014" s="8"/>
      <c r="C2014" s="8"/>
      <c r="D2014" s="8"/>
      <c r="E2014" s="81"/>
      <c r="F2014" s="34"/>
      <c r="G2014" s="34"/>
      <c r="H2014" s="34"/>
    </row>
    <row r="2015" spans="1:8" ht="20">
      <c r="A2015" s="200"/>
      <c r="B2015" s="8"/>
      <c r="C2015" s="8"/>
      <c r="D2015" s="8"/>
      <c r="E2015" s="81"/>
      <c r="F2015" s="34"/>
      <c r="G2015" s="34"/>
      <c r="H2015" s="34"/>
    </row>
    <row r="2016" spans="1:8" ht="20">
      <c r="A2016" s="200"/>
      <c r="B2016" s="8"/>
      <c r="C2016" s="8"/>
      <c r="D2016" s="8"/>
      <c r="E2016" s="81"/>
      <c r="F2016" s="34"/>
      <c r="G2016" s="34"/>
      <c r="H2016" s="34"/>
    </row>
    <row r="2017" spans="1:8" ht="20">
      <c r="A2017" s="200"/>
      <c r="B2017" s="8"/>
      <c r="C2017" s="8"/>
      <c r="D2017" s="8"/>
      <c r="E2017" s="81"/>
      <c r="F2017" s="34"/>
      <c r="G2017" s="34"/>
      <c r="H2017" s="34"/>
    </row>
    <row r="2018" spans="1:8" ht="20">
      <c r="A2018" s="200"/>
      <c r="B2018" s="8"/>
      <c r="C2018" s="8"/>
      <c r="D2018" s="8"/>
      <c r="E2018" s="81"/>
      <c r="F2018" s="34"/>
      <c r="G2018" s="34"/>
      <c r="H2018" s="34"/>
    </row>
    <row r="2019" spans="1:8" ht="20">
      <c r="A2019" s="200"/>
      <c r="B2019" s="8"/>
      <c r="C2019" s="8"/>
      <c r="D2019" s="8"/>
      <c r="E2019" s="81"/>
      <c r="F2019" s="34"/>
      <c r="G2019" s="34"/>
      <c r="H2019" s="34"/>
    </row>
    <row r="2020" spans="1:8" ht="20">
      <c r="A2020" s="200"/>
      <c r="B2020" s="8"/>
      <c r="C2020" s="8"/>
      <c r="D2020" s="8"/>
      <c r="E2020" s="81"/>
      <c r="F2020" s="34"/>
      <c r="G2020" s="34"/>
      <c r="H2020" s="34"/>
    </row>
    <row r="2021" spans="1:8" ht="20">
      <c r="A2021" s="200"/>
      <c r="B2021" s="8"/>
      <c r="C2021" s="8"/>
      <c r="D2021" s="8"/>
      <c r="E2021" s="81"/>
      <c r="F2021" s="34"/>
      <c r="G2021" s="34"/>
      <c r="H2021" s="34"/>
    </row>
    <row r="2022" spans="1:8" ht="20">
      <c r="A2022" s="200"/>
      <c r="B2022" s="8"/>
      <c r="C2022" s="8"/>
      <c r="D2022" s="8"/>
      <c r="E2022" s="81"/>
      <c r="F2022" s="34"/>
      <c r="G2022" s="34"/>
      <c r="H2022" s="34"/>
    </row>
    <row r="2023" spans="1:8" ht="20">
      <c r="A2023" s="200"/>
      <c r="B2023" s="8"/>
      <c r="C2023" s="8"/>
      <c r="D2023" s="8"/>
      <c r="E2023" s="81"/>
      <c r="F2023" s="34"/>
      <c r="G2023" s="34"/>
      <c r="H2023" s="34"/>
    </row>
    <row r="2024" spans="1:8" ht="20">
      <c r="A2024" s="200"/>
      <c r="B2024" s="8"/>
      <c r="C2024" s="8"/>
      <c r="D2024" s="8"/>
      <c r="E2024" s="81"/>
      <c r="F2024" s="34"/>
      <c r="G2024" s="34"/>
      <c r="H2024" s="34"/>
    </row>
    <row r="2025" spans="1:8" ht="20">
      <c r="A2025" s="200"/>
      <c r="B2025" s="8"/>
      <c r="C2025" s="8"/>
      <c r="D2025" s="8"/>
      <c r="E2025" s="81"/>
      <c r="F2025" s="34"/>
      <c r="G2025" s="34"/>
      <c r="H2025" s="34"/>
    </row>
    <row r="2026" spans="1:8" ht="20">
      <c r="A2026" s="200"/>
      <c r="B2026" s="8"/>
      <c r="C2026" s="8"/>
      <c r="D2026" s="8"/>
      <c r="E2026" s="81"/>
      <c r="F2026" s="34"/>
      <c r="G2026" s="34"/>
      <c r="H2026" s="34"/>
    </row>
    <row r="2027" spans="1:8" ht="20">
      <c r="A2027" s="200"/>
      <c r="B2027" s="8"/>
      <c r="C2027" s="8"/>
      <c r="D2027" s="8"/>
      <c r="E2027" s="81"/>
      <c r="F2027" s="34"/>
      <c r="G2027" s="34"/>
      <c r="H2027" s="34"/>
    </row>
    <row r="2028" spans="1:8" ht="20">
      <c r="A2028" s="200"/>
      <c r="B2028" s="8"/>
      <c r="C2028" s="8"/>
      <c r="D2028" s="8"/>
      <c r="E2028" s="81"/>
      <c r="F2028" s="34"/>
      <c r="G2028" s="34"/>
      <c r="H2028" s="34"/>
    </row>
    <row r="2029" spans="1:8" ht="20">
      <c r="A2029" s="200"/>
      <c r="B2029" s="8"/>
      <c r="C2029" s="8"/>
      <c r="D2029" s="8"/>
      <c r="E2029" s="81"/>
      <c r="F2029" s="34"/>
      <c r="G2029" s="34"/>
      <c r="H2029" s="34"/>
    </row>
    <row r="2030" spans="1:8" ht="20">
      <c r="A2030" s="200"/>
      <c r="B2030" s="8"/>
      <c r="C2030" s="8"/>
      <c r="D2030" s="8"/>
      <c r="E2030" s="81"/>
      <c r="F2030" s="34"/>
      <c r="G2030" s="34"/>
      <c r="H2030" s="34"/>
    </row>
    <row r="2031" spans="1:8" ht="20">
      <c r="A2031" s="200"/>
      <c r="B2031" s="8"/>
      <c r="C2031" s="8"/>
      <c r="D2031" s="8"/>
      <c r="E2031" s="81"/>
      <c r="F2031" s="34"/>
      <c r="G2031" s="34"/>
      <c r="H2031" s="34"/>
    </row>
    <row r="2032" spans="1:8" ht="20">
      <c r="A2032" s="200"/>
      <c r="B2032" s="8"/>
      <c r="C2032" s="8"/>
      <c r="D2032" s="8"/>
      <c r="E2032" s="81"/>
      <c r="F2032" s="34"/>
      <c r="G2032" s="34"/>
      <c r="H2032" s="34"/>
    </row>
    <row r="2033" spans="1:8" ht="20">
      <c r="A2033" s="200"/>
      <c r="B2033" s="8"/>
      <c r="C2033" s="8"/>
      <c r="D2033" s="8"/>
      <c r="E2033" s="81"/>
      <c r="F2033" s="34"/>
      <c r="G2033" s="34"/>
      <c r="H2033" s="34"/>
    </row>
    <row r="2034" spans="1:8" ht="20">
      <c r="A2034" s="200"/>
      <c r="B2034" s="8"/>
      <c r="C2034" s="8"/>
      <c r="D2034" s="8"/>
      <c r="E2034" s="81"/>
      <c r="F2034" s="34"/>
      <c r="G2034" s="34"/>
      <c r="H2034" s="34"/>
    </row>
    <row r="2035" spans="1:8" ht="20">
      <c r="A2035" s="200"/>
      <c r="B2035" s="8"/>
      <c r="C2035" s="8"/>
      <c r="D2035" s="8"/>
      <c r="E2035" s="81"/>
      <c r="F2035" s="34"/>
      <c r="G2035" s="34"/>
      <c r="H2035" s="34"/>
    </row>
    <row r="2036" spans="1:8" ht="20">
      <c r="A2036" s="200"/>
      <c r="B2036" s="8"/>
      <c r="C2036" s="8"/>
      <c r="D2036" s="8"/>
      <c r="E2036" s="81"/>
      <c r="F2036" s="34"/>
      <c r="G2036" s="34"/>
      <c r="H2036" s="34"/>
    </row>
    <row r="2037" spans="1:8" ht="20">
      <c r="A2037" s="200"/>
      <c r="B2037" s="8"/>
      <c r="C2037" s="8"/>
      <c r="D2037" s="8"/>
      <c r="E2037" s="81"/>
      <c r="F2037" s="34"/>
      <c r="G2037" s="34"/>
      <c r="H2037" s="34"/>
    </row>
    <row r="2038" spans="1:8" ht="20">
      <c r="A2038" s="200"/>
      <c r="B2038" s="8"/>
      <c r="C2038" s="8"/>
      <c r="D2038" s="8"/>
      <c r="E2038" s="81"/>
      <c r="F2038" s="34"/>
      <c r="G2038" s="34"/>
      <c r="H2038" s="34"/>
    </row>
    <row r="2039" spans="1:8" ht="20">
      <c r="A2039" s="200"/>
      <c r="B2039" s="8"/>
      <c r="C2039" s="8"/>
      <c r="D2039" s="8"/>
      <c r="E2039" s="81"/>
      <c r="F2039" s="34"/>
      <c r="G2039" s="34"/>
      <c r="H2039" s="34"/>
    </row>
    <row r="2040" spans="1:8" ht="20">
      <c r="A2040" s="200"/>
      <c r="B2040" s="8"/>
      <c r="C2040" s="8"/>
      <c r="D2040" s="8"/>
      <c r="E2040" s="81"/>
      <c r="F2040" s="34"/>
      <c r="G2040" s="34"/>
      <c r="H2040" s="34"/>
    </row>
    <row r="2041" spans="1:8" ht="20">
      <c r="A2041" s="200"/>
      <c r="B2041" s="8"/>
      <c r="C2041" s="8"/>
      <c r="D2041" s="8"/>
      <c r="E2041" s="81"/>
      <c r="F2041" s="34"/>
      <c r="G2041" s="34"/>
      <c r="H2041" s="34"/>
    </row>
    <row r="2042" spans="1:8" ht="20">
      <c r="A2042" s="200"/>
      <c r="B2042" s="8"/>
      <c r="C2042" s="8"/>
      <c r="D2042" s="8"/>
      <c r="E2042" s="81"/>
      <c r="F2042" s="34"/>
      <c r="G2042" s="34"/>
      <c r="H2042" s="34"/>
    </row>
    <row r="2043" spans="1:8" ht="20">
      <c r="A2043" s="200"/>
      <c r="B2043" s="8"/>
      <c r="C2043" s="8"/>
      <c r="D2043" s="8"/>
      <c r="E2043" s="81"/>
      <c r="F2043" s="34"/>
      <c r="G2043" s="34"/>
      <c r="H2043" s="34"/>
    </row>
    <row r="2044" spans="1:8" ht="20">
      <c r="A2044" s="200"/>
      <c r="B2044" s="8"/>
      <c r="C2044" s="8"/>
      <c r="D2044" s="8"/>
      <c r="E2044" s="81"/>
      <c r="F2044" s="34"/>
      <c r="G2044" s="34"/>
      <c r="H2044" s="34"/>
    </row>
    <row r="2045" spans="1:8" ht="20">
      <c r="A2045" s="200"/>
      <c r="B2045" s="8"/>
      <c r="C2045" s="8"/>
      <c r="D2045" s="8"/>
      <c r="E2045" s="81"/>
      <c r="F2045" s="34"/>
      <c r="G2045" s="34"/>
      <c r="H2045" s="34"/>
    </row>
    <row r="2046" spans="1:8" ht="20">
      <c r="A2046" s="200"/>
      <c r="B2046" s="8"/>
      <c r="C2046" s="8"/>
      <c r="D2046" s="8"/>
      <c r="E2046" s="81"/>
      <c r="F2046" s="34"/>
      <c r="G2046" s="34"/>
      <c r="H2046" s="34"/>
    </row>
    <row r="2047" spans="1:8" ht="20">
      <c r="A2047" s="200"/>
      <c r="B2047" s="8"/>
      <c r="C2047" s="8"/>
      <c r="D2047" s="8"/>
      <c r="E2047" s="81"/>
      <c r="F2047" s="34"/>
      <c r="G2047" s="34"/>
      <c r="H2047" s="34"/>
    </row>
    <row r="2048" spans="1:8" ht="20">
      <c r="A2048" s="200"/>
      <c r="B2048" s="8"/>
      <c r="C2048" s="8"/>
      <c r="D2048" s="8"/>
      <c r="E2048" s="81"/>
      <c r="F2048" s="34"/>
      <c r="G2048" s="34"/>
      <c r="H2048" s="34"/>
    </row>
    <row r="2049" spans="1:8" ht="20">
      <c r="A2049" s="200"/>
      <c r="B2049" s="8"/>
      <c r="C2049" s="8"/>
      <c r="D2049" s="8"/>
      <c r="E2049" s="81"/>
      <c r="F2049" s="34"/>
      <c r="G2049" s="34"/>
      <c r="H2049" s="34"/>
    </row>
    <row r="2050" spans="1:8" ht="20">
      <c r="A2050" s="200"/>
      <c r="B2050" s="8"/>
      <c r="C2050" s="8"/>
      <c r="D2050" s="8"/>
      <c r="E2050" s="81"/>
      <c r="F2050" s="34"/>
      <c r="G2050" s="34"/>
      <c r="H2050" s="34"/>
    </row>
    <row r="2051" spans="1:8" ht="20">
      <c r="A2051" s="200"/>
      <c r="B2051" s="8"/>
      <c r="C2051" s="8"/>
      <c r="D2051" s="8"/>
      <c r="E2051" s="81"/>
      <c r="F2051" s="34"/>
      <c r="G2051" s="34"/>
      <c r="H2051" s="34"/>
    </row>
    <row r="2052" spans="1:8" ht="20">
      <c r="A2052" s="200"/>
      <c r="B2052" s="8"/>
      <c r="C2052" s="8"/>
      <c r="D2052" s="8"/>
      <c r="E2052" s="81"/>
      <c r="F2052" s="34"/>
      <c r="G2052" s="34"/>
      <c r="H2052" s="34"/>
    </row>
    <row r="2053" spans="1:8" ht="20">
      <c r="A2053" s="200"/>
      <c r="B2053" s="8"/>
      <c r="C2053" s="8"/>
      <c r="D2053" s="8"/>
      <c r="E2053" s="81"/>
      <c r="F2053" s="34"/>
      <c r="G2053" s="34"/>
      <c r="H2053" s="34"/>
    </row>
    <row r="2054" spans="1:8" ht="20">
      <c r="A2054" s="200"/>
      <c r="B2054" s="8"/>
      <c r="C2054" s="8"/>
      <c r="D2054" s="8"/>
      <c r="E2054" s="81"/>
      <c r="F2054" s="34"/>
      <c r="G2054" s="34"/>
      <c r="H2054" s="34"/>
    </row>
    <row r="2055" spans="1:8" ht="20">
      <c r="A2055" s="200"/>
      <c r="B2055" s="8"/>
      <c r="C2055" s="8"/>
      <c r="D2055" s="8"/>
      <c r="E2055" s="81"/>
      <c r="F2055" s="34"/>
      <c r="G2055" s="34"/>
      <c r="H2055" s="34"/>
    </row>
    <row r="2056" spans="1:8" ht="20">
      <c r="A2056" s="200"/>
      <c r="B2056" s="8"/>
      <c r="C2056" s="8"/>
      <c r="D2056" s="8"/>
      <c r="E2056" s="81"/>
      <c r="F2056" s="34"/>
      <c r="G2056" s="34"/>
      <c r="H2056" s="34"/>
    </row>
    <row r="2057" spans="1:8" ht="20">
      <c r="A2057" s="200"/>
      <c r="B2057" s="8"/>
      <c r="C2057" s="8"/>
      <c r="D2057" s="8"/>
      <c r="E2057" s="81"/>
      <c r="F2057" s="34"/>
      <c r="G2057" s="34"/>
      <c r="H2057" s="34"/>
    </row>
    <row r="2058" spans="1:8" ht="20">
      <c r="A2058" s="200"/>
      <c r="B2058" s="8"/>
      <c r="C2058" s="8"/>
      <c r="D2058" s="8"/>
      <c r="E2058" s="81"/>
      <c r="F2058" s="34"/>
      <c r="G2058" s="34"/>
      <c r="H2058" s="34"/>
    </row>
    <row r="2059" spans="1:8" ht="20">
      <c r="A2059" s="200"/>
      <c r="B2059" s="8"/>
      <c r="C2059" s="8"/>
      <c r="D2059" s="8"/>
      <c r="E2059" s="81"/>
      <c r="F2059" s="34"/>
      <c r="G2059" s="34"/>
      <c r="H2059" s="34"/>
    </row>
    <row r="2060" spans="1:8" ht="20">
      <c r="A2060" s="200"/>
      <c r="B2060" s="8"/>
      <c r="C2060" s="8"/>
      <c r="D2060" s="8"/>
      <c r="E2060" s="81"/>
      <c r="F2060" s="34"/>
      <c r="G2060" s="34"/>
      <c r="H2060" s="34"/>
    </row>
    <row r="2061" spans="1:8" ht="20">
      <c r="A2061" s="200"/>
      <c r="B2061" s="8"/>
      <c r="C2061" s="8"/>
      <c r="D2061" s="8"/>
      <c r="E2061" s="81"/>
      <c r="F2061" s="34"/>
      <c r="G2061" s="34"/>
      <c r="H2061" s="34"/>
    </row>
    <row r="2062" spans="1:8" ht="20">
      <c r="A2062" s="200"/>
      <c r="B2062" s="8"/>
      <c r="C2062" s="8"/>
      <c r="D2062" s="8"/>
      <c r="E2062" s="81"/>
      <c r="F2062" s="34"/>
      <c r="G2062" s="34"/>
      <c r="H2062" s="34"/>
    </row>
    <row r="2063" spans="1:8" ht="20">
      <c r="A2063" s="200"/>
      <c r="B2063" s="8"/>
      <c r="C2063" s="8"/>
      <c r="D2063" s="8"/>
      <c r="E2063" s="81"/>
      <c r="F2063" s="34"/>
      <c r="G2063" s="34"/>
      <c r="H2063" s="34"/>
    </row>
    <row r="2064" spans="1:8" ht="20">
      <c r="A2064" s="200"/>
      <c r="B2064" s="8"/>
      <c r="C2064" s="8"/>
      <c r="D2064" s="8"/>
      <c r="E2064" s="81"/>
      <c r="F2064" s="34"/>
      <c r="G2064" s="34"/>
      <c r="H2064" s="34"/>
    </row>
    <row r="2065" spans="1:8" ht="20">
      <c r="A2065" s="200"/>
      <c r="B2065" s="8"/>
      <c r="C2065" s="8"/>
      <c r="D2065" s="8"/>
      <c r="E2065" s="81"/>
      <c r="F2065" s="34"/>
      <c r="G2065" s="34"/>
      <c r="H2065" s="34"/>
    </row>
    <row r="2066" spans="1:8" ht="20">
      <c r="A2066" s="200"/>
      <c r="B2066" s="8"/>
      <c r="C2066" s="8"/>
      <c r="D2066" s="8"/>
      <c r="E2066" s="81"/>
      <c r="F2066" s="34"/>
      <c r="G2066" s="34"/>
      <c r="H2066" s="34"/>
    </row>
    <row r="2067" spans="1:8" ht="20">
      <c r="A2067" s="200"/>
      <c r="B2067" s="8"/>
      <c r="C2067" s="8"/>
      <c r="D2067" s="8"/>
      <c r="E2067" s="81"/>
      <c r="F2067" s="34"/>
      <c r="G2067" s="34"/>
      <c r="H2067" s="34"/>
    </row>
    <row r="2068" spans="1:8" ht="20">
      <c r="A2068" s="200"/>
      <c r="B2068" s="8"/>
      <c r="C2068" s="8"/>
      <c r="D2068" s="8"/>
      <c r="E2068" s="81"/>
      <c r="F2068" s="34"/>
      <c r="G2068" s="34"/>
      <c r="H2068" s="34"/>
    </row>
    <row r="2069" spans="1:8" ht="20">
      <c r="A2069" s="200"/>
      <c r="B2069" s="8"/>
      <c r="C2069" s="8"/>
      <c r="D2069" s="8"/>
      <c r="E2069" s="81"/>
      <c r="F2069" s="34"/>
      <c r="G2069" s="34"/>
      <c r="H2069" s="34"/>
    </row>
    <row r="2070" spans="1:8" ht="20">
      <c r="A2070" s="200"/>
      <c r="B2070" s="8"/>
      <c r="C2070" s="8"/>
      <c r="D2070" s="8"/>
      <c r="E2070" s="81"/>
      <c r="F2070" s="34"/>
      <c r="G2070" s="34"/>
      <c r="H2070" s="34"/>
    </row>
    <row r="2071" spans="1:8" ht="20">
      <c r="A2071" s="200"/>
      <c r="B2071" s="8"/>
      <c r="C2071" s="8"/>
      <c r="D2071" s="8"/>
      <c r="E2071" s="81"/>
      <c r="F2071" s="34"/>
      <c r="G2071" s="34"/>
      <c r="H2071" s="34"/>
    </row>
    <row r="2072" spans="1:8" ht="20">
      <c r="A2072" s="200"/>
      <c r="B2072" s="8"/>
      <c r="C2072" s="8"/>
      <c r="D2072" s="8"/>
      <c r="E2072" s="81"/>
      <c r="F2072" s="34"/>
      <c r="G2072" s="34"/>
      <c r="H2072" s="34"/>
    </row>
    <row r="2073" spans="1:8" ht="20">
      <c r="A2073" s="200"/>
      <c r="B2073" s="8"/>
      <c r="C2073" s="8"/>
      <c r="D2073" s="8"/>
      <c r="E2073" s="81"/>
      <c r="F2073" s="34"/>
      <c r="G2073" s="34"/>
      <c r="H2073" s="34"/>
    </row>
    <row r="2074" spans="1:8" ht="20">
      <c r="A2074" s="200"/>
      <c r="B2074" s="8"/>
      <c r="C2074" s="8"/>
      <c r="D2074" s="8"/>
      <c r="E2074" s="81"/>
      <c r="F2074" s="34"/>
      <c r="G2074" s="34"/>
      <c r="H2074" s="34"/>
    </row>
    <row r="2075" spans="1:8" ht="20">
      <c r="A2075" s="200"/>
      <c r="B2075" s="8"/>
      <c r="C2075" s="8"/>
      <c r="D2075" s="8"/>
      <c r="E2075" s="81"/>
      <c r="F2075" s="34"/>
      <c r="G2075" s="34"/>
      <c r="H2075" s="34"/>
    </row>
    <row r="2076" spans="1:8" ht="20">
      <c r="A2076" s="200"/>
      <c r="B2076" s="8"/>
      <c r="C2076" s="8"/>
      <c r="D2076" s="8"/>
      <c r="E2076" s="81"/>
      <c r="F2076" s="34"/>
      <c r="G2076" s="34"/>
      <c r="H2076" s="34"/>
    </row>
    <row r="2077" spans="1:8" ht="20">
      <c r="A2077" s="200"/>
      <c r="B2077" s="8"/>
      <c r="C2077" s="8"/>
      <c r="D2077" s="8"/>
      <c r="E2077" s="81"/>
      <c r="F2077" s="34"/>
      <c r="G2077" s="34"/>
      <c r="H2077" s="34"/>
    </row>
    <row r="2078" spans="1:8" ht="20">
      <c r="A2078" s="200"/>
      <c r="B2078" s="8"/>
      <c r="C2078" s="8"/>
      <c r="D2078" s="8"/>
      <c r="E2078" s="81"/>
      <c r="F2078" s="34"/>
      <c r="G2078" s="34"/>
      <c r="H2078" s="34"/>
    </row>
    <row r="2079" spans="1:8" ht="20">
      <c r="A2079" s="200"/>
      <c r="B2079" s="8"/>
      <c r="C2079" s="8"/>
      <c r="D2079" s="8"/>
      <c r="E2079" s="81"/>
      <c r="F2079" s="34"/>
      <c r="G2079" s="34"/>
      <c r="H2079" s="34"/>
    </row>
    <row r="2080" spans="1:8" ht="20">
      <c r="A2080" s="200"/>
      <c r="B2080" s="8"/>
      <c r="C2080" s="8"/>
      <c r="D2080" s="8"/>
      <c r="E2080" s="81"/>
      <c r="F2080" s="34"/>
      <c r="G2080" s="34"/>
      <c r="H2080" s="34"/>
    </row>
    <row r="2081" spans="1:8" ht="20">
      <c r="A2081" s="200"/>
      <c r="B2081" s="8"/>
      <c r="C2081" s="8"/>
      <c r="D2081" s="8"/>
      <c r="E2081" s="81"/>
      <c r="F2081" s="34"/>
      <c r="G2081" s="34"/>
      <c r="H2081" s="34"/>
    </row>
    <row r="2082" spans="1:8" ht="20">
      <c r="A2082" s="200"/>
      <c r="B2082" s="8"/>
      <c r="C2082" s="8"/>
      <c r="D2082" s="8"/>
      <c r="E2082" s="81"/>
      <c r="F2082" s="34"/>
      <c r="G2082" s="34"/>
      <c r="H2082" s="34"/>
    </row>
    <row r="2083" spans="1:8" ht="20">
      <c r="A2083" s="200"/>
      <c r="B2083" s="8"/>
      <c r="C2083" s="8"/>
      <c r="D2083" s="8"/>
      <c r="E2083" s="81"/>
      <c r="F2083" s="34"/>
      <c r="G2083" s="34"/>
      <c r="H2083" s="34"/>
    </row>
    <row r="2084" spans="1:8" ht="20">
      <c r="A2084" s="200"/>
      <c r="B2084" s="8"/>
      <c r="C2084" s="8"/>
      <c r="D2084" s="8"/>
      <c r="E2084" s="81"/>
      <c r="F2084" s="34"/>
      <c r="G2084" s="34"/>
      <c r="H2084" s="34"/>
    </row>
    <row r="2085" spans="1:8" ht="20">
      <c r="A2085" s="200"/>
      <c r="B2085" s="8"/>
      <c r="C2085" s="8"/>
      <c r="D2085" s="8"/>
      <c r="E2085" s="81"/>
      <c r="F2085" s="34"/>
      <c r="G2085" s="34"/>
      <c r="H2085" s="34"/>
    </row>
    <row r="2086" spans="1:8" ht="20">
      <c r="A2086" s="200"/>
      <c r="B2086" s="8"/>
      <c r="C2086" s="8"/>
      <c r="D2086" s="8"/>
      <c r="E2086" s="81"/>
      <c r="F2086" s="34"/>
      <c r="G2086" s="34"/>
      <c r="H2086" s="34"/>
    </row>
    <row r="2087" spans="1:8" ht="20">
      <c r="A2087" s="200"/>
      <c r="B2087" s="8"/>
      <c r="C2087" s="8"/>
      <c r="D2087" s="8"/>
      <c r="E2087" s="81"/>
      <c r="F2087" s="34"/>
      <c r="G2087" s="34"/>
      <c r="H2087" s="34"/>
    </row>
    <row r="2088" spans="1:8" ht="20">
      <c r="A2088" s="200"/>
      <c r="B2088" s="8"/>
      <c r="C2088" s="8"/>
      <c r="D2088" s="8"/>
      <c r="E2088" s="81"/>
      <c r="F2088" s="34"/>
      <c r="G2088" s="34"/>
      <c r="H2088" s="34"/>
    </row>
    <row r="2089" spans="1:8" ht="20">
      <c r="A2089" s="200"/>
      <c r="B2089" s="8"/>
      <c r="C2089" s="8"/>
      <c r="D2089" s="8"/>
      <c r="E2089" s="81"/>
      <c r="F2089" s="34"/>
      <c r="G2089" s="34"/>
      <c r="H2089" s="34"/>
    </row>
    <row r="2090" spans="1:8" ht="20">
      <c r="A2090" s="200"/>
      <c r="B2090" s="8"/>
      <c r="C2090" s="8"/>
      <c r="D2090" s="8"/>
      <c r="E2090" s="81"/>
      <c r="F2090" s="34"/>
      <c r="G2090" s="34"/>
      <c r="H2090" s="34"/>
    </row>
    <row r="2091" spans="1:8" ht="20">
      <c r="A2091" s="200"/>
      <c r="B2091" s="8"/>
      <c r="C2091" s="8"/>
      <c r="D2091" s="8"/>
      <c r="E2091" s="81"/>
      <c r="F2091" s="34"/>
      <c r="G2091" s="34"/>
      <c r="H2091" s="34"/>
    </row>
    <row r="2092" spans="1:8" ht="20">
      <c r="A2092" s="200"/>
      <c r="B2092" s="8"/>
      <c r="C2092" s="8"/>
      <c r="D2092" s="8"/>
      <c r="E2092" s="81"/>
      <c r="F2092" s="34"/>
      <c r="G2092" s="34"/>
      <c r="H2092" s="34"/>
    </row>
    <row r="2093" spans="1:8" ht="20">
      <c r="A2093" s="200"/>
      <c r="B2093" s="8"/>
      <c r="C2093" s="8"/>
      <c r="D2093" s="8"/>
      <c r="E2093" s="81"/>
      <c r="F2093" s="34"/>
      <c r="G2093" s="34"/>
      <c r="H2093" s="34"/>
    </row>
    <row r="2094" spans="1:8" ht="20">
      <c r="A2094" s="200"/>
      <c r="B2094" s="8"/>
      <c r="C2094" s="8"/>
      <c r="D2094" s="8"/>
      <c r="E2094" s="81"/>
      <c r="F2094" s="34"/>
      <c r="G2094" s="34"/>
      <c r="H2094" s="34"/>
    </row>
    <row r="2095" spans="1:8" ht="20">
      <c r="A2095" s="200"/>
      <c r="B2095" s="8"/>
      <c r="C2095" s="8"/>
      <c r="D2095" s="8"/>
      <c r="E2095" s="81"/>
      <c r="F2095" s="34"/>
      <c r="G2095" s="34"/>
      <c r="H2095" s="34"/>
    </row>
    <row r="2096" spans="1:8" ht="20">
      <c r="A2096" s="200"/>
      <c r="B2096" s="8"/>
      <c r="C2096" s="8"/>
      <c r="D2096" s="8"/>
      <c r="E2096" s="81"/>
      <c r="F2096" s="34"/>
      <c r="G2096" s="34"/>
      <c r="H2096" s="34"/>
    </row>
    <row r="2097" spans="1:8" ht="20">
      <c r="A2097" s="200"/>
      <c r="B2097" s="8"/>
      <c r="C2097" s="8"/>
      <c r="D2097" s="8"/>
      <c r="E2097" s="81"/>
      <c r="F2097" s="34"/>
      <c r="G2097" s="34"/>
      <c r="H2097" s="34"/>
    </row>
    <row r="2098" spans="1:8" ht="20">
      <c r="A2098" s="200"/>
      <c r="B2098" s="8"/>
      <c r="C2098" s="8"/>
      <c r="D2098" s="8"/>
      <c r="E2098" s="81"/>
      <c r="F2098" s="34"/>
      <c r="G2098" s="34"/>
      <c r="H2098" s="34"/>
    </row>
    <row r="2099" spans="1:8" ht="20">
      <c r="A2099" s="200"/>
      <c r="B2099" s="8"/>
      <c r="C2099" s="8"/>
      <c r="D2099" s="8"/>
      <c r="E2099" s="81"/>
      <c r="F2099" s="34"/>
      <c r="G2099" s="34"/>
      <c r="H2099" s="34"/>
    </row>
    <row r="2100" spans="1:8" ht="20">
      <c r="A2100" s="200"/>
      <c r="B2100" s="8"/>
      <c r="C2100" s="8"/>
      <c r="D2100" s="8"/>
      <c r="E2100" s="81"/>
      <c r="F2100" s="34"/>
      <c r="G2100" s="34"/>
      <c r="H2100" s="34"/>
    </row>
    <row r="2101" spans="1:8" ht="20">
      <c r="A2101" s="200"/>
      <c r="B2101" s="8"/>
      <c r="C2101" s="8"/>
      <c r="D2101" s="8"/>
      <c r="E2101" s="81"/>
      <c r="F2101" s="34"/>
      <c r="G2101" s="34"/>
      <c r="H2101" s="34"/>
    </row>
    <row r="2102" spans="1:8" ht="20">
      <c r="A2102" s="200"/>
      <c r="B2102" s="8"/>
      <c r="C2102" s="8"/>
      <c r="D2102" s="8"/>
      <c r="E2102" s="81"/>
      <c r="F2102" s="34"/>
      <c r="G2102" s="34"/>
      <c r="H2102" s="34"/>
    </row>
    <row r="2103" spans="1:8" ht="20">
      <c r="A2103" s="200"/>
      <c r="B2103" s="8"/>
      <c r="C2103" s="8"/>
      <c r="D2103" s="8"/>
      <c r="E2103" s="81"/>
      <c r="F2103" s="34"/>
      <c r="G2103" s="34"/>
      <c r="H2103" s="34"/>
    </row>
    <row r="2104" spans="1:8" ht="20">
      <c r="A2104" s="200"/>
      <c r="B2104" s="8"/>
      <c r="C2104" s="8"/>
      <c r="D2104" s="8"/>
      <c r="E2104" s="81"/>
      <c r="F2104" s="34"/>
      <c r="G2104" s="34"/>
      <c r="H2104" s="34"/>
    </row>
    <row r="2105" spans="1:8" ht="20">
      <c r="A2105" s="200"/>
      <c r="B2105" s="8"/>
      <c r="C2105" s="8"/>
      <c r="D2105" s="8"/>
      <c r="E2105" s="81"/>
      <c r="F2105" s="34"/>
      <c r="G2105" s="34"/>
      <c r="H2105" s="34"/>
    </row>
    <row r="2106" spans="1:8" ht="20">
      <c r="A2106" s="200"/>
      <c r="B2106" s="8"/>
      <c r="C2106" s="8"/>
      <c r="D2106" s="8"/>
      <c r="E2106" s="81"/>
      <c r="F2106" s="34"/>
      <c r="G2106" s="34"/>
      <c r="H2106" s="34"/>
    </row>
    <row r="2107" spans="1:8" ht="20">
      <c r="A2107" s="200"/>
      <c r="B2107" s="8"/>
      <c r="C2107" s="8"/>
      <c r="D2107" s="8"/>
      <c r="E2107" s="81"/>
      <c r="F2107" s="34"/>
      <c r="G2107" s="34"/>
      <c r="H2107" s="34"/>
    </row>
    <row r="2108" spans="1:8" ht="20">
      <c r="A2108" s="200"/>
      <c r="B2108" s="8"/>
      <c r="C2108" s="8"/>
      <c r="D2108" s="8"/>
      <c r="E2108" s="81"/>
      <c r="F2108" s="34"/>
      <c r="G2108" s="34"/>
      <c r="H2108" s="34"/>
    </row>
    <row r="2109" spans="1:8" ht="20">
      <c r="A2109" s="200"/>
      <c r="B2109" s="8"/>
      <c r="C2109" s="8"/>
      <c r="D2109" s="8"/>
      <c r="E2109" s="81"/>
      <c r="F2109" s="34"/>
      <c r="G2109" s="34"/>
      <c r="H2109" s="34"/>
    </row>
    <row r="2110" spans="1:8" ht="20">
      <c r="A2110" s="200"/>
      <c r="B2110" s="8"/>
      <c r="C2110" s="8"/>
      <c r="D2110" s="8"/>
      <c r="E2110" s="81"/>
      <c r="F2110" s="34"/>
      <c r="G2110" s="34"/>
      <c r="H2110" s="34"/>
    </row>
    <row r="2111" spans="1:8" ht="20">
      <c r="A2111" s="200"/>
      <c r="B2111" s="8"/>
      <c r="C2111" s="8"/>
      <c r="D2111" s="8"/>
      <c r="E2111" s="81"/>
      <c r="F2111" s="34"/>
      <c r="G2111" s="34"/>
      <c r="H2111" s="34"/>
    </row>
    <row r="2112" spans="1:8" ht="20">
      <c r="A2112" s="200"/>
      <c r="B2112" s="8"/>
      <c r="C2112" s="8"/>
      <c r="D2112" s="8"/>
      <c r="E2112" s="81"/>
      <c r="F2112" s="34"/>
      <c r="G2112" s="34"/>
      <c r="H2112" s="34"/>
    </row>
    <row r="2113" spans="1:8" ht="20">
      <c r="A2113" s="200"/>
      <c r="B2113" s="8"/>
      <c r="C2113" s="8"/>
      <c r="D2113" s="8"/>
      <c r="E2113" s="81"/>
      <c r="F2113" s="34"/>
      <c r="G2113" s="34"/>
      <c r="H2113" s="34"/>
    </row>
    <row r="2114" spans="1:8" ht="20">
      <c r="A2114" s="200"/>
      <c r="B2114" s="8"/>
      <c r="C2114" s="8"/>
      <c r="D2114" s="8"/>
      <c r="E2114" s="81"/>
      <c r="F2114" s="34"/>
      <c r="G2114" s="34"/>
      <c r="H2114" s="34"/>
    </row>
    <row r="2115" spans="1:8" ht="20">
      <c r="A2115" s="200"/>
      <c r="B2115" s="8"/>
      <c r="C2115" s="8"/>
      <c r="D2115" s="8"/>
      <c r="E2115" s="81"/>
      <c r="F2115" s="34"/>
      <c r="G2115" s="34"/>
      <c r="H2115" s="34"/>
    </row>
    <row r="2116" spans="1:8" ht="20">
      <c r="A2116" s="200"/>
      <c r="B2116" s="8"/>
      <c r="C2116" s="8"/>
      <c r="D2116" s="8"/>
      <c r="E2116" s="81"/>
      <c r="F2116" s="34"/>
      <c r="G2116" s="34"/>
      <c r="H2116" s="34"/>
    </row>
    <row r="2117" spans="1:8" ht="20">
      <c r="A2117" s="200"/>
      <c r="B2117" s="8"/>
      <c r="C2117" s="8"/>
      <c r="D2117" s="8"/>
      <c r="E2117" s="81"/>
      <c r="F2117" s="34"/>
      <c r="G2117" s="34"/>
      <c r="H2117" s="34"/>
    </row>
    <row r="2118" spans="1:8" ht="20">
      <c r="A2118" s="200"/>
      <c r="B2118" s="8"/>
      <c r="C2118" s="8"/>
      <c r="D2118" s="8"/>
      <c r="E2118" s="81"/>
      <c r="F2118" s="34"/>
      <c r="G2118" s="34"/>
      <c r="H2118" s="34"/>
    </row>
    <row r="2119" spans="1:8" ht="20">
      <c r="A2119" s="200"/>
      <c r="B2119" s="8"/>
      <c r="C2119" s="8"/>
      <c r="D2119" s="8"/>
      <c r="E2119" s="81"/>
      <c r="F2119" s="34"/>
      <c r="G2119" s="34"/>
      <c r="H2119" s="34"/>
    </row>
    <row r="2120" spans="1:8" ht="20">
      <c r="A2120" s="200"/>
      <c r="B2120" s="8"/>
      <c r="C2120" s="8"/>
      <c r="D2120" s="8"/>
      <c r="E2120" s="81"/>
      <c r="F2120" s="34"/>
      <c r="G2120" s="34"/>
      <c r="H2120" s="34"/>
    </row>
    <row r="2121" spans="1:8" ht="20">
      <c r="A2121" s="200"/>
      <c r="B2121" s="8"/>
      <c r="C2121" s="8"/>
      <c r="D2121" s="8"/>
      <c r="E2121" s="81"/>
      <c r="F2121" s="34"/>
      <c r="G2121" s="34"/>
      <c r="H2121" s="34"/>
    </row>
    <row r="2122" spans="1:8" ht="20">
      <c r="A2122" s="200"/>
      <c r="B2122" s="8"/>
      <c r="C2122" s="8"/>
      <c r="D2122" s="8"/>
      <c r="E2122" s="81"/>
      <c r="F2122" s="34"/>
      <c r="G2122" s="34"/>
      <c r="H2122" s="34"/>
    </row>
    <row r="2123" spans="1:8" ht="20">
      <c r="A2123" s="200"/>
      <c r="B2123" s="8"/>
      <c r="C2123" s="8"/>
      <c r="D2123" s="8"/>
      <c r="E2123" s="81"/>
      <c r="F2123" s="34"/>
      <c r="G2123" s="34"/>
      <c r="H2123" s="34"/>
    </row>
    <row r="2124" spans="1:8" ht="20">
      <c r="A2124" s="200"/>
      <c r="B2124" s="8"/>
      <c r="C2124" s="8"/>
      <c r="D2124" s="8"/>
      <c r="E2124" s="81"/>
      <c r="F2124" s="34"/>
      <c r="G2124" s="34"/>
      <c r="H2124" s="34"/>
    </row>
    <row r="2125" spans="1:8" ht="20">
      <c r="A2125" s="200"/>
      <c r="B2125" s="8"/>
      <c r="C2125" s="8"/>
      <c r="D2125" s="8"/>
      <c r="E2125" s="81"/>
      <c r="F2125" s="34"/>
      <c r="G2125" s="34"/>
      <c r="H2125" s="34"/>
    </row>
    <row r="2126" spans="1:8" ht="20">
      <c r="A2126" s="200"/>
      <c r="B2126" s="8"/>
      <c r="C2126" s="8"/>
      <c r="D2126" s="8"/>
      <c r="E2126" s="81"/>
      <c r="F2126" s="34"/>
      <c r="G2126" s="34"/>
      <c r="H2126" s="34"/>
    </row>
    <row r="2127" spans="1:8" ht="20">
      <c r="A2127" s="200"/>
      <c r="B2127" s="8"/>
      <c r="C2127" s="8"/>
      <c r="D2127" s="8"/>
      <c r="E2127" s="81"/>
      <c r="F2127" s="34"/>
      <c r="G2127" s="34"/>
      <c r="H2127" s="34"/>
    </row>
    <row r="2128" spans="1:8" ht="20">
      <c r="A2128" s="200"/>
      <c r="B2128" s="8"/>
      <c r="C2128" s="8"/>
      <c r="D2128" s="8"/>
      <c r="E2128" s="81"/>
      <c r="F2128" s="34"/>
      <c r="G2128" s="34"/>
      <c r="H2128" s="34"/>
    </row>
    <row r="2129" spans="1:8" ht="20">
      <c r="A2129" s="200"/>
      <c r="B2129" s="8"/>
      <c r="C2129" s="8"/>
      <c r="D2129" s="8"/>
      <c r="E2129" s="81"/>
      <c r="F2129" s="34"/>
      <c r="G2129" s="34"/>
      <c r="H2129" s="34"/>
    </row>
    <row r="2130" spans="1:8" ht="20">
      <c r="A2130" s="200"/>
      <c r="B2130" s="8"/>
      <c r="C2130" s="8"/>
      <c r="D2130" s="8"/>
      <c r="E2130" s="81"/>
      <c r="F2130" s="34"/>
      <c r="G2130" s="34"/>
      <c r="H2130" s="34"/>
    </row>
    <row r="2131" spans="1:8" ht="20">
      <c r="A2131" s="200"/>
      <c r="B2131" s="8"/>
      <c r="C2131" s="8"/>
      <c r="D2131" s="8"/>
      <c r="E2131" s="81"/>
      <c r="F2131" s="34"/>
      <c r="G2131" s="34"/>
      <c r="H2131" s="34"/>
    </row>
    <row r="2132" spans="1:8" ht="20">
      <c r="A2132" s="200"/>
      <c r="B2132" s="8"/>
      <c r="C2132" s="8"/>
      <c r="D2132" s="8"/>
      <c r="E2132" s="81"/>
      <c r="F2132" s="34"/>
      <c r="G2132" s="34"/>
      <c r="H2132" s="34"/>
    </row>
    <row r="2133" spans="1:8" ht="20">
      <c r="A2133" s="200"/>
      <c r="B2133" s="8"/>
      <c r="C2133" s="8"/>
      <c r="D2133" s="8"/>
      <c r="E2133" s="81"/>
      <c r="F2133" s="34"/>
      <c r="G2133" s="34"/>
      <c r="H2133" s="34"/>
    </row>
    <row r="2134" spans="1:8" ht="20">
      <c r="A2134" s="200"/>
      <c r="B2134" s="8"/>
      <c r="C2134" s="8"/>
      <c r="D2134" s="8"/>
      <c r="E2134" s="81"/>
      <c r="F2134" s="34"/>
      <c r="G2134" s="34"/>
      <c r="H2134" s="34"/>
    </row>
    <row r="2135" spans="1:8" ht="20">
      <c r="A2135" s="200"/>
      <c r="B2135" s="8"/>
      <c r="C2135" s="8"/>
      <c r="D2135" s="8"/>
      <c r="E2135" s="81"/>
      <c r="F2135" s="34"/>
      <c r="G2135" s="34"/>
      <c r="H2135" s="34"/>
    </row>
    <row r="2136" spans="1:8" ht="20">
      <c r="A2136" s="200"/>
      <c r="B2136" s="8"/>
      <c r="C2136" s="8"/>
      <c r="D2136" s="8"/>
      <c r="E2136" s="81"/>
      <c r="F2136" s="34"/>
      <c r="G2136" s="34"/>
      <c r="H2136" s="34"/>
    </row>
    <row r="2137" spans="1:8" ht="20">
      <c r="A2137" s="200"/>
      <c r="B2137" s="8"/>
      <c r="C2137" s="8"/>
      <c r="D2137" s="8"/>
      <c r="E2137" s="81"/>
      <c r="F2137" s="34"/>
      <c r="G2137" s="34"/>
      <c r="H2137" s="34"/>
    </row>
    <row r="2138" spans="1:8" ht="20">
      <c r="A2138" s="200"/>
      <c r="B2138" s="8"/>
      <c r="C2138" s="8"/>
      <c r="D2138" s="8"/>
      <c r="E2138" s="81"/>
      <c r="F2138" s="34"/>
      <c r="G2138" s="34"/>
      <c r="H2138" s="34"/>
    </row>
    <row r="2139" spans="1:8" ht="20">
      <c r="A2139" s="200"/>
      <c r="B2139" s="8"/>
      <c r="C2139" s="8"/>
      <c r="D2139" s="8"/>
      <c r="E2139" s="81"/>
      <c r="F2139" s="34"/>
      <c r="G2139" s="34"/>
      <c r="H2139" s="34"/>
    </row>
    <row r="2140" spans="1:8" ht="20">
      <c r="A2140" s="200"/>
      <c r="B2140" s="8"/>
      <c r="C2140" s="8"/>
      <c r="D2140" s="8"/>
      <c r="E2140" s="81"/>
      <c r="F2140" s="34"/>
      <c r="G2140" s="34"/>
      <c r="H2140" s="34"/>
    </row>
    <row r="2141" spans="1:8" ht="20">
      <c r="A2141" s="200"/>
      <c r="B2141" s="8"/>
      <c r="C2141" s="8"/>
      <c r="D2141" s="8"/>
      <c r="E2141" s="81"/>
      <c r="F2141" s="34"/>
      <c r="G2141" s="34"/>
      <c r="H2141" s="34"/>
    </row>
    <row r="2142" spans="1:8" ht="20">
      <c r="A2142" s="200"/>
      <c r="B2142" s="8"/>
      <c r="C2142" s="8"/>
      <c r="D2142" s="8"/>
      <c r="E2142" s="81"/>
      <c r="F2142" s="34"/>
      <c r="G2142" s="34"/>
      <c r="H2142" s="34"/>
    </row>
    <row r="2143" spans="1:8" ht="20">
      <c r="A2143" s="200"/>
      <c r="B2143" s="8"/>
      <c r="C2143" s="8"/>
      <c r="D2143" s="8"/>
      <c r="E2143" s="81"/>
      <c r="F2143" s="34"/>
      <c r="G2143" s="34"/>
      <c r="H2143" s="34"/>
    </row>
    <row r="2144" spans="1:8" ht="20">
      <c r="A2144" s="200"/>
      <c r="B2144" s="8"/>
      <c r="C2144" s="8"/>
      <c r="D2144" s="8"/>
      <c r="E2144" s="81"/>
      <c r="F2144" s="34"/>
      <c r="G2144" s="34"/>
      <c r="H2144" s="34"/>
    </row>
    <row r="2145" spans="1:8" ht="20">
      <c r="A2145" s="200"/>
      <c r="B2145" s="8"/>
      <c r="C2145" s="8"/>
      <c r="D2145" s="8"/>
      <c r="E2145" s="81"/>
      <c r="F2145" s="34"/>
      <c r="G2145" s="34"/>
      <c r="H2145" s="34"/>
    </row>
    <row r="2146" spans="1:8" ht="20">
      <c r="A2146" s="200"/>
      <c r="B2146" s="8"/>
      <c r="C2146" s="8"/>
      <c r="D2146" s="8"/>
      <c r="E2146" s="81"/>
      <c r="F2146" s="34"/>
      <c r="G2146" s="34"/>
      <c r="H2146" s="34"/>
    </row>
    <row r="2147" spans="1:8" ht="20">
      <c r="A2147" s="200"/>
      <c r="B2147" s="8"/>
      <c r="C2147" s="8"/>
      <c r="D2147" s="8"/>
      <c r="E2147" s="81"/>
      <c r="F2147" s="34"/>
      <c r="G2147" s="34"/>
      <c r="H2147" s="34"/>
    </row>
    <row r="2148" spans="1:8" ht="20">
      <c r="A2148" s="200"/>
      <c r="B2148" s="8"/>
      <c r="C2148" s="8"/>
      <c r="D2148" s="8"/>
      <c r="E2148" s="81"/>
      <c r="F2148" s="34"/>
      <c r="G2148" s="34"/>
      <c r="H2148" s="34"/>
    </row>
    <row r="2149" spans="1:8" ht="20">
      <c r="A2149" s="200"/>
      <c r="B2149" s="8"/>
      <c r="C2149" s="8"/>
      <c r="D2149" s="8"/>
      <c r="E2149" s="81"/>
      <c r="F2149" s="34"/>
      <c r="G2149" s="34"/>
      <c r="H2149" s="34"/>
    </row>
    <row r="2150" spans="1:8" ht="20">
      <c r="A2150" s="200"/>
      <c r="B2150" s="8"/>
      <c r="C2150" s="8"/>
      <c r="D2150" s="8"/>
      <c r="E2150" s="81"/>
      <c r="F2150" s="34"/>
      <c r="G2150" s="34"/>
      <c r="H2150" s="34"/>
    </row>
    <row r="2151" spans="1:8" ht="20">
      <c r="A2151" s="200"/>
      <c r="B2151" s="8"/>
      <c r="C2151" s="8"/>
      <c r="D2151" s="8"/>
      <c r="E2151" s="81"/>
      <c r="F2151" s="34"/>
      <c r="G2151" s="34"/>
      <c r="H2151" s="34"/>
    </row>
    <row r="2152" spans="1:8" ht="20">
      <c r="A2152" s="200"/>
      <c r="B2152" s="8"/>
      <c r="C2152" s="8"/>
      <c r="D2152" s="8"/>
      <c r="E2152" s="81"/>
      <c r="F2152" s="34"/>
      <c r="G2152" s="34"/>
      <c r="H2152" s="34"/>
    </row>
    <row r="2153" spans="1:8" ht="20">
      <c r="A2153" s="200"/>
      <c r="B2153" s="8"/>
      <c r="C2153" s="8"/>
      <c r="D2153" s="8"/>
      <c r="E2153" s="81"/>
      <c r="F2153" s="34"/>
      <c r="G2153" s="34"/>
      <c r="H2153" s="34"/>
    </row>
    <row r="2154" spans="1:8" ht="20">
      <c r="A2154" s="200"/>
      <c r="B2154" s="8"/>
      <c r="C2154" s="8"/>
      <c r="D2154" s="8"/>
      <c r="E2154" s="81"/>
      <c r="F2154" s="34"/>
      <c r="G2154" s="34"/>
      <c r="H2154" s="34"/>
    </row>
    <row r="2155" spans="1:8" ht="20">
      <c r="A2155" s="200"/>
      <c r="B2155" s="8"/>
      <c r="C2155" s="8"/>
      <c r="D2155" s="8"/>
      <c r="E2155" s="81"/>
      <c r="F2155" s="34"/>
      <c r="G2155" s="34"/>
      <c r="H2155" s="34"/>
    </row>
    <row r="2156" spans="1:8" ht="20">
      <c r="A2156" s="200"/>
      <c r="B2156" s="8"/>
      <c r="C2156" s="8"/>
      <c r="D2156" s="8"/>
      <c r="E2156" s="81"/>
      <c r="F2156" s="34"/>
      <c r="G2156" s="34"/>
      <c r="H2156" s="34"/>
    </row>
    <row r="2157" spans="1:8" ht="20">
      <c r="A2157" s="200"/>
      <c r="B2157" s="8"/>
      <c r="C2157" s="8"/>
      <c r="D2157" s="8"/>
      <c r="E2157" s="81"/>
      <c r="F2157" s="34"/>
      <c r="G2157" s="34"/>
      <c r="H2157" s="34"/>
    </row>
    <row r="2158" spans="1:8" ht="20">
      <c r="A2158" s="200"/>
      <c r="B2158" s="8"/>
      <c r="C2158" s="8"/>
      <c r="D2158" s="8"/>
      <c r="E2158" s="81"/>
      <c r="F2158" s="34"/>
      <c r="G2158" s="34"/>
      <c r="H2158" s="34"/>
    </row>
    <row r="2159" spans="1:8" ht="20">
      <c r="A2159" s="200"/>
      <c r="B2159" s="8"/>
      <c r="C2159" s="8"/>
      <c r="D2159" s="8"/>
      <c r="E2159" s="81"/>
      <c r="F2159" s="34"/>
      <c r="G2159" s="34"/>
      <c r="H2159" s="34"/>
    </row>
    <row r="2160" spans="1:8" ht="20">
      <c r="A2160" s="200"/>
      <c r="B2160" s="8"/>
      <c r="C2160" s="8"/>
      <c r="D2160" s="8"/>
      <c r="E2160" s="81"/>
      <c r="F2160" s="34"/>
      <c r="G2160" s="34"/>
      <c r="H2160" s="34"/>
    </row>
    <row r="2161" spans="1:8" ht="20">
      <c r="A2161" s="200"/>
      <c r="B2161" s="8"/>
      <c r="C2161" s="8"/>
      <c r="D2161" s="8"/>
      <c r="E2161" s="81"/>
      <c r="F2161" s="34"/>
      <c r="G2161" s="34"/>
      <c r="H2161" s="34"/>
    </row>
    <row r="2162" spans="1:8" ht="20">
      <c r="A2162" s="200"/>
      <c r="B2162" s="8"/>
      <c r="C2162" s="8"/>
      <c r="D2162" s="8"/>
      <c r="E2162" s="81"/>
      <c r="F2162" s="34"/>
      <c r="G2162" s="34"/>
      <c r="H2162" s="34"/>
    </row>
    <row r="2163" spans="1:8" ht="20">
      <c r="A2163" s="200"/>
      <c r="B2163" s="8"/>
      <c r="C2163" s="8"/>
      <c r="D2163" s="8"/>
      <c r="E2163" s="81"/>
      <c r="F2163" s="34"/>
      <c r="G2163" s="34"/>
      <c r="H2163" s="34"/>
    </row>
    <row r="2164" spans="1:8" ht="20">
      <c r="A2164" s="200"/>
      <c r="B2164" s="8"/>
      <c r="C2164" s="8"/>
      <c r="D2164" s="8"/>
      <c r="E2164" s="81"/>
      <c r="F2164" s="34"/>
      <c r="G2164" s="34"/>
      <c r="H2164" s="34"/>
    </row>
    <row r="2165" spans="1:8" ht="20">
      <c r="A2165" s="200"/>
      <c r="B2165" s="8"/>
      <c r="C2165" s="8"/>
      <c r="D2165" s="8"/>
      <c r="E2165" s="81"/>
      <c r="F2165" s="34"/>
      <c r="G2165" s="34"/>
      <c r="H2165" s="34"/>
    </row>
    <row r="2166" spans="1:8" ht="20">
      <c r="A2166" s="200"/>
      <c r="B2166" s="8"/>
      <c r="C2166" s="8"/>
      <c r="D2166" s="8"/>
      <c r="E2166" s="81"/>
      <c r="F2166" s="34"/>
      <c r="G2166" s="34"/>
      <c r="H2166" s="34"/>
    </row>
    <row r="2167" spans="1:8" ht="20">
      <c r="A2167" s="200"/>
      <c r="B2167" s="8"/>
      <c r="C2167" s="8"/>
      <c r="D2167" s="8"/>
      <c r="E2167" s="81"/>
      <c r="F2167" s="34"/>
      <c r="G2167" s="34"/>
      <c r="H2167" s="34"/>
    </row>
    <row r="2168" spans="1:8" ht="20">
      <c r="A2168" s="200"/>
      <c r="B2168" s="8"/>
      <c r="C2168" s="8"/>
      <c r="D2168" s="8"/>
      <c r="E2168" s="81"/>
      <c r="F2168" s="34"/>
      <c r="G2168" s="34"/>
      <c r="H2168" s="34"/>
    </row>
    <row r="2169" spans="1:8" ht="20">
      <c r="A2169" s="200"/>
      <c r="B2169" s="8"/>
      <c r="C2169" s="8"/>
      <c r="D2169" s="8"/>
      <c r="E2169" s="81"/>
      <c r="F2169" s="34"/>
      <c r="G2169" s="34"/>
      <c r="H2169" s="34"/>
    </row>
    <row r="2170" spans="1:8" ht="20">
      <c r="A2170" s="200"/>
      <c r="B2170" s="8"/>
      <c r="C2170" s="8"/>
      <c r="D2170" s="8"/>
      <c r="E2170" s="81"/>
      <c r="F2170" s="34"/>
      <c r="G2170" s="34"/>
      <c r="H2170" s="34"/>
    </row>
    <row r="2171" spans="1:8" ht="20">
      <c r="A2171" s="200"/>
      <c r="B2171" s="8"/>
      <c r="C2171" s="8"/>
      <c r="D2171" s="8"/>
      <c r="E2171" s="81"/>
      <c r="F2171" s="34"/>
      <c r="G2171" s="34"/>
      <c r="H2171" s="34"/>
    </row>
    <row r="2172" spans="1:8" ht="20">
      <c r="A2172" s="200"/>
      <c r="B2172" s="8"/>
      <c r="C2172" s="8"/>
      <c r="D2172" s="8"/>
      <c r="E2172" s="81"/>
      <c r="F2172" s="34"/>
      <c r="G2172" s="34"/>
      <c r="H2172" s="34"/>
    </row>
    <row r="2173" spans="1:8" ht="20">
      <c r="A2173" s="200"/>
      <c r="B2173" s="8"/>
      <c r="C2173" s="8"/>
      <c r="D2173" s="8"/>
      <c r="E2173" s="81"/>
      <c r="F2173" s="34"/>
      <c r="G2173" s="34"/>
      <c r="H2173" s="34"/>
    </row>
    <row r="2174" spans="1:8" ht="20">
      <c r="A2174" s="200"/>
      <c r="B2174" s="8"/>
      <c r="C2174" s="8"/>
      <c r="D2174" s="8"/>
      <c r="E2174" s="81"/>
      <c r="F2174" s="34"/>
      <c r="G2174" s="34"/>
      <c r="H2174" s="34"/>
    </row>
    <row r="2175" spans="1:8" ht="20">
      <c r="A2175" s="200"/>
      <c r="B2175" s="8"/>
      <c r="C2175" s="8"/>
      <c r="D2175" s="8"/>
      <c r="E2175" s="81"/>
      <c r="F2175" s="34"/>
      <c r="G2175" s="34"/>
      <c r="H2175" s="34"/>
    </row>
    <row r="2176" spans="1:8" ht="20">
      <c r="A2176" s="200"/>
      <c r="B2176" s="8"/>
      <c r="C2176" s="8"/>
      <c r="D2176" s="8"/>
      <c r="E2176" s="81"/>
      <c r="F2176" s="34"/>
      <c r="G2176" s="34"/>
      <c r="H2176" s="34"/>
    </row>
    <row r="2177" spans="1:8" ht="20">
      <c r="A2177" s="200"/>
      <c r="B2177" s="8"/>
      <c r="C2177" s="8"/>
      <c r="D2177" s="8"/>
      <c r="E2177" s="81"/>
      <c r="F2177" s="34"/>
      <c r="G2177" s="34"/>
      <c r="H2177" s="34"/>
    </row>
    <row r="2178" spans="1:8" ht="20">
      <c r="A2178" s="200"/>
      <c r="B2178" s="8"/>
      <c r="C2178" s="8"/>
      <c r="D2178" s="8"/>
      <c r="E2178" s="81"/>
      <c r="F2178" s="34"/>
      <c r="G2178" s="34"/>
      <c r="H2178" s="34"/>
    </row>
    <row r="2179" spans="1:8" ht="20">
      <c r="A2179" s="200"/>
      <c r="B2179" s="8"/>
      <c r="C2179" s="8"/>
      <c r="D2179" s="8"/>
      <c r="E2179" s="81"/>
      <c r="F2179" s="34"/>
      <c r="G2179" s="34"/>
      <c r="H2179" s="34"/>
    </row>
    <row r="2180" spans="1:8" ht="20">
      <c r="A2180" s="200"/>
      <c r="B2180" s="8"/>
      <c r="C2180" s="8"/>
      <c r="D2180" s="8"/>
      <c r="E2180" s="81"/>
      <c r="F2180" s="34"/>
      <c r="G2180" s="34"/>
      <c r="H2180" s="34"/>
    </row>
    <row r="2181" spans="1:8" ht="20">
      <c r="A2181" s="200"/>
      <c r="B2181" s="8"/>
      <c r="C2181" s="8"/>
      <c r="D2181" s="8"/>
      <c r="E2181" s="81"/>
      <c r="F2181" s="34"/>
      <c r="G2181" s="34"/>
      <c r="H2181" s="34"/>
    </row>
    <row r="2182" spans="1:8" ht="20">
      <c r="A2182" s="200"/>
      <c r="B2182" s="8"/>
      <c r="C2182" s="8"/>
      <c r="D2182" s="8"/>
      <c r="E2182" s="81"/>
      <c r="F2182" s="34"/>
      <c r="G2182" s="34"/>
      <c r="H2182" s="34"/>
    </row>
    <row r="2183" spans="1:8" ht="20">
      <c r="A2183" s="200"/>
      <c r="B2183" s="8"/>
      <c r="C2183" s="8"/>
      <c r="D2183" s="8"/>
      <c r="E2183" s="81"/>
      <c r="F2183" s="34"/>
      <c r="G2183" s="34"/>
      <c r="H2183" s="34"/>
    </row>
    <row r="2184" spans="1:8" ht="20">
      <c r="A2184" s="200"/>
      <c r="B2184" s="8"/>
      <c r="C2184" s="8"/>
      <c r="D2184" s="8"/>
      <c r="E2184" s="81"/>
      <c r="F2184" s="34"/>
      <c r="G2184" s="34"/>
      <c r="H2184" s="34"/>
    </row>
    <row r="2185" spans="1:8" ht="20">
      <c r="A2185" s="200"/>
      <c r="B2185" s="8"/>
      <c r="C2185" s="8"/>
      <c r="D2185" s="8"/>
      <c r="E2185" s="81"/>
      <c r="F2185" s="34"/>
      <c r="G2185" s="34"/>
      <c r="H2185" s="34"/>
    </row>
    <row r="2186" spans="1:8" ht="20">
      <c r="A2186" s="200"/>
      <c r="B2186" s="8"/>
      <c r="C2186" s="8"/>
      <c r="D2186" s="8"/>
      <c r="E2186" s="81"/>
      <c r="F2186" s="34"/>
      <c r="G2186" s="34"/>
      <c r="H2186" s="34"/>
    </row>
    <row r="2187" spans="1:8" ht="20">
      <c r="A2187" s="200"/>
      <c r="B2187" s="8"/>
      <c r="C2187" s="8"/>
      <c r="D2187" s="8"/>
      <c r="E2187" s="81"/>
      <c r="F2187" s="34"/>
      <c r="G2187" s="34"/>
      <c r="H2187" s="34"/>
    </row>
    <row r="2188" spans="1:8" ht="20">
      <c r="A2188" s="200"/>
      <c r="B2188" s="8"/>
      <c r="C2188" s="8"/>
      <c r="D2188" s="8"/>
      <c r="E2188" s="81"/>
      <c r="F2188" s="34"/>
      <c r="G2188" s="34"/>
      <c r="H2188" s="34"/>
    </row>
    <row r="2189" spans="1:8" ht="20">
      <c r="A2189" s="200"/>
      <c r="B2189" s="8"/>
      <c r="C2189" s="8"/>
      <c r="D2189" s="8"/>
      <c r="E2189" s="81"/>
      <c r="F2189" s="34"/>
      <c r="G2189" s="34"/>
      <c r="H2189" s="34"/>
    </row>
    <row r="2190" spans="1:8" ht="20">
      <c r="A2190" s="200"/>
      <c r="B2190" s="8"/>
      <c r="C2190" s="8"/>
      <c r="D2190" s="8"/>
      <c r="E2190" s="81"/>
      <c r="F2190" s="34"/>
      <c r="G2190" s="34"/>
      <c r="H2190" s="34"/>
    </row>
    <row r="2191" spans="1:8" ht="20">
      <c r="A2191" s="200"/>
      <c r="B2191" s="8"/>
      <c r="C2191" s="8"/>
      <c r="D2191" s="8"/>
      <c r="E2191" s="81"/>
      <c r="F2191" s="34"/>
      <c r="G2191" s="34"/>
      <c r="H2191" s="34"/>
    </row>
    <row r="2192" spans="1:8" ht="20">
      <c r="A2192" s="200"/>
      <c r="B2192" s="8"/>
      <c r="C2192" s="8"/>
      <c r="D2192" s="8"/>
      <c r="E2192" s="81"/>
      <c r="F2192" s="34"/>
      <c r="G2192" s="34"/>
      <c r="H2192" s="34"/>
    </row>
    <row r="2193" spans="1:8" ht="20">
      <c r="A2193" s="200"/>
      <c r="B2193" s="8"/>
      <c r="C2193" s="8"/>
      <c r="D2193" s="8"/>
      <c r="E2193" s="81"/>
      <c r="F2193" s="34"/>
      <c r="G2193" s="34"/>
      <c r="H2193" s="34"/>
    </row>
    <row r="2194" spans="1:8" ht="20">
      <c r="A2194" s="200"/>
      <c r="B2194" s="8"/>
      <c r="C2194" s="8"/>
      <c r="D2194" s="8"/>
      <c r="E2194" s="81"/>
      <c r="F2194" s="34"/>
      <c r="G2194" s="34"/>
      <c r="H2194" s="34"/>
    </row>
    <row r="2195" spans="1:8" ht="20">
      <c r="A2195" s="200"/>
      <c r="B2195" s="8"/>
      <c r="C2195" s="8"/>
      <c r="D2195" s="8"/>
      <c r="E2195" s="81"/>
      <c r="F2195" s="34"/>
      <c r="G2195" s="34"/>
      <c r="H2195" s="34"/>
    </row>
    <row r="2196" spans="1:8" ht="20">
      <c r="A2196" s="200"/>
      <c r="B2196" s="8"/>
      <c r="C2196" s="8"/>
      <c r="D2196" s="8"/>
      <c r="E2196" s="81"/>
      <c r="F2196" s="34"/>
      <c r="G2196" s="34"/>
      <c r="H2196" s="34"/>
    </row>
    <row r="2197" spans="1:8" ht="20">
      <c r="A2197" s="200"/>
      <c r="B2197" s="8"/>
      <c r="C2197" s="8"/>
      <c r="D2197" s="8"/>
      <c r="E2197" s="81"/>
      <c r="F2197" s="34"/>
      <c r="G2197" s="34"/>
      <c r="H2197" s="34"/>
    </row>
    <row r="2198" spans="1:8" ht="20">
      <c r="A2198" s="200"/>
      <c r="B2198" s="8"/>
      <c r="C2198" s="8"/>
      <c r="D2198" s="8"/>
      <c r="E2198" s="81"/>
      <c r="F2198" s="34"/>
      <c r="G2198" s="34"/>
      <c r="H2198" s="34"/>
    </row>
    <row r="2199" spans="1:8" ht="20">
      <c r="A2199" s="200"/>
      <c r="B2199" s="8"/>
      <c r="C2199" s="8"/>
      <c r="D2199" s="8"/>
      <c r="E2199" s="81"/>
      <c r="F2199" s="34"/>
      <c r="G2199" s="34"/>
      <c r="H2199" s="34"/>
    </row>
    <row r="2200" spans="1:8" ht="20">
      <c r="A2200" s="200"/>
      <c r="B2200" s="8"/>
      <c r="C2200" s="8"/>
      <c r="D2200" s="8"/>
      <c r="E2200" s="81"/>
      <c r="F2200" s="34"/>
      <c r="G2200" s="34"/>
      <c r="H2200" s="34"/>
    </row>
    <row r="2201" spans="1:8" ht="20">
      <c r="A2201" s="200"/>
      <c r="B2201" s="8"/>
      <c r="C2201" s="8"/>
      <c r="D2201" s="8"/>
      <c r="E2201" s="81"/>
      <c r="F2201" s="34"/>
      <c r="G2201" s="34"/>
      <c r="H2201" s="34"/>
    </row>
    <row r="2202" spans="1:8" ht="20">
      <c r="A2202" s="200"/>
      <c r="B2202" s="8"/>
      <c r="C2202" s="8"/>
      <c r="D2202" s="8"/>
      <c r="E2202" s="81"/>
      <c r="F2202" s="34"/>
      <c r="G2202" s="34"/>
      <c r="H2202" s="34"/>
    </row>
    <row r="2203" spans="1:8" ht="20">
      <c r="A2203" s="200"/>
      <c r="B2203" s="8"/>
      <c r="C2203" s="8"/>
      <c r="D2203" s="8"/>
      <c r="E2203" s="81"/>
      <c r="F2203" s="34"/>
      <c r="G2203" s="34"/>
      <c r="H2203" s="34"/>
    </row>
    <row r="2204" spans="1:8" ht="20">
      <c r="A2204" s="200"/>
      <c r="B2204" s="8"/>
      <c r="C2204" s="8"/>
      <c r="D2204" s="8"/>
      <c r="E2204" s="81"/>
      <c r="F2204" s="34"/>
      <c r="G2204" s="34"/>
      <c r="H2204" s="34"/>
    </row>
    <row r="2205" spans="1:8" ht="20">
      <c r="A2205" s="200"/>
      <c r="B2205" s="8"/>
      <c r="C2205" s="8"/>
      <c r="D2205" s="8"/>
      <c r="E2205" s="81"/>
      <c r="F2205" s="34"/>
      <c r="G2205" s="34"/>
      <c r="H2205" s="34"/>
    </row>
    <row r="2206" spans="1:8" ht="20">
      <c r="A2206" s="200"/>
      <c r="B2206" s="8"/>
      <c r="C2206" s="8"/>
      <c r="D2206" s="8"/>
      <c r="E2206" s="81"/>
      <c r="F2206" s="34"/>
      <c r="G2206" s="34"/>
      <c r="H2206" s="34"/>
    </row>
    <row r="2207" spans="1:8" ht="20">
      <c r="A2207" s="200"/>
      <c r="B2207" s="8"/>
      <c r="C2207" s="8"/>
      <c r="D2207" s="8"/>
      <c r="E2207" s="81"/>
      <c r="F2207" s="34"/>
      <c r="G2207" s="34"/>
      <c r="H2207" s="34"/>
    </row>
    <row r="2208" spans="1:8" ht="20">
      <c r="A2208" s="200"/>
      <c r="B2208" s="8"/>
      <c r="C2208" s="8"/>
      <c r="D2208" s="8"/>
      <c r="E2208" s="81"/>
      <c r="F2208" s="34"/>
      <c r="G2208" s="34"/>
      <c r="H2208" s="34"/>
    </row>
    <row r="2209" spans="1:8" ht="20">
      <c r="A2209" s="200"/>
      <c r="B2209" s="8"/>
      <c r="C2209" s="8"/>
      <c r="D2209" s="8"/>
      <c r="E2209" s="81"/>
      <c r="F2209" s="34"/>
      <c r="G2209" s="34"/>
      <c r="H2209" s="34"/>
    </row>
  </sheetData>
  <mergeCells count="5">
    <mergeCell ref="B341:H343"/>
    <mergeCell ref="B337:H339"/>
    <mergeCell ref="B320:H322"/>
    <mergeCell ref="A2:H2"/>
    <mergeCell ref="C316:E316"/>
  </mergeCells>
  <printOptions horizontalCentered="1"/>
  <pageMargins left="0.5" right="0.5" top="0.5" bottom="0.5" header="0.5" footer="0.5"/>
  <pageSetup fitToHeight="10" orientation="portrait" scale="44" r:id="rId2"/>
  <headerFooter alignWithMargins="0">
    <oddFooter>&amp;CPage &amp;P of 17</oddFooter>
  </headerFooter>
  <rowBreaks count="4" manualBreakCount="4">
    <brk id="70" max="7" man="1"/>
    <brk id="140" max="7" man="1"/>
    <brk id="208" max="7" man="1"/>
    <brk id="289" max="7" man="1"/>
  </rowBreaks>
  <colBreaks count="1" manualBreakCount="1">
    <brk id="8" max="316" man="1"/>
  </colBreaks>
  <customProperties>
    <customPr name="_pios_id" r:id="rId3"/>
  </customProperties>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X312"/>
  <sheetViews>
    <sheetView zoomScale="75" zoomScaleNormal="75" workbookViewId="0" topLeftCell="A1">
      <selection pane="topLeft" activeCell="AS1" sqref="AS1:AS1048576"/>
    </sheetView>
  </sheetViews>
  <sheetFormatPr defaultRowHeight="12.5"/>
  <cols>
    <col min="1" max="1" width="18.2857142857143" customWidth="1"/>
    <col min="2" max="2" width="13" style="171" customWidth="1"/>
    <col min="3" max="3" width="13.4285714285714" customWidth="1"/>
    <col min="4" max="4" width="16.7142857142857" customWidth="1"/>
    <col min="5" max="5" width="12.8571428571429" customWidth="1"/>
    <col min="6" max="6" width="10.5714285714286" style="652" customWidth="1"/>
    <col min="7" max="7" width="12.5714285714286" customWidth="1"/>
    <col min="8" max="8" width="14.8571428571429" customWidth="1"/>
    <col min="9" max="9" width="11.8571428571429" customWidth="1"/>
    <col min="10" max="10" width="10.7142857142857" style="652" customWidth="1"/>
    <col min="11" max="11" width="12" customWidth="1"/>
    <col min="12" max="12" width="12.5714285714286" customWidth="1"/>
    <col min="13" max="13" width="11.2857142857143" customWidth="1"/>
    <col min="14" max="14" width="10.2857142857143" customWidth="1"/>
    <col min="15" max="15" width="12" customWidth="1"/>
    <col min="16" max="16" width="12.5714285714286" customWidth="1"/>
    <col min="17" max="17" width="11.2857142857143" customWidth="1"/>
    <col min="18" max="18" width="10.2857142857143" customWidth="1"/>
    <col min="19" max="19" width="12" customWidth="1"/>
    <col min="20" max="20" width="12.5714285714286" customWidth="1"/>
    <col min="21" max="21" width="11.2857142857143" customWidth="1"/>
    <col min="22" max="22" width="10.2857142857143" customWidth="1"/>
    <col min="23" max="23" width="12" customWidth="1"/>
    <col min="24" max="24" width="12.5714285714286" customWidth="1"/>
    <col min="25" max="25" width="11.2857142857143" customWidth="1"/>
    <col min="26" max="26" width="10.2857142857143" customWidth="1"/>
    <col min="27" max="27" width="12" customWidth="1"/>
    <col min="28" max="28" width="12.5714285714286" customWidth="1"/>
    <col min="29" max="29" width="11.2857142857143" customWidth="1"/>
    <col min="30" max="30" width="10.2857142857143" customWidth="1"/>
    <col min="31" max="31" width="12" customWidth="1"/>
    <col min="32" max="32" width="12.5714285714286" customWidth="1"/>
    <col min="33" max="33" width="11.2857142857143" customWidth="1"/>
    <col min="34" max="34" width="10.2857142857143" customWidth="1"/>
    <col min="35" max="35" width="13.7142857142857" bestFit="1" customWidth="1"/>
    <col min="36" max="36" width="20.1428571428571" customWidth="1"/>
    <col min="37" max="37" width="17.5714285714286" customWidth="1"/>
    <col min="40" max="40" width="11" customWidth="1"/>
    <col min="41" max="41" width="10.4285714285714" bestFit="1" customWidth="1"/>
    <col min="45" max="45" width="10" bestFit="1" customWidth="1"/>
  </cols>
  <sheetData>
    <row r="1" spans="1:37" ht="18">
      <c r="A1" s="957" t="str">
        <f>'ATT H'!A4</f>
        <v>UGI Utilities, Inc.</v>
      </c>
      <c r="B1" s="1015"/>
      <c r="C1" s="1015"/>
      <c r="D1" s="1015"/>
      <c r="E1" s="1015"/>
      <c r="F1" s="1015"/>
      <c r="G1" s="1015"/>
      <c r="H1" s="1015"/>
      <c r="I1" s="1015"/>
      <c r="J1" s="1015"/>
      <c r="K1" s="965"/>
      <c r="L1" s="965"/>
      <c r="M1" s="965"/>
      <c r="N1" s="965"/>
      <c r="O1" s="965"/>
      <c r="P1" s="965"/>
      <c r="Q1" s="965"/>
      <c r="R1" s="965"/>
      <c r="S1" s="965"/>
      <c r="T1" s="965"/>
      <c r="U1" s="965"/>
      <c r="V1" s="965"/>
      <c r="W1" s="965"/>
      <c r="X1" s="965"/>
      <c r="Y1" s="965"/>
      <c r="Z1" s="965"/>
      <c r="AA1" s="965"/>
      <c r="AB1" s="965"/>
      <c r="AC1" s="965"/>
      <c r="AD1" s="965"/>
      <c r="AE1" s="965"/>
      <c r="AF1" s="965"/>
      <c r="AG1" s="965"/>
      <c r="AH1" s="965"/>
      <c r="AI1" s="965"/>
      <c r="AJ1" s="965"/>
      <c r="AK1" s="965"/>
    </row>
    <row r="2" spans="11:34" ht="12.5"/>
    <row r="3" spans="1:37" ht="15.5">
      <c r="A3" s="1016" t="s">
        <v>461</v>
      </c>
      <c r="B3" s="1016"/>
      <c r="C3" s="1016"/>
      <c r="D3" s="1016"/>
      <c r="E3" s="1016"/>
      <c r="F3" s="1016"/>
      <c r="G3" s="1016"/>
      <c r="H3" s="1016"/>
      <c r="I3" s="1016"/>
      <c r="J3" s="1016"/>
      <c r="K3" s="1016"/>
      <c r="L3" s="1016"/>
      <c r="M3" s="1016"/>
      <c r="N3" s="1016"/>
      <c r="O3" s="1016"/>
      <c r="P3" s="1016"/>
      <c r="Q3" s="1016"/>
      <c r="R3" s="1016"/>
      <c r="S3" s="1016"/>
      <c r="T3" s="1016"/>
      <c r="U3" s="1016"/>
      <c r="V3" s="1016"/>
      <c r="W3" s="1016"/>
      <c r="X3" s="1016"/>
      <c r="Y3" s="1016"/>
      <c r="Z3" s="1016"/>
      <c r="AA3" s="1016"/>
      <c r="AB3" s="1016"/>
      <c r="AC3" s="1016"/>
      <c r="AD3" s="1016"/>
      <c r="AE3" s="1016"/>
      <c r="AF3" s="1016"/>
      <c r="AG3" s="1016"/>
      <c r="AH3" s="1016"/>
      <c r="AI3" s="1016"/>
      <c r="AJ3" s="1016"/>
      <c r="AK3" s="1016"/>
    </row>
    <row r="4" spans="11:34" ht="12.5"/>
    <row r="5" spans="1:34" ht="13">
      <c r="A5" s="225" t="s">
        <v>462</v>
      </c>
    </row>
    <row r="6" spans="1:40" ht="13">
      <c r="A6" s="225"/>
      <c r="B6" s="171" t="s">
        <v>310</v>
      </c>
      <c r="AN6" s="652"/>
    </row>
    <row r="7" spans="1:41" ht="12.5">
      <c r="A7" s="171" t="s">
        <v>71</v>
      </c>
      <c r="B7" s="171">
        <f>'ATT H'!A267</f>
        <v>162</v>
      </c>
      <c r="C7" s="529" t="str">
        <f>'ATT H'!C267</f>
        <v>Net Plant Carrying Charge without Depreciation</v>
      </c>
      <c r="F7" s="653"/>
      <c r="J7" s="654">
        <f>'ATT H'!H267</f>
        <v>0.24145391903507354</v>
      </c>
      <c r="AN7" s="654"/>
      <c r="AO7" s="654"/>
    </row>
    <row r="8" spans="1:41" ht="12.5">
      <c r="A8" s="171" t="s">
        <v>174</v>
      </c>
      <c r="B8" s="171">
        <f>'ATT H'!A277</f>
        <v>169</v>
      </c>
      <c r="C8" s="529" t="str">
        <f>'ATT H'!C277</f>
        <v>Net Plant Carrying Charge per 100 Basis Point in ROE without Depreciation</v>
      </c>
      <c r="F8" s="653"/>
      <c r="J8" s="654">
        <f>'ATT H'!H277</f>
        <v>0.25032173350705611</v>
      </c>
      <c r="AN8" s="654"/>
      <c r="AO8" s="654"/>
    </row>
    <row r="9" spans="1:41" ht="12.5">
      <c r="A9" s="171" t="s">
        <v>51</v>
      </c>
      <c r="C9" t="s">
        <v>290</v>
      </c>
      <c r="F9" s="653"/>
      <c r="J9" s="654">
        <f>+J8-J7</f>
        <v>0.0088678144719825658</v>
      </c>
      <c r="AN9" s="654"/>
      <c r="AO9" s="654"/>
    </row>
    <row r="10" spans="6:41" ht="12.5">
      <c r="F10" s="653"/>
      <c r="J10" s="654"/>
      <c r="AN10" s="654"/>
      <c r="AO10" s="654"/>
    </row>
    <row r="11" spans="1:41" ht="13">
      <c r="A11" s="225" t="s">
        <v>287</v>
      </c>
      <c r="F11" s="653"/>
      <c r="J11" s="654"/>
      <c r="AN11" s="654"/>
      <c r="AO11" s="654"/>
    </row>
    <row r="12" spans="1:41" ht="13">
      <c r="A12" s="225"/>
      <c r="F12" s="653"/>
      <c r="J12" s="654"/>
      <c r="AN12" s="654"/>
      <c r="AO12" s="654"/>
    </row>
    <row r="13" spans="1:41" ht="12.5">
      <c r="A13" s="171" t="s">
        <v>72</v>
      </c>
      <c r="B13" s="171">
        <f>'ATT H'!A268</f>
        <v>163</v>
      </c>
      <c r="C13" s="529" t="str">
        <f>'ATT H'!C268</f>
        <v>Net Plant Carrying Charge without Depreciation, Return, nor Income Taxes</v>
      </c>
      <c r="F13" s="653"/>
      <c r="J13" s="654">
        <f>'ATT H'!H268</f>
        <v>0.14148852158473049</v>
      </c>
      <c r="AN13" s="654"/>
      <c r="AO13" s="654"/>
    </row>
    <row r="14" spans="1:40" ht="12.5">
      <c r="A14" s="171"/>
      <c r="C14" s="529"/>
      <c r="F14" s="653"/>
      <c r="AN14" s="652"/>
    </row>
    <row r="15" spans="1:34" ht="13">
      <c r="A15" s="205" t="s">
        <v>463</v>
      </c>
    </row>
    <row r="16" spans="1:34" ht="13">
      <c r="A16" s="205" t="s">
        <v>434</v>
      </c>
    </row>
    <row r="17" spans="1:50" ht="25.5" customHeight="1" thickBot="1">
      <c r="A17" s="655"/>
      <c r="B17" s="656"/>
      <c r="C17" s="515"/>
      <c r="D17" s="515"/>
      <c r="E17" s="515"/>
      <c r="F17" s="515"/>
      <c r="G17" s="515"/>
      <c r="H17" s="515"/>
      <c r="I17" s="515"/>
      <c r="J17" s="515"/>
      <c r="K17" s="515"/>
      <c r="L17" s="515"/>
      <c r="M17" s="515"/>
      <c r="N17" s="515"/>
      <c r="O17" s="515"/>
      <c r="P17" s="515"/>
      <c r="Q17" s="515"/>
      <c r="R17" s="515"/>
      <c r="S17" s="515"/>
      <c r="T17" s="515"/>
      <c r="U17" s="515"/>
      <c r="V17" s="515"/>
      <c r="W17" s="515"/>
      <c r="X17" s="515"/>
      <c r="Y17" s="515"/>
      <c r="Z17" s="515"/>
      <c r="AA17" s="515"/>
      <c r="AB17" s="515"/>
      <c r="AC17" s="515"/>
      <c r="AD17" s="515"/>
      <c r="AE17" s="515"/>
      <c r="AF17" s="515"/>
      <c r="AG17" s="515"/>
      <c r="AH17" s="515"/>
      <c r="AI17" s="515"/>
      <c r="AJ17" s="515"/>
      <c r="AK17" s="515"/>
      <c r="AL17" s="2"/>
      <c r="AM17" s="2"/>
      <c r="AN17" s="2"/>
      <c r="AO17" s="2"/>
      <c r="AP17" s="2"/>
      <c r="AQ17" s="2"/>
      <c r="AR17" s="2"/>
      <c r="AT17" s="2"/>
      <c r="AU17" s="2"/>
      <c r="AV17" s="2"/>
      <c r="AW17" s="2"/>
      <c r="AX17" s="2"/>
    </row>
    <row r="18" spans="1:37" ht="13">
      <c r="A18" s="657" t="s">
        <v>281</v>
      </c>
      <c r="B18" s="424"/>
      <c r="C18" s="1017" t="s">
        <v>278</v>
      </c>
      <c r="D18" s="997"/>
      <c r="E18" s="997"/>
      <c r="F18" s="1018"/>
      <c r="G18" s="1017" t="s">
        <v>298</v>
      </c>
      <c r="H18" s="997"/>
      <c r="I18" s="997"/>
      <c r="J18" s="1018"/>
      <c r="K18" s="425" t="s">
        <v>300</v>
      </c>
      <c r="L18" s="426" t="str">
        <f>+K18</f>
        <v>Project D</v>
      </c>
      <c r="M18" s="426" t="str">
        <f>+L18</f>
        <v>Project D</v>
      </c>
      <c r="N18" s="428" t="str">
        <f>+M18</f>
        <v>Project D</v>
      </c>
      <c r="O18" s="425" t="s">
        <v>301</v>
      </c>
      <c r="P18" s="426" t="str">
        <f>+O18</f>
        <v>Project E</v>
      </c>
      <c r="Q18" s="426" t="str">
        <f>+P18</f>
        <v>Project E</v>
      </c>
      <c r="R18" s="428" t="str">
        <f>+Q18</f>
        <v>Project E</v>
      </c>
      <c r="S18" s="425" t="s">
        <v>302</v>
      </c>
      <c r="T18" s="426" t="str">
        <f>+S18</f>
        <v>Project F</v>
      </c>
      <c r="U18" s="426" t="str">
        <f>+T18</f>
        <v>Project F</v>
      </c>
      <c r="V18" s="428" t="str">
        <f>+U18</f>
        <v>Project F</v>
      </c>
      <c r="W18" s="425" t="s">
        <v>303</v>
      </c>
      <c r="X18" s="426" t="str">
        <f>+W18</f>
        <v>Project G</v>
      </c>
      <c r="Y18" s="426" t="str">
        <f>+X18</f>
        <v>Project G</v>
      </c>
      <c r="Z18" s="428" t="str">
        <f>+Y18</f>
        <v>Project G</v>
      </c>
      <c r="AA18" s="425" t="s">
        <v>304</v>
      </c>
      <c r="AB18" s="426" t="str">
        <f>+AA18</f>
        <v>Project H</v>
      </c>
      <c r="AC18" s="426" t="str">
        <f>+AB18</f>
        <v>Project H</v>
      </c>
      <c r="AD18" s="428" t="str">
        <f>+AC18</f>
        <v>Project H</v>
      </c>
      <c r="AE18" s="425" t="s">
        <v>305</v>
      </c>
      <c r="AF18" s="426" t="str">
        <f>+AE18</f>
        <v>Project I</v>
      </c>
      <c r="AG18" s="426" t="str">
        <f>+AF18</f>
        <v>Project I</v>
      </c>
      <c r="AH18" s="428" t="str">
        <f>+AG18</f>
        <v>Project I</v>
      </c>
      <c r="AI18" s="658"/>
      <c r="AJ18" s="423"/>
      <c r="AK18" s="474"/>
    </row>
    <row r="19" spans="1:37" ht="13">
      <c r="A19" s="465" t="s">
        <v>464</v>
      </c>
      <c r="B19" s="429" t="s">
        <v>465</v>
      </c>
      <c r="C19" s="659"/>
      <c r="D19" s="660"/>
      <c r="E19" s="660"/>
      <c r="F19" s="661"/>
      <c r="G19" s="662"/>
      <c r="H19" s="660"/>
      <c r="I19" s="660"/>
      <c r="J19" s="661"/>
      <c r="K19" s="376"/>
      <c r="L19" s="232"/>
      <c r="M19" s="232"/>
      <c r="N19" s="403"/>
      <c r="O19" s="376"/>
      <c r="P19" s="232"/>
      <c r="Q19" s="232"/>
      <c r="R19" s="403"/>
      <c r="S19" s="376"/>
      <c r="T19" s="232"/>
      <c r="U19" s="232"/>
      <c r="V19" s="403"/>
      <c r="W19" s="376"/>
      <c r="X19" s="232"/>
      <c r="Y19" s="232"/>
      <c r="Z19" s="403"/>
      <c r="AA19" s="376"/>
      <c r="AB19" s="232"/>
      <c r="AC19" s="232"/>
      <c r="AD19" s="403"/>
      <c r="AE19" s="376"/>
      <c r="AF19" s="232"/>
      <c r="AG19" s="232"/>
      <c r="AH19" s="403"/>
      <c r="AI19" s="188"/>
      <c r="AJ19" s="374"/>
      <c r="AK19" s="372"/>
    </row>
    <row r="20" spans="1:37" ht="13">
      <c r="A20" s="465" t="s">
        <v>279</v>
      </c>
      <c r="B20" s="429"/>
      <c r="C20" s="659"/>
      <c r="D20" s="429"/>
      <c r="E20" s="429"/>
      <c r="F20" s="431"/>
      <c r="G20" s="659"/>
      <c r="H20" s="429"/>
      <c r="I20" s="429"/>
      <c r="J20" s="431"/>
      <c r="K20" s="430">
        <v>40</v>
      </c>
      <c r="L20" s="429"/>
      <c r="M20" s="429"/>
      <c r="N20" s="432"/>
      <c r="O20" s="430">
        <v>40</v>
      </c>
      <c r="P20" s="429"/>
      <c r="Q20" s="429"/>
      <c r="R20" s="432"/>
      <c r="S20" s="430">
        <v>40</v>
      </c>
      <c r="T20" s="429"/>
      <c r="U20" s="429"/>
      <c r="V20" s="432"/>
      <c r="W20" s="430">
        <v>35</v>
      </c>
      <c r="X20" s="429"/>
      <c r="Y20" s="429"/>
      <c r="Z20" s="432"/>
      <c r="AA20" s="430">
        <v>25</v>
      </c>
      <c r="AB20" s="429"/>
      <c r="AC20" s="429"/>
      <c r="AD20" s="432"/>
      <c r="AE20" s="430">
        <v>30</v>
      </c>
      <c r="AF20" s="429"/>
      <c r="AG20" s="429"/>
      <c r="AH20" s="432"/>
      <c r="AI20" s="188"/>
      <c r="AJ20" s="374"/>
      <c r="AK20" s="372"/>
    </row>
    <row r="21" spans="1:37" ht="13">
      <c r="A21" s="465" t="s">
        <v>280</v>
      </c>
      <c r="B21" s="429" t="s">
        <v>465</v>
      </c>
      <c r="C21" s="659"/>
      <c r="D21" s="429"/>
      <c r="E21" s="429"/>
      <c r="F21" s="431"/>
      <c r="G21" s="659"/>
      <c r="H21" s="429"/>
      <c r="I21" s="429"/>
      <c r="J21" s="431"/>
      <c r="K21" s="430" t="s">
        <v>284</v>
      </c>
      <c r="L21" s="429"/>
      <c r="M21" s="429"/>
      <c r="N21" s="432"/>
      <c r="O21" s="430" t="s">
        <v>284</v>
      </c>
      <c r="P21" s="429"/>
      <c r="Q21" s="429"/>
      <c r="R21" s="432"/>
      <c r="S21" s="430" t="s">
        <v>284</v>
      </c>
      <c r="T21" s="429"/>
      <c r="U21" s="429"/>
      <c r="V21" s="432"/>
      <c r="W21" s="430" t="s">
        <v>285</v>
      </c>
      <c r="X21" s="429"/>
      <c r="Y21" s="429"/>
      <c r="Z21" s="432"/>
      <c r="AA21" s="430" t="s">
        <v>285</v>
      </c>
      <c r="AB21" s="429"/>
      <c r="AC21" s="429"/>
      <c r="AD21" s="432"/>
      <c r="AE21" s="430" t="s">
        <v>284</v>
      </c>
      <c r="AF21" s="429"/>
      <c r="AG21" s="429"/>
      <c r="AH21" s="432"/>
      <c r="AI21" s="188"/>
      <c r="AJ21" s="374"/>
      <c r="AK21" s="372"/>
    </row>
    <row r="22" spans="1:37" ht="13">
      <c r="A22" s="465" t="s">
        <v>466</v>
      </c>
      <c r="B22" s="429"/>
      <c r="C22" s="659"/>
      <c r="D22" s="429"/>
      <c r="E22" s="429"/>
      <c r="F22" s="431"/>
      <c r="G22" s="659"/>
      <c r="H22" s="429"/>
      <c r="I22" s="429"/>
      <c r="J22" s="431"/>
      <c r="K22" s="430">
        <v>150</v>
      </c>
      <c r="L22" s="429"/>
      <c r="M22" s="429"/>
      <c r="N22" s="432"/>
      <c r="O22" s="430">
        <v>100</v>
      </c>
      <c r="P22" s="429"/>
      <c r="Q22" s="429"/>
      <c r="R22" s="432"/>
      <c r="S22" s="430">
        <v>50</v>
      </c>
      <c r="T22" s="429"/>
      <c r="U22" s="429"/>
      <c r="V22" s="432"/>
      <c r="W22" s="430">
        <v>100</v>
      </c>
      <c r="X22" s="429"/>
      <c r="Y22" s="429"/>
      <c r="Z22" s="432"/>
      <c r="AA22" s="430">
        <v>150</v>
      </c>
      <c r="AB22" s="429"/>
      <c r="AC22" s="429"/>
      <c r="AD22" s="432"/>
      <c r="AE22" s="430">
        <v>50</v>
      </c>
      <c r="AF22" s="429"/>
      <c r="AG22" s="429"/>
      <c r="AH22" s="432"/>
      <c r="AI22" s="188"/>
      <c r="AJ22" s="374"/>
      <c r="AK22" s="372"/>
    </row>
    <row r="23" spans="1:37" ht="13">
      <c r="A23" s="465" t="str">
        <f>"FCR @ "&amp;'ATT H'!H200*100&amp;" ROE"</f>
        <v>FCR @ 11.3 ROE</v>
      </c>
      <c r="B23" s="429"/>
      <c r="C23" s="374">
        <f>+$J7</f>
        <v>0.24145391903507354</v>
      </c>
      <c r="D23" s="188"/>
      <c r="E23" s="188"/>
      <c r="F23" s="433"/>
      <c r="G23" s="374"/>
      <c r="H23" s="188"/>
      <c r="I23" s="188"/>
      <c r="J23" s="433"/>
      <c r="K23" s="374">
        <f>+$J7</f>
        <v>0.24145391903507354</v>
      </c>
      <c r="L23" s="188"/>
      <c r="M23" s="188"/>
      <c r="N23" s="372"/>
      <c r="O23" s="374">
        <f>+$J7</f>
        <v>0.24145391903507354</v>
      </c>
      <c r="P23" s="188"/>
      <c r="Q23" s="188"/>
      <c r="R23" s="372"/>
      <c r="S23" s="374">
        <f>+$J7</f>
        <v>0.24145391903507354</v>
      </c>
      <c r="T23" s="188"/>
      <c r="U23" s="188"/>
      <c r="V23" s="372"/>
      <c r="W23" s="430">
        <f>$J13</f>
        <v>0.14148852158473049</v>
      </c>
      <c r="X23" s="429"/>
      <c r="Y23" s="429"/>
      <c r="Z23" s="432"/>
      <c r="AA23" s="430">
        <f>$J13</f>
        <v>0.14148852158473049</v>
      </c>
      <c r="AB23" s="429"/>
      <c r="AC23" s="429"/>
      <c r="AD23" s="432"/>
      <c r="AE23" s="374">
        <f>+$J7</f>
        <v>0.24145391903507354</v>
      </c>
      <c r="AF23" s="188"/>
      <c r="AG23" s="188"/>
      <c r="AH23" s="372"/>
      <c r="AI23" s="188"/>
      <c r="AJ23" s="374"/>
      <c r="AK23" s="372"/>
    </row>
    <row r="24" spans="1:37" ht="65">
      <c r="A24" s="465" t="s">
        <v>289</v>
      </c>
      <c r="B24" s="663" t="str">
        <f>"("&amp;A23&amp;" + "&amp;A23&amp;" x Increased ROE/100 bp)"</f>
        <v>(FCR @ 11.3 ROE + FCR @ 11.3 ROE x Increased ROE/100 bp)</v>
      </c>
      <c r="C24" s="374">
        <f>($J7+$J9/100*C22)</f>
        <v>0.24145391903507354</v>
      </c>
      <c r="D24" s="188"/>
      <c r="E24" s="188"/>
      <c r="F24" s="433"/>
      <c r="G24" s="374"/>
      <c r="H24" s="188"/>
      <c r="I24" s="188"/>
      <c r="J24" s="433"/>
      <c r="K24" s="374">
        <f>($J7+$J9/100*K22)</f>
        <v>0.25475564074304741</v>
      </c>
      <c r="L24" s="188"/>
      <c r="M24" s="188"/>
      <c r="N24" s="372"/>
      <c r="O24" s="374">
        <f>($J7+$J9/100*O22)</f>
        <v>0.25032173350705611</v>
      </c>
      <c r="P24" s="188"/>
      <c r="Q24" s="188"/>
      <c r="R24" s="372"/>
      <c r="S24" s="374">
        <f>($J7+$J9/100*S22)</f>
        <v>0.24588782627106481</v>
      </c>
      <c r="T24" s="188"/>
      <c r="U24" s="188"/>
      <c r="V24" s="372"/>
      <c r="W24" s="374">
        <f>+J13</f>
        <v>0.14148852158473049</v>
      </c>
      <c r="X24" s="188"/>
      <c r="Y24" s="188"/>
      <c r="Z24" s="372"/>
      <c r="AA24" s="374">
        <f>+J13</f>
        <v>0.14148852158473049</v>
      </c>
      <c r="AB24" s="188"/>
      <c r="AC24" s="188"/>
      <c r="AD24" s="372"/>
      <c r="AE24" s="374">
        <f>($J7+$J9/100*AE22)</f>
        <v>0.24588782627106481</v>
      </c>
      <c r="AF24" s="188"/>
      <c r="AG24" s="188"/>
      <c r="AH24" s="372"/>
      <c r="AI24" s="188"/>
      <c r="AJ24" s="374"/>
      <c r="AK24" s="372"/>
    </row>
    <row r="25" spans="1:37" ht="13">
      <c r="A25" s="465" t="s">
        <v>291</v>
      </c>
      <c r="B25" s="429"/>
      <c r="C25" s="483"/>
      <c r="D25" s="435" t="s">
        <v>467</v>
      </c>
      <c r="E25" s="435"/>
      <c r="F25" s="433"/>
      <c r="G25" s="664"/>
      <c r="H25" s="435"/>
      <c r="I25" s="435"/>
      <c r="J25" s="433"/>
      <c r="K25" s="434">
        <v>30000000</v>
      </c>
      <c r="L25" s="435"/>
      <c r="M25" s="435"/>
      <c r="N25" s="433"/>
      <c r="O25" s="434">
        <v>20000000</v>
      </c>
      <c r="P25" s="435"/>
      <c r="Q25" s="435"/>
      <c r="R25" s="433"/>
      <c r="S25" s="434">
        <v>30000000</v>
      </c>
      <c r="T25" s="435"/>
      <c r="U25" s="435"/>
      <c r="V25" s="433"/>
      <c r="W25" s="434">
        <v>20000000</v>
      </c>
      <c r="X25" s="435"/>
      <c r="Y25" s="435"/>
      <c r="Z25" s="433"/>
      <c r="AA25" s="434">
        <v>30000000</v>
      </c>
      <c r="AB25" s="435"/>
      <c r="AC25" s="435"/>
      <c r="AD25" s="433"/>
      <c r="AE25" s="434">
        <v>20000000</v>
      </c>
      <c r="AF25" s="435"/>
      <c r="AG25" s="435"/>
      <c r="AH25" s="433"/>
      <c r="AI25" s="188"/>
      <c r="AJ25" s="374"/>
      <c r="AK25" s="372"/>
    </row>
    <row r="26" spans="1:37" ht="13">
      <c r="A26" s="374" t="s">
        <v>292</v>
      </c>
      <c r="B26" s="429"/>
      <c r="C26" s="434">
        <f>IF(C25=0,0,C25/C20)</f>
        <v>0</v>
      </c>
      <c r="D26" s="435"/>
      <c r="E26" s="435"/>
      <c r="F26" s="433"/>
      <c r="G26" s="434">
        <f>IF(G25=0,0,G25/G20)</f>
        <v>0</v>
      </c>
      <c r="H26" s="435"/>
      <c r="I26" s="435"/>
      <c r="J26" s="433"/>
      <c r="K26" s="434">
        <f>+K25/K20</f>
        <v>750000</v>
      </c>
      <c r="L26" s="435"/>
      <c r="M26" s="435"/>
      <c r="N26" s="433"/>
      <c r="O26" s="434">
        <f>+O25/O20</f>
        <v>500000</v>
      </c>
      <c r="P26" s="435"/>
      <c r="Q26" s="435"/>
      <c r="R26" s="433"/>
      <c r="S26" s="434">
        <f>+S25/S20</f>
        <v>750000</v>
      </c>
      <c r="T26" s="435"/>
      <c r="U26" s="435"/>
      <c r="V26" s="433"/>
      <c r="W26" s="434">
        <f>+W25/W20</f>
        <v>571428.57142857148</v>
      </c>
      <c r="X26" s="435"/>
      <c r="Y26" s="435"/>
      <c r="Z26" s="433"/>
      <c r="AA26" s="434">
        <f>+AA25/AA20</f>
        <v>1200000</v>
      </c>
      <c r="AB26" s="435"/>
      <c r="AC26" s="435"/>
      <c r="AD26" s="433"/>
      <c r="AE26" s="434">
        <f>+AE25/AE20</f>
        <v>666666.66666666663</v>
      </c>
      <c r="AF26" s="435"/>
      <c r="AG26" s="435"/>
      <c r="AH26" s="433"/>
      <c r="AI26" s="188"/>
      <c r="AJ26" s="374"/>
      <c r="AK26" s="372"/>
    </row>
    <row r="27" spans="1:45" s="2" customFormat="1" ht="13">
      <c r="A27" s="465" t="s">
        <v>374</v>
      </c>
      <c r="B27" s="393"/>
      <c r="C27" s="698">
        <f>(12-'ATT 6 - Est and True-up WS'!I43)*0</f>
        <v>0</v>
      </c>
      <c r="D27" s="467"/>
      <c r="E27" s="467"/>
      <c r="F27" s="468"/>
      <c r="G27" s="664"/>
      <c r="H27" s="467"/>
      <c r="I27" s="467"/>
      <c r="J27" s="468"/>
      <c r="K27" s="466">
        <v>10</v>
      </c>
      <c r="L27" s="467"/>
      <c r="M27" s="467"/>
      <c r="N27" s="468"/>
      <c r="O27" s="466">
        <v>2</v>
      </c>
      <c r="P27" s="467"/>
      <c r="Q27" s="467"/>
      <c r="R27" s="468"/>
      <c r="S27" s="466">
        <v>4</v>
      </c>
      <c r="T27" s="467"/>
      <c r="U27" s="467"/>
      <c r="V27" s="468"/>
      <c r="W27" s="466">
        <v>11</v>
      </c>
      <c r="X27" s="467"/>
      <c r="Y27" s="467"/>
      <c r="Z27" s="468"/>
      <c r="AA27" s="466">
        <v>8</v>
      </c>
      <c r="AB27" s="467"/>
      <c r="AC27" s="467"/>
      <c r="AD27" s="468"/>
      <c r="AE27" s="466">
        <v>9</v>
      </c>
      <c r="AF27" s="467"/>
      <c r="AG27" s="467"/>
      <c r="AH27" s="468"/>
      <c r="AI27" s="189"/>
      <c r="AJ27" s="465"/>
      <c r="AK27" s="475"/>
      <c r="AS27"/>
    </row>
    <row r="28" spans="1:37" ht="13.5" thickBot="1">
      <c r="A28" s="378"/>
      <c r="B28" s="436"/>
      <c r="C28" s="437"/>
      <c r="D28" s="438"/>
      <c r="E28" s="438"/>
      <c r="F28" s="439"/>
      <c r="G28" s="437"/>
      <c r="H28" s="438"/>
      <c r="I28" s="438"/>
      <c r="J28" s="439"/>
      <c r="K28" s="437"/>
      <c r="L28" s="438"/>
      <c r="M28" s="438"/>
      <c r="N28" s="439"/>
      <c r="O28" s="437"/>
      <c r="P28" s="438"/>
      <c r="Q28" s="438"/>
      <c r="R28" s="439"/>
      <c r="S28" s="437"/>
      <c r="T28" s="438"/>
      <c r="U28" s="438"/>
      <c r="V28" s="439"/>
      <c r="W28" s="437"/>
      <c r="X28" s="438"/>
      <c r="Y28" s="438"/>
      <c r="Z28" s="439"/>
      <c r="AA28" s="437"/>
      <c r="AB28" s="438"/>
      <c r="AC28" s="438"/>
      <c r="AD28" s="439"/>
      <c r="AE28" s="437"/>
      <c r="AF28" s="438"/>
      <c r="AG28" s="438"/>
      <c r="AH28" s="439"/>
      <c r="AI28" s="373"/>
      <c r="AJ28" s="378"/>
      <c r="AK28" s="379"/>
    </row>
    <row r="29" spans="1:37" ht="13">
      <c r="A29" s="423"/>
      <c r="B29" s="440" t="s">
        <v>282</v>
      </c>
      <c r="C29" s="713" t="s">
        <v>295</v>
      </c>
      <c r="D29" s="713" t="s">
        <v>296</v>
      </c>
      <c r="E29" s="426" t="s">
        <v>297</v>
      </c>
      <c r="F29" s="427" t="s">
        <v>294</v>
      </c>
      <c r="G29" s="426" t="s">
        <v>295</v>
      </c>
      <c r="H29" s="426" t="s">
        <v>296</v>
      </c>
      <c r="I29" s="426" t="s">
        <v>297</v>
      </c>
      <c r="J29" s="428" t="s">
        <v>294</v>
      </c>
      <c r="K29" s="425" t="s">
        <v>295</v>
      </c>
      <c r="L29" s="426" t="s">
        <v>296</v>
      </c>
      <c r="M29" s="426" t="s">
        <v>297</v>
      </c>
      <c r="N29" s="428" t="s">
        <v>294</v>
      </c>
      <c r="O29" s="425" t="s">
        <v>295</v>
      </c>
      <c r="P29" s="426" t="s">
        <v>296</v>
      </c>
      <c r="Q29" s="426" t="s">
        <v>297</v>
      </c>
      <c r="R29" s="428" t="s">
        <v>294</v>
      </c>
      <c r="S29" s="425" t="s">
        <v>295</v>
      </c>
      <c r="T29" s="426" t="s">
        <v>296</v>
      </c>
      <c r="U29" s="426" t="s">
        <v>297</v>
      </c>
      <c r="V29" s="428" t="s">
        <v>294</v>
      </c>
      <c r="W29" s="425" t="s">
        <v>295</v>
      </c>
      <c r="X29" s="426" t="s">
        <v>296</v>
      </c>
      <c r="Y29" s="426" t="s">
        <v>297</v>
      </c>
      <c r="Z29" s="428" t="s">
        <v>294</v>
      </c>
      <c r="AA29" s="425" t="s">
        <v>295</v>
      </c>
      <c r="AB29" s="426" t="s">
        <v>296</v>
      </c>
      <c r="AC29" s="426" t="s">
        <v>297</v>
      </c>
      <c r="AD29" s="428" t="s">
        <v>294</v>
      </c>
      <c r="AE29" s="425" t="s">
        <v>295</v>
      </c>
      <c r="AF29" s="426" t="s">
        <v>296</v>
      </c>
      <c r="AG29" s="426" t="s">
        <v>297</v>
      </c>
      <c r="AH29" s="428" t="s">
        <v>294</v>
      </c>
      <c r="AI29" s="462" t="s">
        <v>173</v>
      </c>
      <c r="AJ29" s="665" t="s">
        <v>308</v>
      </c>
      <c r="AK29" s="666" t="s">
        <v>309</v>
      </c>
    </row>
    <row r="30" spans="1:37" ht="13">
      <c r="A30" s="465" t="str">
        <f>"FCR @ "&amp;'ATT H'!H200*100&amp;" ROE"</f>
        <v>FCR @ 11.3 ROE</v>
      </c>
      <c r="B30" s="443">
        <v>2006</v>
      </c>
      <c r="C30" s="444">
        <f>+C25</f>
        <v>0</v>
      </c>
      <c r="D30" s="435">
        <f>+C$26/12*(12-C$27)</f>
        <v>0</v>
      </c>
      <c r="E30" s="444">
        <f t="shared" si="0" ref="E30:E69">=+C30-D30</f>
        <v>0</v>
      </c>
      <c r="F30" s="433">
        <f>+C$23*E30*(13-C27)/12+D30</f>
        <v>0</v>
      </c>
      <c r="G30" s="188"/>
      <c r="H30" s="188"/>
      <c r="I30" s="188"/>
      <c r="J30" s="433"/>
      <c r="K30" s="374"/>
      <c r="L30" s="188"/>
      <c r="M30" s="188"/>
      <c r="N30" s="433"/>
      <c r="O30" s="374"/>
      <c r="P30" s="188"/>
      <c r="Q30" s="188"/>
      <c r="R30" s="433"/>
      <c r="S30" s="374"/>
      <c r="T30" s="188"/>
      <c r="U30" s="188"/>
      <c r="V30" s="433"/>
      <c r="W30" s="374"/>
      <c r="X30" s="188"/>
      <c r="Y30" s="188"/>
      <c r="Z30" s="433"/>
      <c r="AA30" s="374"/>
      <c r="AB30" s="188"/>
      <c r="AC30" s="188"/>
      <c r="AD30" s="433"/>
      <c r="AE30" s="374"/>
      <c r="AF30" s="188"/>
      <c r="AG30" s="188"/>
      <c r="AH30" s="433"/>
      <c r="AI30" s="463">
        <f>+J30+F30</f>
        <v>0</v>
      </c>
      <c r="AJ30" s="188"/>
      <c r="AK30" s="445">
        <f>+AI30</f>
        <v>0</v>
      </c>
    </row>
    <row r="31" spans="1:37" ht="13">
      <c r="A31" s="374" t="s">
        <v>468</v>
      </c>
      <c r="B31" s="443">
        <v>2006</v>
      </c>
      <c r="C31" s="444">
        <f>+C30</f>
        <v>0</v>
      </c>
      <c r="D31" s="435">
        <f>+D30</f>
        <v>0</v>
      </c>
      <c r="E31" s="444">
        <f t="shared" si="0"/>
        <v>0</v>
      </c>
      <c r="F31" s="433">
        <f>+C$24*E31*(13-C27)/12+D31</f>
        <v>0</v>
      </c>
      <c r="G31" s="188"/>
      <c r="H31" s="188"/>
      <c r="I31" s="188"/>
      <c r="J31" s="433"/>
      <c r="K31" s="374"/>
      <c r="L31" s="188"/>
      <c r="M31" s="188"/>
      <c r="N31" s="433"/>
      <c r="O31" s="374"/>
      <c r="P31" s="188"/>
      <c r="Q31" s="188"/>
      <c r="R31" s="433"/>
      <c r="S31" s="374"/>
      <c r="T31" s="188"/>
      <c r="U31" s="188"/>
      <c r="V31" s="433"/>
      <c r="W31" s="374"/>
      <c r="X31" s="188"/>
      <c r="Y31" s="188"/>
      <c r="Z31" s="433"/>
      <c r="AA31" s="374"/>
      <c r="AB31" s="188"/>
      <c r="AC31" s="188"/>
      <c r="AD31" s="433"/>
      <c r="AE31" s="374"/>
      <c r="AF31" s="188"/>
      <c r="AG31" s="188"/>
      <c r="AH31" s="433"/>
      <c r="AI31" s="463">
        <f t="shared" si="1" ref="AI31:AI69">=+J31+F31</f>
        <v>0</v>
      </c>
      <c r="AJ31" s="446">
        <f>+AI31</f>
        <v>0</v>
      </c>
      <c r="AK31" s="372"/>
    </row>
    <row r="32" spans="1:37" ht="13">
      <c r="A32" s="374" t="str">
        <f t="shared" si="2" ref="A32:A69">=+A30</f>
        <v>FCR @ 11.3 ROE</v>
      </c>
      <c r="B32" s="443">
        <f t="shared" si="3" ref="B32:B69">=+B30+1</f>
        <v>2007</v>
      </c>
      <c r="C32" s="444">
        <f>+E31</f>
        <v>0</v>
      </c>
      <c r="D32" s="444">
        <f>+C$26</f>
        <v>0</v>
      </c>
      <c r="E32" s="444">
        <f t="shared" si="0"/>
        <v>0</v>
      </c>
      <c r="F32" s="433">
        <f>+C$23*E32+D32</f>
        <v>0</v>
      </c>
      <c r="G32" s="444">
        <f>+G$25</f>
        <v>0</v>
      </c>
      <c r="H32" s="435">
        <f>+G$26/12*(12-G$27)</f>
        <v>0</v>
      </c>
      <c r="I32" s="444">
        <f t="shared" si="4" ref="I32:I69">=+G32-H32</f>
        <v>0</v>
      </c>
      <c r="J32" s="433">
        <f>+G$23*I32+H32</f>
        <v>0</v>
      </c>
      <c r="K32" s="447"/>
      <c r="L32" s="435"/>
      <c r="M32" s="444"/>
      <c r="N32" s="433"/>
      <c r="O32" s="447"/>
      <c r="P32" s="435"/>
      <c r="Q32" s="444"/>
      <c r="R32" s="433"/>
      <c r="S32" s="447"/>
      <c r="T32" s="435"/>
      <c r="U32" s="444"/>
      <c r="V32" s="433"/>
      <c r="W32" s="447"/>
      <c r="X32" s="435"/>
      <c r="Y32" s="444"/>
      <c r="Z32" s="433"/>
      <c r="AA32" s="447"/>
      <c r="AB32" s="435"/>
      <c r="AC32" s="444"/>
      <c r="AD32" s="433"/>
      <c r="AE32" s="447"/>
      <c r="AF32" s="435"/>
      <c r="AG32" s="444"/>
      <c r="AH32" s="433"/>
      <c r="AI32" s="463">
        <f t="shared" si="1"/>
        <v>0</v>
      </c>
      <c r="AJ32" s="188"/>
      <c r="AK32" s="445">
        <f>+AI32</f>
        <v>0</v>
      </c>
    </row>
    <row r="33" spans="1:37" ht="13">
      <c r="A33" s="374" t="str">
        <f t="shared" si="2"/>
        <v>W Increased ROE</v>
      </c>
      <c r="B33" s="443">
        <f t="shared" si="3"/>
        <v>2007</v>
      </c>
      <c r="C33" s="444">
        <f>+C32</f>
        <v>0</v>
      </c>
      <c r="D33" s="444">
        <f>+D32</f>
        <v>0</v>
      </c>
      <c r="E33" s="444">
        <f t="shared" si="0"/>
        <v>0</v>
      </c>
      <c r="F33" s="433">
        <f>+C$24*E33+D33</f>
        <v>0</v>
      </c>
      <c r="G33" s="444">
        <f>+G32</f>
        <v>0</v>
      </c>
      <c r="H33" s="435">
        <f>+H32</f>
        <v>0</v>
      </c>
      <c r="I33" s="444">
        <f t="shared" si="4"/>
        <v>0</v>
      </c>
      <c r="J33" s="433">
        <f>+G$24*I33+H33</f>
        <v>0</v>
      </c>
      <c r="K33" s="447"/>
      <c r="L33" s="435"/>
      <c r="M33" s="444"/>
      <c r="N33" s="433"/>
      <c r="O33" s="447"/>
      <c r="P33" s="435"/>
      <c r="Q33" s="444"/>
      <c r="R33" s="433"/>
      <c r="S33" s="447"/>
      <c r="T33" s="435"/>
      <c r="U33" s="444"/>
      <c r="V33" s="433"/>
      <c r="W33" s="447"/>
      <c r="X33" s="435"/>
      <c r="Y33" s="444"/>
      <c r="Z33" s="433"/>
      <c r="AA33" s="447"/>
      <c r="AB33" s="435"/>
      <c r="AC33" s="444"/>
      <c r="AD33" s="433"/>
      <c r="AE33" s="447"/>
      <c r="AF33" s="435"/>
      <c r="AG33" s="444"/>
      <c r="AH33" s="433"/>
      <c r="AI33" s="463">
        <f t="shared" si="1"/>
        <v>0</v>
      </c>
      <c r="AJ33" s="446">
        <f>+AI33</f>
        <v>0</v>
      </c>
      <c r="AK33" s="372"/>
    </row>
    <row r="34" spans="1:37" ht="13">
      <c r="A34" s="374" t="str">
        <f t="shared" si="2"/>
        <v>FCR @ 11.3 ROE</v>
      </c>
      <c r="B34" s="443">
        <f t="shared" si="3"/>
        <v>2008</v>
      </c>
      <c r="C34" s="444">
        <f>+E33</f>
        <v>0</v>
      </c>
      <c r="D34" s="444">
        <f>+C$26</f>
        <v>0</v>
      </c>
      <c r="E34" s="444">
        <f t="shared" si="0"/>
        <v>0</v>
      </c>
      <c r="F34" s="433">
        <f>+C$23*E34+D34</f>
        <v>0</v>
      </c>
      <c r="G34" s="444">
        <f>+I33</f>
        <v>0</v>
      </c>
      <c r="H34" s="444">
        <f>+G$26</f>
        <v>0</v>
      </c>
      <c r="I34" s="444">
        <f t="shared" si="4"/>
        <v>0</v>
      </c>
      <c r="J34" s="433">
        <f>+G$23*I34+H34</f>
        <v>0</v>
      </c>
      <c r="K34" s="447">
        <f>+K$25</f>
        <v>30000000</v>
      </c>
      <c r="L34" s="435">
        <f>+K$26/12*(12-K$27)</f>
        <v>125000</v>
      </c>
      <c r="M34" s="444">
        <f t="shared" si="5" ref="M34:M69">=+K34-L34</f>
        <v>29875000</v>
      </c>
      <c r="N34" s="433">
        <f>+K$23*M34+L34</f>
        <v>7338435.831172822</v>
      </c>
      <c r="O34" s="447">
        <f>+O$25</f>
        <v>20000000</v>
      </c>
      <c r="P34" s="435">
        <f>+O$26/12*(12-O$27)</f>
        <v>416666.66666666663</v>
      </c>
      <c r="Q34" s="444">
        <f t="shared" si="6" ref="Q34:Q69">=+O34-P34</f>
        <v>19583333.333333332</v>
      </c>
      <c r="R34" s="433">
        <f>+O$23*Q34+P34</f>
        <v>5145139.2477701902</v>
      </c>
      <c r="S34" s="447"/>
      <c r="T34" s="444"/>
      <c r="U34" s="444"/>
      <c r="V34" s="433"/>
      <c r="W34" s="447"/>
      <c r="X34" s="444"/>
      <c r="Y34" s="444"/>
      <c r="Z34" s="433"/>
      <c r="AA34" s="447"/>
      <c r="AB34" s="444"/>
      <c r="AC34" s="444"/>
      <c r="AD34" s="433"/>
      <c r="AE34" s="447"/>
      <c r="AF34" s="444"/>
      <c r="AG34" s="444"/>
      <c r="AH34" s="433"/>
      <c r="AI34" s="463">
        <f t="shared" si="1"/>
        <v>0</v>
      </c>
      <c r="AJ34" s="188"/>
      <c r="AK34" s="445">
        <f>+AI34</f>
        <v>0</v>
      </c>
    </row>
    <row r="35" spans="1:37" ht="13">
      <c r="A35" s="374" t="str">
        <f t="shared" si="2"/>
        <v>W Increased ROE</v>
      </c>
      <c r="B35" s="443">
        <f t="shared" si="3"/>
        <v>2008</v>
      </c>
      <c r="C35" s="444">
        <f>+C34</f>
        <v>0</v>
      </c>
      <c r="D35" s="444">
        <f>+D34</f>
        <v>0</v>
      </c>
      <c r="E35" s="444">
        <f t="shared" si="0"/>
        <v>0</v>
      </c>
      <c r="F35" s="433">
        <f>+C$24*E35+D35</f>
        <v>0</v>
      </c>
      <c r="G35" s="444">
        <f>+G34</f>
        <v>0</v>
      </c>
      <c r="H35" s="444">
        <f>+H34</f>
        <v>0</v>
      </c>
      <c r="I35" s="444">
        <f t="shared" si="4"/>
        <v>0</v>
      </c>
      <c r="J35" s="433">
        <f>+G$24*I35+H35</f>
        <v>0</v>
      </c>
      <c r="K35" s="447">
        <f>+K34</f>
        <v>30000000</v>
      </c>
      <c r="L35" s="435">
        <f>+L34</f>
        <v>125000</v>
      </c>
      <c r="M35" s="444">
        <f t="shared" si="5"/>
        <v>29875000</v>
      </c>
      <c r="N35" s="433">
        <f>+K$24*M35+L35</f>
        <v>7735824.7671985412</v>
      </c>
      <c r="O35" s="447">
        <f>+O34</f>
        <v>20000000</v>
      </c>
      <c r="P35" s="435">
        <f>+P34</f>
        <v>416666.66666666663</v>
      </c>
      <c r="Q35" s="444">
        <f t="shared" si="6"/>
        <v>19583333.333333332</v>
      </c>
      <c r="R35" s="433">
        <f>+O$24*Q35+P35</f>
        <v>5318800.6145131821</v>
      </c>
      <c r="S35" s="447"/>
      <c r="T35" s="444"/>
      <c r="U35" s="444"/>
      <c r="V35" s="433"/>
      <c r="W35" s="447"/>
      <c r="X35" s="444"/>
      <c r="Y35" s="444"/>
      <c r="Z35" s="433"/>
      <c r="AA35" s="447"/>
      <c r="AB35" s="444"/>
      <c r="AC35" s="444"/>
      <c r="AD35" s="433"/>
      <c r="AE35" s="447"/>
      <c r="AF35" s="444"/>
      <c r="AG35" s="444"/>
      <c r="AH35" s="433"/>
      <c r="AI35" s="463">
        <f t="shared" si="1"/>
        <v>0</v>
      </c>
      <c r="AJ35" s="446">
        <f>+AI35</f>
        <v>0</v>
      </c>
      <c r="AK35" s="372"/>
    </row>
    <row r="36" spans="1:37" ht="13">
      <c r="A36" s="374" t="str">
        <f t="shared" si="2"/>
        <v>FCR @ 11.3 ROE</v>
      </c>
      <c r="B36" s="443">
        <f t="shared" si="3"/>
        <v>2009</v>
      </c>
      <c r="C36" s="444">
        <f>+E35</f>
        <v>0</v>
      </c>
      <c r="D36" s="444">
        <f>+C$26</f>
        <v>0</v>
      </c>
      <c r="E36" s="444">
        <f t="shared" si="0"/>
        <v>0</v>
      </c>
      <c r="F36" s="433">
        <f>+C$23*E36+D36</f>
        <v>0</v>
      </c>
      <c r="G36" s="444">
        <f>+I35</f>
        <v>0</v>
      </c>
      <c r="H36" s="444">
        <f>+G$26</f>
        <v>0</v>
      </c>
      <c r="I36" s="444">
        <f t="shared" si="4"/>
        <v>0</v>
      </c>
      <c r="J36" s="433">
        <f>+G$23*I36+H36</f>
        <v>0</v>
      </c>
      <c r="K36" s="447">
        <f>+M35</f>
        <v>29875000</v>
      </c>
      <c r="L36" s="444">
        <f>+K$26</f>
        <v>750000</v>
      </c>
      <c r="M36" s="444">
        <f t="shared" si="5"/>
        <v>29125000</v>
      </c>
      <c r="N36" s="433">
        <f>+K$23*M36+L36</f>
        <v>7782345.391896517</v>
      </c>
      <c r="O36" s="447">
        <f>+Q35</f>
        <v>19583333.333333332</v>
      </c>
      <c r="P36" s="444">
        <f>+O$26</f>
        <v>500000</v>
      </c>
      <c r="Q36" s="444">
        <f t="shared" si="6"/>
        <v>19083333.333333332</v>
      </c>
      <c r="R36" s="433">
        <f>+O$23*Q36+P36</f>
        <v>5107745.6215859866</v>
      </c>
      <c r="S36" s="447">
        <f>+S$25</f>
        <v>30000000</v>
      </c>
      <c r="T36" s="435">
        <f>+S$26/12*(12-S$27)</f>
        <v>500000</v>
      </c>
      <c r="U36" s="444">
        <f t="shared" si="7" ref="U36:U69">=+S36-T36</f>
        <v>29500000</v>
      </c>
      <c r="V36" s="433">
        <f>+S$23*U36+T36</f>
        <v>7622890.61153467</v>
      </c>
      <c r="W36" s="447">
        <f>+W$25</f>
        <v>20000000</v>
      </c>
      <c r="X36" s="435">
        <f>+W$26/12*(12-W$27)</f>
        <v>47619.047619047626</v>
      </c>
      <c r="Y36" s="444">
        <f t="shared" si="8" ref="Y36:Y69">=+W36-X36</f>
        <v>19952380.952380951</v>
      </c>
      <c r="Z36" s="433">
        <f>+W$23*Y36+X36</f>
        <v>2870651.9306667652</v>
      </c>
      <c r="AA36" s="447"/>
      <c r="AB36" s="444"/>
      <c r="AC36" s="444"/>
      <c r="AD36" s="433"/>
      <c r="AE36" s="447"/>
      <c r="AF36" s="444"/>
      <c r="AG36" s="444"/>
      <c r="AH36" s="433"/>
      <c r="AI36" s="463">
        <f t="shared" si="1"/>
        <v>0</v>
      </c>
      <c r="AJ36" s="188"/>
      <c r="AK36" s="445">
        <f>+AI36</f>
        <v>0</v>
      </c>
    </row>
    <row r="37" spans="1:37" ht="13">
      <c r="A37" s="374" t="str">
        <f t="shared" si="2"/>
        <v>W Increased ROE</v>
      </c>
      <c r="B37" s="443">
        <f t="shared" si="3"/>
        <v>2009</v>
      </c>
      <c r="C37" s="444">
        <f>+C36</f>
        <v>0</v>
      </c>
      <c r="D37" s="444">
        <f>+D36</f>
        <v>0</v>
      </c>
      <c r="E37" s="444">
        <f t="shared" si="0"/>
        <v>0</v>
      </c>
      <c r="F37" s="433">
        <f>+C$24*E37+D37</f>
        <v>0</v>
      </c>
      <c r="G37" s="444">
        <f>+G36</f>
        <v>0</v>
      </c>
      <c r="H37" s="444">
        <f>+H36</f>
        <v>0</v>
      </c>
      <c r="I37" s="444">
        <f t="shared" si="4"/>
        <v>0</v>
      </c>
      <c r="J37" s="433">
        <f>+G$24*I37+H37</f>
        <v>0</v>
      </c>
      <c r="K37" s="447">
        <f>+K36</f>
        <v>29875000</v>
      </c>
      <c r="L37" s="444">
        <f>+L36</f>
        <v>750000</v>
      </c>
      <c r="M37" s="444">
        <f t="shared" si="5"/>
        <v>29125000</v>
      </c>
      <c r="N37" s="433">
        <f>+K$24*M37+L37</f>
        <v>8169758.036641256</v>
      </c>
      <c r="O37" s="447">
        <f>+O36</f>
        <v>19583333.333333332</v>
      </c>
      <c r="P37" s="444">
        <f>+P36</f>
        <v>500000</v>
      </c>
      <c r="Q37" s="444">
        <f t="shared" si="6"/>
        <v>19083333.333333332</v>
      </c>
      <c r="R37" s="433">
        <f>+O$24*Q37+P37</f>
        <v>5276973.0810929872</v>
      </c>
      <c r="S37" s="447">
        <f>+S36</f>
        <v>30000000</v>
      </c>
      <c r="T37" s="435">
        <f>+T36</f>
        <v>500000</v>
      </c>
      <c r="U37" s="444">
        <f t="shared" si="7"/>
        <v>29500000</v>
      </c>
      <c r="V37" s="433">
        <f>+S$24*U37+T37</f>
        <v>7753690.8749964116</v>
      </c>
      <c r="W37" s="447">
        <f>+W36</f>
        <v>20000000</v>
      </c>
      <c r="X37" s="435">
        <f>+X36</f>
        <v>47619.047619047626</v>
      </c>
      <c r="Y37" s="444">
        <f t="shared" si="8"/>
        <v>19952380.952380951</v>
      </c>
      <c r="Z37" s="433">
        <f>+W$24*Y37+X37</f>
        <v>2870651.9306667652</v>
      </c>
      <c r="AA37" s="447"/>
      <c r="AB37" s="444"/>
      <c r="AC37" s="444"/>
      <c r="AD37" s="433"/>
      <c r="AE37" s="447"/>
      <c r="AF37" s="444"/>
      <c r="AG37" s="444"/>
      <c r="AH37" s="433"/>
      <c r="AI37" s="463">
        <f t="shared" si="1"/>
        <v>0</v>
      </c>
      <c r="AJ37" s="446">
        <f>+AI37</f>
        <v>0</v>
      </c>
      <c r="AK37" s="372"/>
    </row>
    <row r="38" spans="1:37" ht="13">
      <c r="A38" s="374" t="str">
        <f t="shared" si="2"/>
        <v>FCR @ 11.3 ROE</v>
      </c>
      <c r="B38" s="443">
        <f t="shared" si="3"/>
        <v>2010</v>
      </c>
      <c r="C38" s="444">
        <f>+E37</f>
        <v>0</v>
      </c>
      <c r="D38" s="444">
        <f>+C$26</f>
        <v>0</v>
      </c>
      <c r="E38" s="444">
        <f t="shared" si="0"/>
        <v>0</v>
      </c>
      <c r="F38" s="433">
        <f>+C$23*E38+D38</f>
        <v>0</v>
      </c>
      <c r="G38" s="444">
        <f>+I37</f>
        <v>0</v>
      </c>
      <c r="H38" s="444">
        <f>+G$26</f>
        <v>0</v>
      </c>
      <c r="I38" s="444">
        <f t="shared" si="4"/>
        <v>0</v>
      </c>
      <c r="J38" s="433">
        <f>+G$23*I38+H38</f>
        <v>0</v>
      </c>
      <c r="K38" s="447">
        <f>+M37</f>
        <v>29125000</v>
      </c>
      <c r="L38" s="444">
        <f>+K$26</f>
        <v>750000</v>
      </c>
      <c r="M38" s="444">
        <f t="shared" si="5"/>
        <v>28375000</v>
      </c>
      <c r="N38" s="433">
        <f>+K$23*M38+L38</f>
        <v>7601254.952620212</v>
      </c>
      <c r="O38" s="447">
        <f>+Q37</f>
        <v>19083333.333333332</v>
      </c>
      <c r="P38" s="444">
        <f>+O$26</f>
        <v>500000</v>
      </c>
      <c r="Q38" s="444">
        <f t="shared" si="6"/>
        <v>18583333.333333332</v>
      </c>
      <c r="R38" s="433">
        <f>+O$23*Q38+P38</f>
        <v>4987018.6620684499</v>
      </c>
      <c r="S38" s="447">
        <f>+U37</f>
        <v>29500000</v>
      </c>
      <c r="T38" s="444">
        <f>+S$26</f>
        <v>750000</v>
      </c>
      <c r="U38" s="444">
        <f t="shared" si="7"/>
        <v>28750000</v>
      </c>
      <c r="V38" s="433">
        <f>+S$23*U38+T38</f>
        <v>7691800.172258364</v>
      </c>
      <c r="W38" s="447">
        <f>+Y37</f>
        <v>19952380.952380951</v>
      </c>
      <c r="X38" s="444">
        <f>+W$26</f>
        <v>571428.57142857148</v>
      </c>
      <c r="Y38" s="444">
        <f t="shared" si="8"/>
        <v>19380952.380952381</v>
      </c>
      <c r="Z38" s="433">
        <f>+W$23*Y38+X38</f>
        <v>3313610.870713586</v>
      </c>
      <c r="AA38" s="447">
        <f>+AA$25</f>
        <v>30000000</v>
      </c>
      <c r="AB38" s="435">
        <f>+AA$26/12*(12-AA$27)</f>
        <v>400000</v>
      </c>
      <c r="AC38" s="444">
        <f t="shared" si="9" ref="AC38:AC69">=+AA38-AB38</f>
        <v>29600000</v>
      </c>
      <c r="AD38" s="433">
        <f>+AA$23*AC38+AB38</f>
        <v>4588060.2389080226</v>
      </c>
      <c r="AE38" s="447">
        <f>+AE$25</f>
        <v>20000000</v>
      </c>
      <c r="AF38" s="435">
        <f>+AE$26/12*(12-AE$27)</f>
        <v>166666.66666666666</v>
      </c>
      <c r="AG38" s="444">
        <f t="shared" si="10" ref="AG38:AG69">=+AE38-AF38</f>
        <v>19833333.333333332</v>
      </c>
      <c r="AH38" s="433">
        <f>+AE$23*AG38+AF38</f>
        <v>4955502.7275289586</v>
      </c>
      <c r="AI38" s="463">
        <f t="shared" si="1"/>
        <v>0</v>
      </c>
      <c r="AJ38" s="188"/>
      <c r="AK38" s="445">
        <f>+AI38</f>
        <v>0</v>
      </c>
    </row>
    <row r="39" spans="1:37" ht="13">
      <c r="A39" s="374" t="str">
        <f t="shared" si="2"/>
        <v>W Increased ROE</v>
      </c>
      <c r="B39" s="443">
        <f t="shared" si="3"/>
        <v>2010</v>
      </c>
      <c r="C39" s="444">
        <f>+C38</f>
        <v>0</v>
      </c>
      <c r="D39" s="444">
        <f>+D38</f>
        <v>0</v>
      </c>
      <c r="E39" s="444">
        <f t="shared" si="0"/>
        <v>0</v>
      </c>
      <c r="F39" s="433">
        <f>+C$24*E39+D39</f>
        <v>0</v>
      </c>
      <c r="G39" s="444">
        <f>+G38</f>
        <v>0</v>
      </c>
      <c r="H39" s="444">
        <f>+H38</f>
        <v>0</v>
      </c>
      <c r="I39" s="444">
        <f t="shared" si="4"/>
        <v>0</v>
      </c>
      <c r="J39" s="433">
        <f>+G$24*I39+H39</f>
        <v>0</v>
      </c>
      <c r="K39" s="447">
        <f>+K38</f>
        <v>29125000</v>
      </c>
      <c r="L39" s="444">
        <f>+L38</f>
        <v>750000</v>
      </c>
      <c r="M39" s="444">
        <f t="shared" si="5"/>
        <v>28375000</v>
      </c>
      <c r="N39" s="433">
        <f>+K$24*M39+L39</f>
        <v>7978691.3060839698</v>
      </c>
      <c r="O39" s="447">
        <f>+O38</f>
        <v>19083333.333333332</v>
      </c>
      <c r="P39" s="444">
        <f>+P38</f>
        <v>500000</v>
      </c>
      <c r="Q39" s="444">
        <f t="shared" si="6"/>
        <v>18583333.333333332</v>
      </c>
      <c r="R39" s="433">
        <f>+O$24*Q39+P39</f>
        <v>5151812.2143394593</v>
      </c>
      <c r="S39" s="447">
        <f>+S38</f>
        <v>29500000</v>
      </c>
      <c r="T39" s="444">
        <f>+T38</f>
        <v>750000</v>
      </c>
      <c r="U39" s="444">
        <f t="shared" si="7"/>
        <v>28750000</v>
      </c>
      <c r="V39" s="433">
        <f>+S$24*U39+T39</f>
        <v>7819275.0052931132</v>
      </c>
      <c r="W39" s="447">
        <f>+W38</f>
        <v>19952380.952380951</v>
      </c>
      <c r="X39" s="444">
        <f>+X38</f>
        <v>571428.57142857148</v>
      </c>
      <c r="Y39" s="444">
        <f t="shared" si="8"/>
        <v>19380952.380952381</v>
      </c>
      <c r="Z39" s="433">
        <f>+W$24*Y39+X39</f>
        <v>3313610.870713586</v>
      </c>
      <c r="AA39" s="447">
        <f>+AA38</f>
        <v>30000000</v>
      </c>
      <c r="AB39" s="435">
        <f>+AB38</f>
        <v>400000</v>
      </c>
      <c r="AC39" s="444">
        <f t="shared" si="9"/>
        <v>29600000</v>
      </c>
      <c r="AD39" s="433">
        <f>+AA$24*AC39+AB39</f>
        <v>4588060.2389080226</v>
      </c>
      <c r="AE39" s="447">
        <f>+AE38</f>
        <v>20000000</v>
      </c>
      <c r="AF39" s="435">
        <f>+AF38</f>
        <v>166666.66666666666</v>
      </c>
      <c r="AG39" s="444">
        <f t="shared" si="10"/>
        <v>19833333.333333332</v>
      </c>
      <c r="AH39" s="433">
        <f>+AE$24*AG39+AF39</f>
        <v>5043441.8877094518</v>
      </c>
      <c r="AI39" s="463">
        <f t="shared" si="1"/>
        <v>0</v>
      </c>
      <c r="AJ39" s="446">
        <f>+AI39</f>
        <v>0</v>
      </c>
      <c r="AK39" s="372"/>
    </row>
    <row r="40" spans="1:37" ht="13">
      <c r="A40" s="374" t="str">
        <f t="shared" si="2"/>
        <v>FCR @ 11.3 ROE</v>
      </c>
      <c r="B40" s="443">
        <f t="shared" si="3"/>
        <v>2011</v>
      </c>
      <c r="C40" s="444">
        <f>+E39</f>
        <v>0</v>
      </c>
      <c r="D40" s="444">
        <f>+C$26</f>
        <v>0</v>
      </c>
      <c r="E40" s="444">
        <f t="shared" si="0"/>
        <v>0</v>
      </c>
      <c r="F40" s="433">
        <f>+C$23*E40+D40</f>
        <v>0</v>
      </c>
      <c r="G40" s="444">
        <f>+I39</f>
        <v>0</v>
      </c>
      <c r="H40" s="444">
        <f>+G$26</f>
        <v>0</v>
      </c>
      <c r="I40" s="444">
        <f t="shared" si="4"/>
        <v>0</v>
      </c>
      <c r="J40" s="433">
        <f>+G$23*I40+H40</f>
        <v>0</v>
      </c>
      <c r="K40" s="447">
        <f>+M39</f>
        <v>28375000</v>
      </c>
      <c r="L40" s="444">
        <f>+K$26</f>
        <v>750000</v>
      </c>
      <c r="M40" s="444">
        <f t="shared" si="5"/>
        <v>27625000</v>
      </c>
      <c r="N40" s="433">
        <f>+K$23*M40+L40</f>
        <v>7420164.513343907</v>
      </c>
      <c r="O40" s="447">
        <f>+Q39</f>
        <v>18583333.333333332</v>
      </c>
      <c r="P40" s="444">
        <f>+O$26</f>
        <v>500000</v>
      </c>
      <c r="Q40" s="444">
        <f t="shared" si="6"/>
        <v>18083333.333333332</v>
      </c>
      <c r="R40" s="433">
        <f>+O$23*Q40+P40</f>
        <v>4866291.7025509132</v>
      </c>
      <c r="S40" s="447">
        <f>+U39</f>
        <v>28750000</v>
      </c>
      <c r="T40" s="444">
        <f>+S$26</f>
        <v>750000</v>
      </c>
      <c r="U40" s="444">
        <f t="shared" si="7"/>
        <v>28000000</v>
      </c>
      <c r="V40" s="433">
        <f>+S$23*U40+T40</f>
        <v>7510709.732982059</v>
      </c>
      <c r="W40" s="447">
        <f>+Y39</f>
        <v>19380952.380952381</v>
      </c>
      <c r="X40" s="444">
        <f>+W$26</f>
        <v>571428.57142857148</v>
      </c>
      <c r="Y40" s="444">
        <f t="shared" si="8"/>
        <v>18809523.80952381</v>
      </c>
      <c r="Z40" s="433">
        <f>+W$23*Y40+X40</f>
        <v>3232760.286950883</v>
      </c>
      <c r="AA40" s="447">
        <f>+AC39</f>
        <v>29600000</v>
      </c>
      <c r="AB40" s="444">
        <f>+AA$26</f>
        <v>1200000</v>
      </c>
      <c r="AC40" s="444">
        <f t="shared" si="9"/>
        <v>28400000</v>
      </c>
      <c r="AD40" s="433">
        <f>+AA$23*AC40+AB40</f>
        <v>5218274.0130063463</v>
      </c>
      <c r="AE40" s="447">
        <f>+AG39</f>
        <v>19833333.333333332</v>
      </c>
      <c r="AF40" s="444">
        <f>+AE$26</f>
        <v>666666.66666666663</v>
      </c>
      <c r="AG40" s="444">
        <f t="shared" si="10"/>
        <v>19166666.666666664</v>
      </c>
      <c r="AH40" s="433">
        <f>+AE$23*AG40+AF40</f>
        <v>5294533.4481722424</v>
      </c>
      <c r="AI40" s="463">
        <f t="shared" si="1"/>
        <v>0</v>
      </c>
      <c r="AJ40" s="188"/>
      <c r="AK40" s="445">
        <f>+AI40</f>
        <v>0</v>
      </c>
    </row>
    <row r="41" spans="1:37" ht="13">
      <c r="A41" s="374" t="str">
        <f t="shared" si="2"/>
        <v>W Increased ROE</v>
      </c>
      <c r="B41" s="443">
        <f t="shared" si="3"/>
        <v>2011</v>
      </c>
      <c r="C41" s="444">
        <f>+C40</f>
        <v>0</v>
      </c>
      <c r="D41" s="444">
        <f>+D40</f>
        <v>0</v>
      </c>
      <c r="E41" s="444">
        <f t="shared" si="0"/>
        <v>0</v>
      </c>
      <c r="F41" s="433">
        <f>+C$24*E41+D41</f>
        <v>0</v>
      </c>
      <c r="G41" s="444">
        <f>+G40</f>
        <v>0</v>
      </c>
      <c r="H41" s="444">
        <f>+H40</f>
        <v>0</v>
      </c>
      <c r="I41" s="444">
        <f t="shared" si="4"/>
        <v>0</v>
      </c>
      <c r="J41" s="433">
        <f>+G$24*I41+H41</f>
        <v>0</v>
      </c>
      <c r="K41" s="447">
        <f>+K40</f>
        <v>28375000</v>
      </c>
      <c r="L41" s="444">
        <f>+L40</f>
        <v>750000</v>
      </c>
      <c r="M41" s="444">
        <f t="shared" si="5"/>
        <v>27625000</v>
      </c>
      <c r="N41" s="433">
        <f>+K$24*M41+L41</f>
        <v>7787624.5755266845</v>
      </c>
      <c r="O41" s="447">
        <f>+O40</f>
        <v>18583333.333333332</v>
      </c>
      <c r="P41" s="444">
        <f>+P40</f>
        <v>500000</v>
      </c>
      <c r="Q41" s="444">
        <f t="shared" si="6"/>
        <v>18083333.333333332</v>
      </c>
      <c r="R41" s="433">
        <f>+O$24*Q41+P41</f>
        <v>5026651.3475859314</v>
      </c>
      <c r="S41" s="447">
        <f>+S40</f>
        <v>28750000</v>
      </c>
      <c r="T41" s="444">
        <f>+T40</f>
        <v>750000</v>
      </c>
      <c r="U41" s="444">
        <f t="shared" si="7"/>
        <v>28000000</v>
      </c>
      <c r="V41" s="433">
        <f>+S$24*U41+T41</f>
        <v>7634859.1355898147</v>
      </c>
      <c r="W41" s="447">
        <f>+W40</f>
        <v>19380952.380952381</v>
      </c>
      <c r="X41" s="444">
        <f>+X40</f>
        <v>571428.57142857148</v>
      </c>
      <c r="Y41" s="444">
        <f t="shared" si="8"/>
        <v>18809523.80952381</v>
      </c>
      <c r="Z41" s="433">
        <f>+W$24*Y41+X41</f>
        <v>3232760.286950883</v>
      </c>
      <c r="AA41" s="447">
        <f>+AA40</f>
        <v>29600000</v>
      </c>
      <c r="AB41" s="444">
        <f>+AB40</f>
        <v>1200000</v>
      </c>
      <c r="AC41" s="444">
        <f t="shared" si="9"/>
        <v>28400000</v>
      </c>
      <c r="AD41" s="433">
        <f>+AA$24*AC41+AB41</f>
        <v>5218274.0130063463</v>
      </c>
      <c r="AE41" s="447">
        <f>+AE40</f>
        <v>19833333.333333332</v>
      </c>
      <c r="AF41" s="444">
        <f>+AF40</f>
        <v>666666.66666666663</v>
      </c>
      <c r="AG41" s="444">
        <f t="shared" si="10"/>
        <v>19166666.666666664</v>
      </c>
      <c r="AH41" s="433">
        <f>+AE$24*AG41+AF41</f>
        <v>5379516.6701954082</v>
      </c>
      <c r="AI41" s="463">
        <f t="shared" si="1"/>
        <v>0</v>
      </c>
      <c r="AJ41" s="446">
        <f>+AI41</f>
        <v>0</v>
      </c>
      <c r="AK41" s="372"/>
    </row>
    <row r="42" spans="1:37" ht="13">
      <c r="A42" s="374" t="str">
        <f t="shared" si="2"/>
        <v>FCR @ 11.3 ROE</v>
      </c>
      <c r="B42" s="443">
        <f t="shared" si="3"/>
        <v>2012</v>
      </c>
      <c r="C42" s="444">
        <f>+E41</f>
        <v>0</v>
      </c>
      <c r="D42" s="444">
        <f>+C$26</f>
        <v>0</v>
      </c>
      <c r="E42" s="444">
        <f t="shared" si="0"/>
        <v>0</v>
      </c>
      <c r="F42" s="433">
        <f>+C$23*E42+D42</f>
        <v>0</v>
      </c>
      <c r="G42" s="444">
        <f>+I41</f>
        <v>0</v>
      </c>
      <c r="H42" s="444">
        <f>+G$26</f>
        <v>0</v>
      </c>
      <c r="I42" s="444">
        <f t="shared" si="4"/>
        <v>0</v>
      </c>
      <c r="J42" s="433">
        <f>+G$23*I42+H42</f>
        <v>0</v>
      </c>
      <c r="K42" s="447">
        <f>+M41</f>
        <v>27625000</v>
      </c>
      <c r="L42" s="444">
        <f>+K$26</f>
        <v>750000</v>
      </c>
      <c r="M42" s="444">
        <f t="shared" si="5"/>
        <v>26875000</v>
      </c>
      <c r="N42" s="433">
        <f>+K$23*M42+L42</f>
        <v>7239074.0740676019</v>
      </c>
      <c r="O42" s="447">
        <f>+Q41</f>
        <v>18083333.333333332</v>
      </c>
      <c r="P42" s="444">
        <f>+O$26</f>
        <v>500000</v>
      </c>
      <c r="Q42" s="444">
        <f t="shared" si="6"/>
        <v>17583333.333333332</v>
      </c>
      <c r="R42" s="433">
        <f>+O$23*Q42+P42</f>
        <v>4745564.7430333765</v>
      </c>
      <c r="S42" s="447">
        <f>+U41</f>
        <v>28000000</v>
      </c>
      <c r="T42" s="444">
        <f>+S$26</f>
        <v>750000</v>
      </c>
      <c r="U42" s="444">
        <f t="shared" si="7"/>
        <v>27250000</v>
      </c>
      <c r="V42" s="433">
        <f>+S$23*U42+T42</f>
        <v>7329619.293705754</v>
      </c>
      <c r="W42" s="447">
        <f>+Y41</f>
        <v>18809523.80952381</v>
      </c>
      <c r="X42" s="444">
        <f>+W$26</f>
        <v>571428.57142857148</v>
      </c>
      <c r="Y42" s="444">
        <f t="shared" si="8"/>
        <v>18238095.238095239</v>
      </c>
      <c r="Z42" s="433">
        <f>+W$23*Y42+X42</f>
        <v>3151909.70318818</v>
      </c>
      <c r="AA42" s="447">
        <f>+AC41</f>
        <v>28400000</v>
      </c>
      <c r="AB42" s="444">
        <f>+AA$26</f>
        <v>1200000</v>
      </c>
      <c r="AC42" s="444">
        <f t="shared" si="9"/>
        <v>27200000</v>
      </c>
      <c r="AD42" s="433">
        <f>+AA$23*AC42+AB42</f>
        <v>5048487.78710467</v>
      </c>
      <c r="AE42" s="447">
        <f>+AG41</f>
        <v>19166666.666666664</v>
      </c>
      <c r="AF42" s="444">
        <f>+AE$26</f>
        <v>666666.66666666663</v>
      </c>
      <c r="AG42" s="444">
        <f t="shared" si="10"/>
        <v>18499999.999999996</v>
      </c>
      <c r="AH42" s="433">
        <f>+AE$23*AG42+AF42</f>
        <v>5133564.1688155271</v>
      </c>
      <c r="AI42" s="463">
        <f t="shared" si="1"/>
        <v>0</v>
      </c>
      <c r="AJ42" s="188"/>
      <c r="AK42" s="445">
        <f>+AI42</f>
        <v>0</v>
      </c>
    </row>
    <row r="43" spans="1:37" ht="13">
      <c r="A43" s="374" t="str">
        <f t="shared" si="2"/>
        <v>W Increased ROE</v>
      </c>
      <c r="B43" s="443">
        <f t="shared" si="3"/>
        <v>2012</v>
      </c>
      <c r="C43" s="444">
        <f>+C42</f>
        <v>0</v>
      </c>
      <c r="D43" s="444">
        <f>+D42</f>
        <v>0</v>
      </c>
      <c r="E43" s="444">
        <f t="shared" si="0"/>
        <v>0</v>
      </c>
      <c r="F43" s="433">
        <f>+C$24*E43+D43</f>
        <v>0</v>
      </c>
      <c r="G43" s="444">
        <f>+G42</f>
        <v>0</v>
      </c>
      <c r="H43" s="444">
        <f>+H42</f>
        <v>0</v>
      </c>
      <c r="I43" s="444">
        <f t="shared" si="4"/>
        <v>0</v>
      </c>
      <c r="J43" s="433">
        <f>+G$24*I43+H43</f>
        <v>0</v>
      </c>
      <c r="K43" s="447">
        <f>+K42</f>
        <v>27625000</v>
      </c>
      <c r="L43" s="444">
        <f>+L42</f>
        <v>750000</v>
      </c>
      <c r="M43" s="444">
        <f t="shared" si="5"/>
        <v>26875000</v>
      </c>
      <c r="N43" s="433">
        <f>+K$24*M43+L43</f>
        <v>7596557.8449693993</v>
      </c>
      <c r="O43" s="447">
        <f>+O42</f>
        <v>18083333.333333332</v>
      </c>
      <c r="P43" s="444">
        <f>+P42</f>
        <v>500000</v>
      </c>
      <c r="Q43" s="444">
        <f t="shared" si="6"/>
        <v>17583333.333333332</v>
      </c>
      <c r="R43" s="433">
        <f>+O$24*Q43+P43</f>
        <v>4901490.4808324026</v>
      </c>
      <c r="S43" s="447">
        <f>+S42</f>
        <v>28000000</v>
      </c>
      <c r="T43" s="444">
        <f>+T42</f>
        <v>750000</v>
      </c>
      <c r="U43" s="444">
        <f t="shared" si="7"/>
        <v>27250000</v>
      </c>
      <c r="V43" s="433">
        <f>+S$24*U43+T43</f>
        <v>7450443.2658865163</v>
      </c>
      <c r="W43" s="447">
        <f>+W42</f>
        <v>18809523.80952381</v>
      </c>
      <c r="X43" s="444">
        <f>+X42</f>
        <v>571428.57142857148</v>
      </c>
      <c r="Y43" s="444">
        <f t="shared" si="8"/>
        <v>18238095.238095239</v>
      </c>
      <c r="Z43" s="433">
        <f>+W$24*Y43+X43</f>
        <v>3151909.70318818</v>
      </c>
      <c r="AA43" s="447">
        <f>+AA42</f>
        <v>28400000</v>
      </c>
      <c r="AB43" s="444">
        <f>+AB42</f>
        <v>1200000</v>
      </c>
      <c r="AC43" s="444">
        <f t="shared" si="9"/>
        <v>27200000</v>
      </c>
      <c r="AD43" s="433">
        <f>+AA$24*AC43+AB43</f>
        <v>5048487.78710467</v>
      </c>
      <c r="AE43" s="447">
        <f>+AE42</f>
        <v>19166666.666666664</v>
      </c>
      <c r="AF43" s="444">
        <f>+AF42</f>
        <v>666666.66666666663</v>
      </c>
      <c r="AG43" s="444">
        <f t="shared" si="10"/>
        <v>18499999.999999996</v>
      </c>
      <c r="AH43" s="433">
        <f>+AE$24*AG43+AF43</f>
        <v>5215591.4526813654</v>
      </c>
      <c r="AI43" s="463">
        <f t="shared" si="1"/>
        <v>0</v>
      </c>
      <c r="AJ43" s="446">
        <f>+AI43</f>
        <v>0</v>
      </c>
      <c r="AK43" s="372"/>
    </row>
    <row r="44" spans="1:37" ht="13">
      <c r="A44" s="374" t="str">
        <f t="shared" si="2"/>
        <v>FCR @ 11.3 ROE</v>
      </c>
      <c r="B44" s="443">
        <f t="shared" si="3"/>
        <v>2013</v>
      </c>
      <c r="C44" s="444">
        <f>+E43</f>
        <v>0</v>
      </c>
      <c r="D44" s="444">
        <f>+C$26</f>
        <v>0</v>
      </c>
      <c r="E44" s="444">
        <f t="shared" si="0"/>
        <v>0</v>
      </c>
      <c r="F44" s="433">
        <f>+C$23*E44+D44</f>
        <v>0</v>
      </c>
      <c r="G44" s="444">
        <f>+I43</f>
        <v>0</v>
      </c>
      <c r="H44" s="444">
        <f>+G$26</f>
        <v>0</v>
      </c>
      <c r="I44" s="444">
        <f t="shared" si="4"/>
        <v>0</v>
      </c>
      <c r="J44" s="433">
        <f>+G$23*I44+H44</f>
        <v>0</v>
      </c>
      <c r="K44" s="447">
        <f>+M43</f>
        <v>26875000</v>
      </c>
      <c r="L44" s="444">
        <f>+K$26</f>
        <v>750000</v>
      </c>
      <c r="M44" s="444">
        <f t="shared" si="5"/>
        <v>26125000</v>
      </c>
      <c r="N44" s="433">
        <f>+K$23*M44+L44</f>
        <v>7057983.634791296</v>
      </c>
      <c r="O44" s="447">
        <f>+Q43</f>
        <v>17583333.333333332</v>
      </c>
      <c r="P44" s="444">
        <f>+O$26</f>
        <v>500000</v>
      </c>
      <c r="Q44" s="444">
        <f t="shared" si="6"/>
        <v>17083333.333333332</v>
      </c>
      <c r="R44" s="433">
        <f>+O$23*Q44+P44</f>
        <v>4624837.7835158389</v>
      </c>
      <c r="S44" s="447">
        <f>+U43</f>
        <v>27250000</v>
      </c>
      <c r="T44" s="444">
        <f>+S$26</f>
        <v>750000</v>
      </c>
      <c r="U44" s="444">
        <f t="shared" si="7"/>
        <v>26500000</v>
      </c>
      <c r="V44" s="433">
        <f>+S$23*U44+T44</f>
        <v>7148528.854429449</v>
      </c>
      <c r="W44" s="447">
        <f>+Y43</f>
        <v>18238095.238095239</v>
      </c>
      <c r="X44" s="444">
        <f>+W$26</f>
        <v>571428.57142857148</v>
      </c>
      <c r="Y44" s="444">
        <f t="shared" si="8"/>
        <v>17666666.666666668</v>
      </c>
      <c r="Z44" s="433">
        <f>+W$23*Y44+X44</f>
        <v>3071059.119425477</v>
      </c>
      <c r="AA44" s="447">
        <f>+AC43</f>
        <v>27200000</v>
      </c>
      <c r="AB44" s="444">
        <f>+AA$26</f>
        <v>1200000</v>
      </c>
      <c r="AC44" s="444">
        <f t="shared" si="9"/>
        <v>26000000</v>
      </c>
      <c r="AD44" s="433">
        <f>+AA$23*AC44+AB44</f>
        <v>4878701.5612029927</v>
      </c>
      <c r="AE44" s="447">
        <f>+AG43</f>
        <v>18499999.999999996</v>
      </c>
      <c r="AF44" s="444">
        <f>+AE$26</f>
        <v>666666.66666666663</v>
      </c>
      <c r="AG44" s="444">
        <f t="shared" si="10"/>
        <v>17833333.333333328</v>
      </c>
      <c r="AH44" s="433">
        <f>+AE$23*AG44+AF44</f>
        <v>4972594.8894588109</v>
      </c>
      <c r="AI44" s="463">
        <f t="shared" si="1"/>
        <v>0</v>
      </c>
      <c r="AJ44" s="188"/>
      <c r="AK44" s="445">
        <f>+AI44</f>
        <v>0</v>
      </c>
    </row>
    <row r="45" spans="1:37" ht="13">
      <c r="A45" s="374" t="str">
        <f t="shared" si="2"/>
        <v>W Increased ROE</v>
      </c>
      <c r="B45" s="443">
        <f t="shared" si="3"/>
        <v>2013</v>
      </c>
      <c r="C45" s="444">
        <f>+C44</f>
        <v>0</v>
      </c>
      <c r="D45" s="444">
        <f>+D44</f>
        <v>0</v>
      </c>
      <c r="E45" s="444">
        <f t="shared" si="0"/>
        <v>0</v>
      </c>
      <c r="F45" s="433">
        <f>+C$24*E45+D45</f>
        <v>0</v>
      </c>
      <c r="G45" s="444">
        <f>+G44</f>
        <v>0</v>
      </c>
      <c r="H45" s="444">
        <f>+H44</f>
        <v>0</v>
      </c>
      <c r="I45" s="444">
        <f t="shared" si="4"/>
        <v>0</v>
      </c>
      <c r="J45" s="433">
        <f>+G$24*I45+H45</f>
        <v>0</v>
      </c>
      <c r="K45" s="447">
        <f>+K44</f>
        <v>26875000</v>
      </c>
      <c r="L45" s="444">
        <f>+L44</f>
        <v>750000</v>
      </c>
      <c r="M45" s="444">
        <f t="shared" si="5"/>
        <v>26125000</v>
      </c>
      <c r="N45" s="433">
        <f>+K$24*M45+L45</f>
        <v>7405491.1144121131</v>
      </c>
      <c r="O45" s="447">
        <f>+O44</f>
        <v>17583333.333333332</v>
      </c>
      <c r="P45" s="444">
        <f>+P44</f>
        <v>500000</v>
      </c>
      <c r="Q45" s="444">
        <f t="shared" si="6"/>
        <v>17083333.333333332</v>
      </c>
      <c r="R45" s="433">
        <f>+O$24*Q45+P45</f>
        <v>4776329.6140788747</v>
      </c>
      <c r="S45" s="447">
        <f>+S44</f>
        <v>27250000</v>
      </c>
      <c r="T45" s="444">
        <f>+T44</f>
        <v>750000</v>
      </c>
      <c r="U45" s="444">
        <f t="shared" si="7"/>
        <v>26500000</v>
      </c>
      <c r="V45" s="433">
        <f>+S$24*U45+T45</f>
        <v>7266027.3961832179</v>
      </c>
      <c r="W45" s="447">
        <f>+W44</f>
        <v>18238095.238095239</v>
      </c>
      <c r="X45" s="444">
        <f>+X44</f>
        <v>571428.57142857148</v>
      </c>
      <c r="Y45" s="444">
        <f t="shared" si="8"/>
        <v>17666666.666666668</v>
      </c>
      <c r="Z45" s="433">
        <f>+W$24*Y45+X45</f>
        <v>3071059.119425477</v>
      </c>
      <c r="AA45" s="447">
        <f>+AA44</f>
        <v>27200000</v>
      </c>
      <c r="AB45" s="444">
        <f>+AB44</f>
        <v>1200000</v>
      </c>
      <c r="AC45" s="444">
        <f t="shared" si="9"/>
        <v>26000000</v>
      </c>
      <c r="AD45" s="433">
        <f>+AA$24*AC45+AB45</f>
        <v>4878701.5612029927</v>
      </c>
      <c r="AE45" s="447">
        <f>+AE44</f>
        <v>18499999.999999996</v>
      </c>
      <c r="AF45" s="444">
        <f>+AF44</f>
        <v>666666.66666666663</v>
      </c>
      <c r="AG45" s="444">
        <f t="shared" si="10"/>
        <v>17833333.333333328</v>
      </c>
      <c r="AH45" s="433">
        <f>+AE$24*AG45+AF45</f>
        <v>5051666.2351673217</v>
      </c>
      <c r="AI45" s="463">
        <f t="shared" si="1"/>
        <v>0</v>
      </c>
      <c r="AJ45" s="446">
        <f>+AI45</f>
        <v>0</v>
      </c>
      <c r="AK45" s="372"/>
    </row>
    <row r="46" spans="1:37" ht="13">
      <c r="A46" s="374" t="str">
        <f t="shared" si="2"/>
        <v>FCR @ 11.3 ROE</v>
      </c>
      <c r="B46" s="443">
        <f t="shared" si="3"/>
        <v>2014</v>
      </c>
      <c r="C46" s="444">
        <f>+E45</f>
        <v>0</v>
      </c>
      <c r="D46" s="444">
        <f>+C$26</f>
        <v>0</v>
      </c>
      <c r="E46" s="444">
        <f t="shared" si="0"/>
        <v>0</v>
      </c>
      <c r="F46" s="433">
        <f>+C$23*E46+D46</f>
        <v>0</v>
      </c>
      <c r="G46" s="444">
        <f>+I45</f>
        <v>0</v>
      </c>
      <c r="H46" s="444">
        <f>+G$26</f>
        <v>0</v>
      </c>
      <c r="I46" s="444">
        <f t="shared" si="4"/>
        <v>0</v>
      </c>
      <c r="J46" s="433">
        <f>+G$23*I46+H46</f>
        <v>0</v>
      </c>
      <c r="K46" s="447">
        <f>+M45</f>
        <v>26125000</v>
      </c>
      <c r="L46" s="444">
        <f>+K$26</f>
        <v>750000</v>
      </c>
      <c r="M46" s="444">
        <f t="shared" si="5"/>
        <v>25375000</v>
      </c>
      <c r="N46" s="433">
        <f>+K$23*M46+L46</f>
        <v>6876893.1955149909</v>
      </c>
      <c r="O46" s="447">
        <f>+Q45</f>
        <v>17083333.333333332</v>
      </c>
      <c r="P46" s="444">
        <f>+O$26</f>
        <v>500000</v>
      </c>
      <c r="Q46" s="444">
        <f t="shared" si="6"/>
        <v>16583333.333333332</v>
      </c>
      <c r="R46" s="433">
        <f>+O$23*Q46+P46</f>
        <v>4504110.8239983022</v>
      </c>
      <c r="S46" s="447">
        <f>+U45</f>
        <v>26500000</v>
      </c>
      <c r="T46" s="444">
        <f>+S$26</f>
        <v>750000</v>
      </c>
      <c r="U46" s="444">
        <f t="shared" si="7"/>
        <v>25750000</v>
      </c>
      <c r="V46" s="433">
        <f>+S$23*U46+T46</f>
        <v>6967438.4151531439</v>
      </c>
      <c r="W46" s="447">
        <f>+Y45</f>
        <v>17666666.666666668</v>
      </c>
      <c r="X46" s="444">
        <f>+W$26</f>
        <v>571428.57142857148</v>
      </c>
      <c r="Y46" s="444">
        <f t="shared" si="8"/>
        <v>17095238.095238097</v>
      </c>
      <c r="Z46" s="433">
        <f>+W$23*Y46+X46</f>
        <v>2990208.535662774</v>
      </c>
      <c r="AA46" s="447">
        <f>+AC45</f>
        <v>26000000</v>
      </c>
      <c r="AB46" s="444">
        <f>+AA$26</f>
        <v>1200000</v>
      </c>
      <c r="AC46" s="444">
        <f t="shared" si="9"/>
        <v>24800000</v>
      </c>
      <c r="AD46" s="433">
        <f>+AA$23*AC46+AB46</f>
        <v>4708915.3353013163</v>
      </c>
      <c r="AE46" s="447">
        <f>+AG45</f>
        <v>17833333.333333328</v>
      </c>
      <c r="AF46" s="444">
        <f>+AE$26</f>
        <v>666666.66666666663</v>
      </c>
      <c r="AG46" s="444">
        <f t="shared" si="10"/>
        <v>17166666.66666666</v>
      </c>
      <c r="AH46" s="433">
        <f>+AE$23*AG46+AF46</f>
        <v>4811625.6101020947</v>
      </c>
      <c r="AI46" s="463">
        <f t="shared" si="1"/>
        <v>0</v>
      </c>
      <c r="AJ46" s="188"/>
      <c r="AK46" s="445">
        <f>+AI46</f>
        <v>0</v>
      </c>
    </row>
    <row r="47" spans="1:37" ht="13">
      <c r="A47" s="374" t="str">
        <f t="shared" si="2"/>
        <v>W Increased ROE</v>
      </c>
      <c r="B47" s="443">
        <f t="shared" si="3"/>
        <v>2014</v>
      </c>
      <c r="C47" s="444">
        <f>+C46</f>
        <v>0</v>
      </c>
      <c r="D47" s="444">
        <f>+D46</f>
        <v>0</v>
      </c>
      <c r="E47" s="444">
        <f t="shared" si="0"/>
        <v>0</v>
      </c>
      <c r="F47" s="433">
        <f>+C$24*E47+D47</f>
        <v>0</v>
      </c>
      <c r="G47" s="444">
        <f>+G46</f>
        <v>0</v>
      </c>
      <c r="H47" s="444">
        <f>+H46</f>
        <v>0</v>
      </c>
      <c r="I47" s="444">
        <f t="shared" si="4"/>
        <v>0</v>
      </c>
      <c r="J47" s="433">
        <f>+G$24*I47+H47</f>
        <v>0</v>
      </c>
      <c r="K47" s="447">
        <f>+K46</f>
        <v>26125000</v>
      </c>
      <c r="L47" s="444">
        <f>+L46</f>
        <v>750000</v>
      </c>
      <c r="M47" s="444">
        <f t="shared" si="5"/>
        <v>25375000</v>
      </c>
      <c r="N47" s="433">
        <f>+K$24*M47+L47</f>
        <v>7214424.3838548278</v>
      </c>
      <c r="O47" s="447">
        <f>+O46</f>
        <v>17083333.333333332</v>
      </c>
      <c r="P47" s="444">
        <f>+P46</f>
        <v>500000</v>
      </c>
      <c r="Q47" s="444">
        <f t="shared" si="6"/>
        <v>16583333.333333332</v>
      </c>
      <c r="R47" s="433">
        <f>+O$24*Q47+P47</f>
        <v>4651168.7473253468</v>
      </c>
      <c r="S47" s="447">
        <f>+S46</f>
        <v>26500000</v>
      </c>
      <c r="T47" s="444">
        <f>+T46</f>
        <v>750000</v>
      </c>
      <c r="U47" s="444">
        <f t="shared" si="7"/>
        <v>25750000</v>
      </c>
      <c r="V47" s="433">
        <f>+S$24*U47+T47</f>
        <v>7081611.5264799185</v>
      </c>
      <c r="W47" s="447">
        <f>+W46</f>
        <v>17666666.666666668</v>
      </c>
      <c r="X47" s="444">
        <f>+X46</f>
        <v>571428.57142857148</v>
      </c>
      <c r="Y47" s="444">
        <f t="shared" si="8"/>
        <v>17095238.095238097</v>
      </c>
      <c r="Z47" s="433">
        <f>+W$24*Y47+X47</f>
        <v>2990208.535662774</v>
      </c>
      <c r="AA47" s="447">
        <f>+AA46</f>
        <v>26000000</v>
      </c>
      <c r="AB47" s="444">
        <f>+AB46</f>
        <v>1200000</v>
      </c>
      <c r="AC47" s="444">
        <f t="shared" si="9"/>
        <v>24800000</v>
      </c>
      <c r="AD47" s="433">
        <f>+AA$24*AC47+AB47</f>
        <v>4708915.3353013163</v>
      </c>
      <c r="AE47" s="447">
        <f>+AE46</f>
        <v>17833333.333333328</v>
      </c>
      <c r="AF47" s="444">
        <f>+AF46</f>
        <v>666666.66666666663</v>
      </c>
      <c r="AG47" s="444">
        <f t="shared" si="10"/>
        <v>17166666.66666666</v>
      </c>
      <c r="AH47" s="433">
        <f>+AE$24*AG47+AF47</f>
        <v>4887741.0176532781</v>
      </c>
      <c r="AI47" s="463">
        <f t="shared" si="1"/>
        <v>0</v>
      </c>
      <c r="AJ47" s="446">
        <f>+AI47</f>
        <v>0</v>
      </c>
      <c r="AK47" s="372"/>
    </row>
    <row r="48" spans="1:37" ht="13">
      <c r="A48" s="374" t="str">
        <f t="shared" si="2"/>
        <v>FCR @ 11.3 ROE</v>
      </c>
      <c r="B48" s="443">
        <f t="shared" si="3"/>
        <v>2015</v>
      </c>
      <c r="C48" s="444">
        <f>+E47</f>
        <v>0</v>
      </c>
      <c r="D48" s="444">
        <f>+C$26</f>
        <v>0</v>
      </c>
      <c r="E48" s="444">
        <f t="shared" si="0"/>
        <v>0</v>
      </c>
      <c r="F48" s="433">
        <f>+C$23*E48+D48</f>
        <v>0</v>
      </c>
      <c r="G48" s="444">
        <f>+I47</f>
        <v>0</v>
      </c>
      <c r="H48" s="444">
        <f>+G$26</f>
        <v>0</v>
      </c>
      <c r="I48" s="444">
        <f t="shared" si="4"/>
        <v>0</v>
      </c>
      <c r="J48" s="433">
        <f>+G$23*I48+H48</f>
        <v>0</v>
      </c>
      <c r="K48" s="447">
        <f>+M47</f>
        <v>25375000</v>
      </c>
      <c r="L48" s="444">
        <f>+K$26</f>
        <v>750000</v>
      </c>
      <c r="M48" s="444">
        <f t="shared" si="5"/>
        <v>24625000</v>
      </c>
      <c r="N48" s="433">
        <f>+K$23*M48+L48</f>
        <v>6695802.7562386859</v>
      </c>
      <c r="O48" s="447">
        <f>+Q47</f>
        <v>16583333.333333332</v>
      </c>
      <c r="P48" s="444">
        <f>+O$26</f>
        <v>500000</v>
      </c>
      <c r="Q48" s="444">
        <f t="shared" si="6"/>
        <v>16083333.333333332</v>
      </c>
      <c r="R48" s="433">
        <f>+O$23*Q48+P48</f>
        <v>4383383.8644807655</v>
      </c>
      <c r="S48" s="447">
        <f>+U47</f>
        <v>25750000</v>
      </c>
      <c r="T48" s="444">
        <f>+S$26</f>
        <v>750000</v>
      </c>
      <c r="U48" s="444">
        <f t="shared" si="7"/>
        <v>25000000</v>
      </c>
      <c r="V48" s="433">
        <f>+S$23*U48+T48</f>
        <v>6786347.9758768389</v>
      </c>
      <c r="W48" s="447">
        <f>+Y47</f>
        <v>17095238.095238097</v>
      </c>
      <c r="X48" s="444">
        <f>+W$26</f>
        <v>571428.57142857148</v>
      </c>
      <c r="Y48" s="444">
        <f t="shared" si="8"/>
        <v>16523809.523809526</v>
      </c>
      <c r="Z48" s="433">
        <f>+W$23*Y48+X48</f>
        <v>2909357.951900071</v>
      </c>
      <c r="AA48" s="447">
        <f>+AC47</f>
        <v>24800000</v>
      </c>
      <c r="AB48" s="444">
        <f>+AA$26</f>
        <v>1200000</v>
      </c>
      <c r="AC48" s="444">
        <f t="shared" si="9"/>
        <v>23600000</v>
      </c>
      <c r="AD48" s="433">
        <f>+AA$23*AC48+AB48</f>
        <v>4539129.1093996391</v>
      </c>
      <c r="AE48" s="447">
        <f>+AG47</f>
        <v>17166666.66666666</v>
      </c>
      <c r="AF48" s="444">
        <f>+AE$26</f>
        <v>666666.66666666663</v>
      </c>
      <c r="AG48" s="444">
        <f t="shared" si="10"/>
        <v>16499999.999999994</v>
      </c>
      <c r="AH48" s="433">
        <f>+AE$23*AG48+AF48</f>
        <v>4650656.3307453785</v>
      </c>
      <c r="AI48" s="463">
        <f t="shared" si="1"/>
        <v>0</v>
      </c>
      <c r="AJ48" s="188"/>
      <c r="AK48" s="445">
        <f>+AI48</f>
        <v>0</v>
      </c>
    </row>
    <row r="49" spans="1:37" ht="13">
      <c r="A49" s="374" t="str">
        <f t="shared" si="2"/>
        <v>W Increased ROE</v>
      </c>
      <c r="B49" s="443">
        <f t="shared" si="3"/>
        <v>2015</v>
      </c>
      <c r="C49" s="444">
        <f>+C48</f>
        <v>0</v>
      </c>
      <c r="D49" s="444">
        <f>+D48</f>
        <v>0</v>
      </c>
      <c r="E49" s="444">
        <f t="shared" si="0"/>
        <v>0</v>
      </c>
      <c r="F49" s="433">
        <f>+C$24*E49+D49</f>
        <v>0</v>
      </c>
      <c r="G49" s="444">
        <f>+G48</f>
        <v>0</v>
      </c>
      <c r="H49" s="444">
        <f>+H48</f>
        <v>0</v>
      </c>
      <c r="I49" s="444">
        <f t="shared" si="4"/>
        <v>0</v>
      </c>
      <c r="J49" s="433">
        <f>+G$24*I49+H49</f>
        <v>0</v>
      </c>
      <c r="K49" s="447">
        <f>+K48</f>
        <v>25375000</v>
      </c>
      <c r="L49" s="444">
        <f>+L48</f>
        <v>750000</v>
      </c>
      <c r="M49" s="444">
        <f t="shared" si="5"/>
        <v>24625000</v>
      </c>
      <c r="N49" s="433">
        <f>+K$24*M49+L49</f>
        <v>7023357.6532975426</v>
      </c>
      <c r="O49" s="447">
        <f>+O48</f>
        <v>16583333.333333332</v>
      </c>
      <c r="P49" s="444">
        <f>+P48</f>
        <v>500000</v>
      </c>
      <c r="Q49" s="444">
        <f t="shared" si="6"/>
        <v>16083333.333333332</v>
      </c>
      <c r="R49" s="433">
        <f>+O$24*Q49+P49</f>
        <v>4526007.8805718189</v>
      </c>
      <c r="S49" s="447">
        <f>+S48</f>
        <v>25750000</v>
      </c>
      <c r="T49" s="444">
        <f>+T48</f>
        <v>750000</v>
      </c>
      <c r="U49" s="444">
        <f t="shared" si="7"/>
        <v>25000000</v>
      </c>
      <c r="V49" s="433">
        <f>+S$24*U49+T49</f>
        <v>6897195.6567766201</v>
      </c>
      <c r="W49" s="447">
        <f>+W48</f>
        <v>17095238.095238097</v>
      </c>
      <c r="X49" s="444">
        <f>+X48</f>
        <v>571428.57142857148</v>
      </c>
      <c r="Y49" s="444">
        <f t="shared" si="8"/>
        <v>16523809.523809526</v>
      </c>
      <c r="Z49" s="433">
        <f>+W$24*Y49+X49</f>
        <v>2909357.951900071</v>
      </c>
      <c r="AA49" s="447">
        <f>+AA48</f>
        <v>24800000</v>
      </c>
      <c r="AB49" s="444">
        <f>+AB48</f>
        <v>1200000</v>
      </c>
      <c r="AC49" s="444">
        <f t="shared" si="9"/>
        <v>23600000</v>
      </c>
      <c r="AD49" s="433">
        <f>+AA$24*AC49+AB49</f>
        <v>4539129.1093996391</v>
      </c>
      <c r="AE49" s="447">
        <f>+AE48</f>
        <v>17166666.66666666</v>
      </c>
      <c r="AF49" s="444">
        <f>+AF48</f>
        <v>666666.66666666663</v>
      </c>
      <c r="AG49" s="444">
        <f t="shared" si="10"/>
        <v>16499999.999999994</v>
      </c>
      <c r="AH49" s="433">
        <f>+AE$24*AG49+AF49</f>
        <v>4723815.8001392344</v>
      </c>
      <c r="AI49" s="463">
        <f t="shared" si="1"/>
        <v>0</v>
      </c>
      <c r="AJ49" s="446">
        <f>+AI49</f>
        <v>0</v>
      </c>
      <c r="AK49" s="372"/>
    </row>
    <row r="50" spans="1:37" ht="13">
      <c r="A50" s="374" t="str">
        <f t="shared" si="2"/>
        <v>FCR @ 11.3 ROE</v>
      </c>
      <c r="B50" s="443">
        <f t="shared" si="3"/>
        <v>2016</v>
      </c>
      <c r="C50" s="444">
        <f>+E49</f>
        <v>0</v>
      </c>
      <c r="D50" s="444">
        <f>+C$26</f>
        <v>0</v>
      </c>
      <c r="E50" s="444">
        <f t="shared" si="0"/>
        <v>0</v>
      </c>
      <c r="F50" s="433">
        <f>+C$23*E50+D50</f>
        <v>0</v>
      </c>
      <c r="G50" s="444">
        <f>+I49</f>
        <v>0</v>
      </c>
      <c r="H50" s="444">
        <f>+G$26</f>
        <v>0</v>
      </c>
      <c r="I50" s="444">
        <f t="shared" si="4"/>
        <v>0</v>
      </c>
      <c r="J50" s="433">
        <f>+G$23*I50+H50</f>
        <v>0</v>
      </c>
      <c r="K50" s="447">
        <f>+M49</f>
        <v>24625000</v>
      </c>
      <c r="L50" s="444">
        <f>+K$26</f>
        <v>750000</v>
      </c>
      <c r="M50" s="444">
        <f t="shared" si="5"/>
        <v>23875000</v>
      </c>
      <c r="N50" s="433">
        <f>+K$23*M50+L50</f>
        <v>6514712.3169623809</v>
      </c>
      <c r="O50" s="447">
        <f>+Q49</f>
        <v>16083333.333333332</v>
      </c>
      <c r="P50" s="444">
        <f>+O$26</f>
        <v>500000</v>
      </c>
      <c r="Q50" s="444">
        <f t="shared" si="6"/>
        <v>15583333.333333332</v>
      </c>
      <c r="R50" s="433">
        <f>+O$23*Q50+P50</f>
        <v>4262656.9049632289</v>
      </c>
      <c r="S50" s="447">
        <f>+U49</f>
        <v>25000000</v>
      </c>
      <c r="T50" s="444">
        <f>+S$26</f>
        <v>750000</v>
      </c>
      <c r="U50" s="444">
        <f t="shared" si="7"/>
        <v>24250000</v>
      </c>
      <c r="V50" s="433">
        <f>+S$23*U50+T50</f>
        <v>6605257.5366005339</v>
      </c>
      <c r="W50" s="447">
        <f>+Y49</f>
        <v>16523809.523809526</v>
      </c>
      <c r="X50" s="444">
        <f>+W$26</f>
        <v>571428.57142857148</v>
      </c>
      <c r="Y50" s="444">
        <f t="shared" si="8"/>
        <v>15952380.952380955</v>
      </c>
      <c r="Z50" s="433">
        <f>+W$23*Y50+X50</f>
        <v>2828507.3681373675</v>
      </c>
      <c r="AA50" s="447">
        <f>+AC49</f>
        <v>23600000</v>
      </c>
      <c r="AB50" s="444">
        <f>+AA$26</f>
        <v>1200000</v>
      </c>
      <c r="AC50" s="444">
        <f t="shared" si="9"/>
        <v>22400000</v>
      </c>
      <c r="AD50" s="433">
        <f>+AA$23*AC50+AB50</f>
        <v>4369342.8834979627</v>
      </c>
      <c r="AE50" s="447">
        <f>+AG49</f>
        <v>16499999.999999994</v>
      </c>
      <c r="AF50" s="444">
        <f>+AE$26</f>
        <v>666666.66666666663</v>
      </c>
      <c r="AG50" s="444">
        <f t="shared" si="10"/>
        <v>15833333.333333328</v>
      </c>
      <c r="AH50" s="433">
        <f>+AE$23*AG50+AF50</f>
        <v>4489687.0513886632</v>
      </c>
      <c r="AI50" s="463">
        <f t="shared" si="1"/>
        <v>0</v>
      </c>
      <c r="AJ50" s="188"/>
      <c r="AK50" s="445">
        <f>+AI50</f>
        <v>0</v>
      </c>
    </row>
    <row r="51" spans="1:37" ht="13">
      <c r="A51" s="374" t="str">
        <f t="shared" si="2"/>
        <v>W Increased ROE</v>
      </c>
      <c r="B51" s="443">
        <f t="shared" si="3"/>
        <v>2016</v>
      </c>
      <c r="C51" s="444">
        <f>+C50</f>
        <v>0</v>
      </c>
      <c r="D51" s="444">
        <f>+D50</f>
        <v>0</v>
      </c>
      <c r="E51" s="444">
        <f t="shared" si="0"/>
        <v>0</v>
      </c>
      <c r="F51" s="433">
        <f>+C$24*E51+D51</f>
        <v>0</v>
      </c>
      <c r="G51" s="444">
        <f>+G50</f>
        <v>0</v>
      </c>
      <c r="H51" s="444">
        <f>+H50</f>
        <v>0</v>
      </c>
      <c r="I51" s="444">
        <f t="shared" si="4"/>
        <v>0</v>
      </c>
      <c r="J51" s="433">
        <f>+G$24*I51+H51</f>
        <v>0</v>
      </c>
      <c r="K51" s="447">
        <f>+K50</f>
        <v>24625000</v>
      </c>
      <c r="L51" s="444">
        <f>+L50</f>
        <v>750000</v>
      </c>
      <c r="M51" s="444">
        <f t="shared" si="5"/>
        <v>23875000</v>
      </c>
      <c r="N51" s="433">
        <f>+K$24*M51+L51</f>
        <v>6832290.9227402564</v>
      </c>
      <c r="O51" s="447">
        <f>+O50</f>
        <v>16083333.333333332</v>
      </c>
      <c r="P51" s="444">
        <f>+P50</f>
        <v>500000</v>
      </c>
      <c r="Q51" s="444">
        <f t="shared" si="6"/>
        <v>15583333.333333332</v>
      </c>
      <c r="R51" s="433">
        <f>+O$24*Q51+P51</f>
        <v>4400847.0138182901</v>
      </c>
      <c r="S51" s="447">
        <f>+S50</f>
        <v>25000000</v>
      </c>
      <c r="T51" s="444">
        <f>+T50</f>
        <v>750000</v>
      </c>
      <c r="U51" s="444">
        <f t="shared" si="7"/>
        <v>24250000</v>
      </c>
      <c r="V51" s="433">
        <f>+S$24*U51+T51</f>
        <v>6712779.7870733216</v>
      </c>
      <c r="W51" s="447">
        <f>+W50</f>
        <v>16523809.523809526</v>
      </c>
      <c r="X51" s="444">
        <f>+X50</f>
        <v>571428.57142857148</v>
      </c>
      <c r="Y51" s="444">
        <f t="shared" si="8"/>
        <v>15952380.952380955</v>
      </c>
      <c r="Z51" s="433">
        <f>+W$24*Y51+X51</f>
        <v>2828507.3681373675</v>
      </c>
      <c r="AA51" s="447">
        <f>+AA50</f>
        <v>23600000</v>
      </c>
      <c r="AB51" s="444">
        <f>+AB50</f>
        <v>1200000</v>
      </c>
      <c r="AC51" s="444">
        <f t="shared" si="9"/>
        <v>22400000</v>
      </c>
      <c r="AD51" s="433">
        <f>+AA$24*AC51+AB51</f>
        <v>4369342.8834979627</v>
      </c>
      <c r="AE51" s="447">
        <f>+AE50</f>
        <v>16499999.999999994</v>
      </c>
      <c r="AF51" s="444">
        <f>+AF50</f>
        <v>666666.66666666663</v>
      </c>
      <c r="AG51" s="444">
        <f t="shared" si="10"/>
        <v>15833333.333333328</v>
      </c>
      <c r="AH51" s="433">
        <f>+AE$24*AG51+AF51</f>
        <v>4559890.5826251917</v>
      </c>
      <c r="AI51" s="463">
        <f t="shared" si="1"/>
        <v>0</v>
      </c>
      <c r="AJ51" s="446">
        <f>+AI51</f>
        <v>0</v>
      </c>
      <c r="AK51" s="372"/>
    </row>
    <row r="52" spans="1:37" ht="13">
      <c r="A52" s="374" t="str">
        <f t="shared" si="2"/>
        <v>FCR @ 11.3 ROE</v>
      </c>
      <c r="B52" s="443">
        <f t="shared" si="3"/>
        <v>2017</v>
      </c>
      <c r="C52" s="444">
        <f>+E51</f>
        <v>0</v>
      </c>
      <c r="D52" s="444">
        <f>+C$26</f>
        <v>0</v>
      </c>
      <c r="E52" s="444">
        <f t="shared" si="0"/>
        <v>0</v>
      </c>
      <c r="F52" s="433">
        <f>+C$23*E52+D52</f>
        <v>0</v>
      </c>
      <c r="G52" s="444">
        <f>+I51</f>
        <v>0</v>
      </c>
      <c r="H52" s="444">
        <f>+G$26</f>
        <v>0</v>
      </c>
      <c r="I52" s="444">
        <f t="shared" si="4"/>
        <v>0</v>
      </c>
      <c r="J52" s="433">
        <f>+G$23*I52+H52</f>
        <v>0</v>
      </c>
      <c r="K52" s="447">
        <f>+M51</f>
        <v>23875000</v>
      </c>
      <c r="L52" s="444">
        <f>+K$26</f>
        <v>750000</v>
      </c>
      <c r="M52" s="444">
        <f t="shared" si="5"/>
        <v>23125000</v>
      </c>
      <c r="N52" s="433">
        <f>+K$23*M52+L52</f>
        <v>6333621.8776860759</v>
      </c>
      <c r="O52" s="447">
        <f>+Q51</f>
        <v>15583333.333333332</v>
      </c>
      <c r="P52" s="444">
        <f>+O$26</f>
        <v>500000</v>
      </c>
      <c r="Q52" s="444">
        <f t="shared" si="6"/>
        <v>15083333.333333332</v>
      </c>
      <c r="R52" s="433">
        <f>+O$23*Q52+P52</f>
        <v>4141929.9454456922</v>
      </c>
      <c r="S52" s="447">
        <f>+U51</f>
        <v>24250000</v>
      </c>
      <c r="T52" s="444">
        <f>+S$26</f>
        <v>750000</v>
      </c>
      <c r="U52" s="444">
        <f t="shared" si="7"/>
        <v>23500000</v>
      </c>
      <c r="V52" s="433">
        <f>+S$23*U52+T52</f>
        <v>6424167.0973242279</v>
      </c>
      <c r="W52" s="447">
        <f>+Y51</f>
        <v>15952380.952380955</v>
      </c>
      <c r="X52" s="444">
        <f>+W$26</f>
        <v>571428.57142857148</v>
      </c>
      <c r="Y52" s="444">
        <f t="shared" si="8"/>
        <v>15380952.380952384</v>
      </c>
      <c r="Z52" s="433">
        <f>+W$23*Y52+X52</f>
        <v>2747656.7843746645</v>
      </c>
      <c r="AA52" s="447">
        <f>+AC51</f>
        <v>22400000</v>
      </c>
      <c r="AB52" s="444">
        <f>+AA$26</f>
        <v>1200000</v>
      </c>
      <c r="AC52" s="444">
        <f t="shared" si="9"/>
        <v>21200000</v>
      </c>
      <c r="AD52" s="433">
        <f>+AA$23*AC52+AB52</f>
        <v>4199556.6575962864</v>
      </c>
      <c r="AE52" s="447">
        <f>+AG51</f>
        <v>15833333.333333328</v>
      </c>
      <c r="AF52" s="444">
        <f>+AE$26</f>
        <v>666666.66666666663</v>
      </c>
      <c r="AG52" s="444">
        <f t="shared" si="10"/>
        <v>15166666.666666662</v>
      </c>
      <c r="AH52" s="433">
        <f>+AE$23*AG52+AF52</f>
        <v>4328717.772031948</v>
      </c>
      <c r="AI52" s="463">
        <f t="shared" si="1"/>
        <v>0</v>
      </c>
      <c r="AJ52" s="188"/>
      <c r="AK52" s="445">
        <f>+AI52</f>
        <v>0</v>
      </c>
    </row>
    <row r="53" spans="1:37" ht="13">
      <c r="A53" s="374" t="str">
        <f t="shared" si="2"/>
        <v>W Increased ROE</v>
      </c>
      <c r="B53" s="443">
        <f t="shared" si="3"/>
        <v>2017</v>
      </c>
      <c r="C53" s="444">
        <f>+C52</f>
        <v>0</v>
      </c>
      <c r="D53" s="444">
        <f>+D52</f>
        <v>0</v>
      </c>
      <c r="E53" s="444">
        <f t="shared" si="0"/>
        <v>0</v>
      </c>
      <c r="F53" s="433">
        <f>+C$24*E53+D53</f>
        <v>0</v>
      </c>
      <c r="G53" s="444">
        <f>+G52</f>
        <v>0</v>
      </c>
      <c r="H53" s="444">
        <f>+H52</f>
        <v>0</v>
      </c>
      <c r="I53" s="444">
        <f t="shared" si="4"/>
        <v>0</v>
      </c>
      <c r="J53" s="433">
        <f>+G$24*I53+H53</f>
        <v>0</v>
      </c>
      <c r="K53" s="447">
        <f>+K52</f>
        <v>23875000</v>
      </c>
      <c r="L53" s="444">
        <f>+L52</f>
        <v>750000</v>
      </c>
      <c r="M53" s="444">
        <f t="shared" si="5"/>
        <v>23125000</v>
      </c>
      <c r="N53" s="433">
        <f>+K$24*M53+L53</f>
        <v>6641224.1921829712</v>
      </c>
      <c r="O53" s="447">
        <f>+O52</f>
        <v>15583333.333333332</v>
      </c>
      <c r="P53" s="444">
        <f>+P52</f>
        <v>500000</v>
      </c>
      <c r="Q53" s="444">
        <f t="shared" si="6"/>
        <v>15083333.333333332</v>
      </c>
      <c r="R53" s="433">
        <f>+O$24*Q53+P53</f>
        <v>4275686.1470647622</v>
      </c>
      <c r="S53" s="447">
        <f>+S52</f>
        <v>24250000</v>
      </c>
      <c r="T53" s="444">
        <f>+T52</f>
        <v>750000</v>
      </c>
      <c r="U53" s="444">
        <f t="shared" si="7"/>
        <v>23500000</v>
      </c>
      <c r="V53" s="433">
        <f>+S$24*U53+T53</f>
        <v>6528363.9173700232</v>
      </c>
      <c r="W53" s="447">
        <f>+W52</f>
        <v>15952380.952380955</v>
      </c>
      <c r="X53" s="444">
        <f>+X52</f>
        <v>571428.57142857148</v>
      </c>
      <c r="Y53" s="444">
        <f t="shared" si="8"/>
        <v>15380952.380952384</v>
      </c>
      <c r="Z53" s="433">
        <f>+W$24*Y53+X53</f>
        <v>2747656.7843746645</v>
      </c>
      <c r="AA53" s="447">
        <f>+AA52</f>
        <v>22400000</v>
      </c>
      <c r="AB53" s="444">
        <f>+AB52</f>
        <v>1200000</v>
      </c>
      <c r="AC53" s="444">
        <f t="shared" si="9"/>
        <v>21200000</v>
      </c>
      <c r="AD53" s="433">
        <f>+AA$24*AC53+AB53</f>
        <v>4199556.6575962864</v>
      </c>
      <c r="AE53" s="447">
        <f>+AE52</f>
        <v>15833333.333333328</v>
      </c>
      <c r="AF53" s="444">
        <f>+AF52</f>
        <v>666666.66666666663</v>
      </c>
      <c r="AG53" s="444">
        <f t="shared" si="10"/>
        <v>15166666.666666662</v>
      </c>
      <c r="AH53" s="433">
        <f>+AE$24*AG53+AF53</f>
        <v>4395965.3651111489</v>
      </c>
      <c r="AI53" s="463">
        <f t="shared" si="1"/>
        <v>0</v>
      </c>
      <c r="AJ53" s="446">
        <f>+AI53</f>
        <v>0</v>
      </c>
      <c r="AK53" s="372"/>
    </row>
    <row r="54" spans="1:37" ht="13">
      <c r="A54" s="374" t="str">
        <f t="shared" si="2"/>
        <v>FCR @ 11.3 ROE</v>
      </c>
      <c r="B54" s="443">
        <f t="shared" si="3"/>
        <v>2018</v>
      </c>
      <c r="C54" s="444">
        <f>+E53</f>
        <v>0</v>
      </c>
      <c r="D54" s="444">
        <f>+C$26</f>
        <v>0</v>
      </c>
      <c r="E54" s="444">
        <f t="shared" si="0"/>
        <v>0</v>
      </c>
      <c r="F54" s="433">
        <f>+C$23*E54+D54</f>
        <v>0</v>
      </c>
      <c r="G54" s="444">
        <f>+I53</f>
        <v>0</v>
      </c>
      <c r="H54" s="444">
        <f>+G$26</f>
        <v>0</v>
      </c>
      <c r="I54" s="444">
        <f t="shared" si="4"/>
        <v>0</v>
      </c>
      <c r="J54" s="433">
        <f>+G$23*I54+H54</f>
        <v>0</v>
      </c>
      <c r="K54" s="447">
        <f>+M53</f>
        <v>23125000</v>
      </c>
      <c r="L54" s="444">
        <f>+K$26</f>
        <v>750000</v>
      </c>
      <c r="M54" s="444">
        <f t="shared" si="5"/>
        <v>22375000</v>
      </c>
      <c r="N54" s="433">
        <f>+K$23*M54+L54</f>
        <v>6152531.4384097708</v>
      </c>
      <c r="O54" s="447">
        <f>+Q53</f>
        <v>15083333.333333332</v>
      </c>
      <c r="P54" s="444">
        <f>+O$26</f>
        <v>500000</v>
      </c>
      <c r="Q54" s="444">
        <f t="shared" si="6"/>
        <v>14583333.333333332</v>
      </c>
      <c r="R54" s="433">
        <f>+O$23*Q54+P54</f>
        <v>4021202.9859281555</v>
      </c>
      <c r="S54" s="447">
        <f>+U53</f>
        <v>23500000</v>
      </c>
      <c r="T54" s="444">
        <f>+S$26</f>
        <v>750000</v>
      </c>
      <c r="U54" s="444">
        <f t="shared" si="7"/>
        <v>22750000</v>
      </c>
      <c r="V54" s="433">
        <f>+S$23*U54+T54</f>
        <v>6243076.6580479229</v>
      </c>
      <c r="W54" s="447">
        <f>+Y53</f>
        <v>15380952.380952384</v>
      </c>
      <c r="X54" s="444">
        <f>+W$26</f>
        <v>571428.57142857148</v>
      </c>
      <c r="Y54" s="444">
        <f t="shared" si="8"/>
        <v>14809523.809523813</v>
      </c>
      <c r="Z54" s="433">
        <f>+W$23*Y54+X54</f>
        <v>2666806.2006119615</v>
      </c>
      <c r="AA54" s="447">
        <f>+AC53</f>
        <v>21200000</v>
      </c>
      <c r="AB54" s="444">
        <f>+AA$26</f>
        <v>1200000</v>
      </c>
      <c r="AC54" s="444">
        <f t="shared" si="9"/>
        <v>20000000</v>
      </c>
      <c r="AD54" s="433">
        <f>+AA$23*AC54+AB54</f>
        <v>4029770.43169461</v>
      </c>
      <c r="AE54" s="447">
        <f>+AG53</f>
        <v>15166666.666666662</v>
      </c>
      <c r="AF54" s="444">
        <f>+AE$26</f>
        <v>666666.66666666663</v>
      </c>
      <c r="AG54" s="444">
        <f t="shared" si="10"/>
        <v>14499999.999999996</v>
      </c>
      <c r="AH54" s="433">
        <f>+AE$23*AG54+AF54</f>
        <v>4167748.4926752322</v>
      </c>
      <c r="AI54" s="463">
        <f t="shared" si="1"/>
        <v>0</v>
      </c>
      <c r="AJ54" s="188"/>
      <c r="AK54" s="445">
        <f>+AI54</f>
        <v>0</v>
      </c>
    </row>
    <row r="55" spans="1:37" ht="13">
      <c r="A55" s="374" t="str">
        <f t="shared" si="2"/>
        <v>W Increased ROE</v>
      </c>
      <c r="B55" s="443">
        <f t="shared" si="3"/>
        <v>2018</v>
      </c>
      <c r="C55" s="444">
        <f>+C54</f>
        <v>0</v>
      </c>
      <c r="D55" s="444">
        <f>+D54</f>
        <v>0</v>
      </c>
      <c r="E55" s="444">
        <f t="shared" si="0"/>
        <v>0</v>
      </c>
      <c r="F55" s="433">
        <f>+C$24*E55+D55</f>
        <v>0</v>
      </c>
      <c r="G55" s="444">
        <f>+G54</f>
        <v>0</v>
      </c>
      <c r="H55" s="444">
        <f>+H54</f>
        <v>0</v>
      </c>
      <c r="I55" s="444">
        <f t="shared" si="4"/>
        <v>0</v>
      </c>
      <c r="J55" s="433">
        <f>+G$24*I55+H55</f>
        <v>0</v>
      </c>
      <c r="K55" s="447">
        <f>+K54</f>
        <v>23125000</v>
      </c>
      <c r="L55" s="444">
        <f>+L54</f>
        <v>750000</v>
      </c>
      <c r="M55" s="444">
        <f t="shared" si="5"/>
        <v>22375000</v>
      </c>
      <c r="N55" s="433">
        <f>+K$24*M55+L55</f>
        <v>6450157.4616256859</v>
      </c>
      <c r="O55" s="447">
        <f>+O54</f>
        <v>15083333.333333332</v>
      </c>
      <c r="P55" s="444">
        <f>+P54</f>
        <v>500000</v>
      </c>
      <c r="Q55" s="444">
        <f t="shared" si="6"/>
        <v>14583333.333333332</v>
      </c>
      <c r="R55" s="433">
        <f>+O$24*Q55+P55</f>
        <v>4150525.2803112348</v>
      </c>
      <c r="S55" s="447">
        <f>+S54</f>
        <v>23500000</v>
      </c>
      <c r="T55" s="444">
        <f>+T54</f>
        <v>750000</v>
      </c>
      <c r="U55" s="444">
        <f t="shared" si="7"/>
        <v>22750000</v>
      </c>
      <c r="V55" s="433">
        <f>+S$24*U55+T55</f>
        <v>6343948.0476667248</v>
      </c>
      <c r="W55" s="447">
        <f>+W54</f>
        <v>15380952.380952384</v>
      </c>
      <c r="X55" s="444">
        <f>+X54</f>
        <v>571428.57142857148</v>
      </c>
      <c r="Y55" s="444">
        <f t="shared" si="8"/>
        <v>14809523.809523813</v>
      </c>
      <c r="Z55" s="433">
        <f>+W$24*Y55+X55</f>
        <v>2666806.2006119615</v>
      </c>
      <c r="AA55" s="447">
        <f>+AA54</f>
        <v>21200000</v>
      </c>
      <c r="AB55" s="444">
        <f>+AB54</f>
        <v>1200000</v>
      </c>
      <c r="AC55" s="444">
        <f t="shared" si="9"/>
        <v>20000000</v>
      </c>
      <c r="AD55" s="433">
        <f>+AA$24*AC55+AB55</f>
        <v>4029770.43169461</v>
      </c>
      <c r="AE55" s="447">
        <f>+AE54</f>
        <v>15166666.666666662</v>
      </c>
      <c r="AF55" s="444">
        <f>+AF54</f>
        <v>666666.66666666663</v>
      </c>
      <c r="AG55" s="444">
        <f t="shared" si="10"/>
        <v>14499999.999999996</v>
      </c>
      <c r="AH55" s="433">
        <f>+AE$24*AG55+AF55</f>
        <v>4232040.1475971052</v>
      </c>
      <c r="AI55" s="463">
        <f t="shared" si="1"/>
        <v>0</v>
      </c>
      <c r="AJ55" s="446">
        <f>+AI55</f>
        <v>0</v>
      </c>
      <c r="AK55" s="372"/>
    </row>
    <row r="56" spans="1:37" ht="13">
      <c r="A56" s="374" t="str">
        <f t="shared" si="2"/>
        <v>FCR @ 11.3 ROE</v>
      </c>
      <c r="B56" s="443">
        <f t="shared" si="3"/>
        <v>2019</v>
      </c>
      <c r="C56" s="444">
        <f>+E55</f>
        <v>0</v>
      </c>
      <c r="D56" s="444">
        <f>+C$26</f>
        <v>0</v>
      </c>
      <c r="E56" s="444">
        <f t="shared" si="0"/>
        <v>0</v>
      </c>
      <c r="F56" s="433">
        <f>+C$23*E56+D56</f>
        <v>0</v>
      </c>
      <c r="G56" s="444">
        <f>+I55</f>
        <v>0</v>
      </c>
      <c r="H56" s="444">
        <f>+G$26</f>
        <v>0</v>
      </c>
      <c r="I56" s="444">
        <f t="shared" si="4"/>
        <v>0</v>
      </c>
      <c r="J56" s="433">
        <f>+G$23*I56+H56</f>
        <v>0</v>
      </c>
      <c r="K56" s="447">
        <f>+M55</f>
        <v>22375000</v>
      </c>
      <c r="L56" s="444">
        <f>+K$26</f>
        <v>750000</v>
      </c>
      <c r="M56" s="444">
        <f t="shared" si="5"/>
        <v>21625000</v>
      </c>
      <c r="N56" s="433">
        <f>+K$23*M56+L56</f>
        <v>5971440.9991334658</v>
      </c>
      <c r="O56" s="447">
        <f>+Q55</f>
        <v>14583333.333333332</v>
      </c>
      <c r="P56" s="444">
        <f>+O$26</f>
        <v>500000</v>
      </c>
      <c r="Q56" s="444">
        <f t="shared" si="6"/>
        <v>14083333.333333332</v>
      </c>
      <c r="R56" s="433">
        <f>+O$23*Q56+P56</f>
        <v>3900476.0264106188</v>
      </c>
      <c r="S56" s="447">
        <f>+U55</f>
        <v>22750000</v>
      </c>
      <c r="T56" s="444">
        <f>+S$26</f>
        <v>750000</v>
      </c>
      <c r="U56" s="444">
        <f t="shared" si="7"/>
        <v>22000000</v>
      </c>
      <c r="V56" s="433">
        <f>+S$23*U56+T56</f>
        <v>6061986.2187716179</v>
      </c>
      <c r="W56" s="447">
        <f>+Y55</f>
        <v>14809523.809523813</v>
      </c>
      <c r="X56" s="444">
        <f>+W$26</f>
        <v>571428.57142857148</v>
      </c>
      <c r="Y56" s="444">
        <f t="shared" si="8"/>
        <v>14238095.238095243</v>
      </c>
      <c r="Z56" s="433">
        <f>+W$23*Y56+X56</f>
        <v>2585955.6168492585</v>
      </c>
      <c r="AA56" s="447">
        <f>+AC55</f>
        <v>20000000</v>
      </c>
      <c r="AB56" s="444">
        <f>+AA$26</f>
        <v>1200000</v>
      </c>
      <c r="AC56" s="444">
        <f t="shared" si="9"/>
        <v>18800000</v>
      </c>
      <c r="AD56" s="433">
        <f>+AA$23*AC56+AB56</f>
        <v>3859984.2057929332</v>
      </c>
      <c r="AE56" s="447">
        <f>+AG55</f>
        <v>14499999.999999996</v>
      </c>
      <c r="AF56" s="444">
        <f>+AE$26</f>
        <v>666666.66666666663</v>
      </c>
      <c r="AG56" s="444">
        <f t="shared" si="10"/>
        <v>13833333.33333333</v>
      </c>
      <c r="AH56" s="433">
        <f>+AE$23*AG56+AF56</f>
        <v>4006779.2133185165</v>
      </c>
      <c r="AI56" s="463">
        <f t="shared" si="1"/>
        <v>0</v>
      </c>
      <c r="AJ56" s="188"/>
      <c r="AK56" s="445">
        <f>+AI56</f>
        <v>0</v>
      </c>
    </row>
    <row r="57" spans="1:37" ht="13">
      <c r="A57" s="374" t="str">
        <f t="shared" si="2"/>
        <v>W Increased ROE</v>
      </c>
      <c r="B57" s="443">
        <f t="shared" si="3"/>
        <v>2019</v>
      </c>
      <c r="C57" s="444">
        <f>+C56</f>
        <v>0</v>
      </c>
      <c r="D57" s="444">
        <f>+D56</f>
        <v>0</v>
      </c>
      <c r="E57" s="444">
        <f t="shared" si="0"/>
        <v>0</v>
      </c>
      <c r="F57" s="433">
        <f>+C$24*E57+D57</f>
        <v>0</v>
      </c>
      <c r="G57" s="444">
        <f>+G56</f>
        <v>0</v>
      </c>
      <c r="H57" s="444">
        <f>+H56</f>
        <v>0</v>
      </c>
      <c r="I57" s="444">
        <f t="shared" si="4"/>
        <v>0</v>
      </c>
      <c r="J57" s="433">
        <f>+G$24*I57+H57</f>
        <v>0</v>
      </c>
      <c r="K57" s="447">
        <f>+K56</f>
        <v>22375000</v>
      </c>
      <c r="L57" s="444">
        <f>+L56</f>
        <v>750000</v>
      </c>
      <c r="M57" s="444">
        <f t="shared" si="5"/>
        <v>21625000</v>
      </c>
      <c r="N57" s="433">
        <f>+K$24*M57+L57</f>
        <v>6259090.7310683997</v>
      </c>
      <c r="O57" s="447">
        <f>+O56</f>
        <v>14583333.333333332</v>
      </c>
      <c r="P57" s="444">
        <f>+P56</f>
        <v>500000</v>
      </c>
      <c r="Q57" s="444">
        <f t="shared" si="6"/>
        <v>14083333.333333332</v>
      </c>
      <c r="R57" s="433">
        <f>+O$24*Q57+P57</f>
        <v>4025364.4135577064</v>
      </c>
      <c r="S57" s="447">
        <f>+S56</f>
        <v>22750000</v>
      </c>
      <c r="T57" s="444">
        <f>+T56</f>
        <v>750000</v>
      </c>
      <c r="U57" s="444">
        <f t="shared" si="7"/>
        <v>22000000</v>
      </c>
      <c r="V57" s="433">
        <f>+S$24*U57+T57</f>
        <v>6159532.1779634263</v>
      </c>
      <c r="W57" s="447">
        <f>+W56</f>
        <v>14809523.809523813</v>
      </c>
      <c r="X57" s="444">
        <f>+X56</f>
        <v>571428.57142857148</v>
      </c>
      <c r="Y57" s="444">
        <f t="shared" si="8"/>
        <v>14238095.238095243</v>
      </c>
      <c r="Z57" s="433">
        <f>+W$24*Y57+X57</f>
        <v>2585955.6168492585</v>
      </c>
      <c r="AA57" s="447">
        <f>+AA56</f>
        <v>20000000</v>
      </c>
      <c r="AB57" s="444">
        <f>+AB56</f>
        <v>1200000</v>
      </c>
      <c r="AC57" s="444">
        <f t="shared" si="9"/>
        <v>18800000</v>
      </c>
      <c r="AD57" s="433">
        <f>+AA$24*AC57+AB57</f>
        <v>3859984.2057929332</v>
      </c>
      <c r="AE57" s="447">
        <f>+AE56</f>
        <v>14499999.999999996</v>
      </c>
      <c r="AF57" s="444">
        <f>+AF56</f>
        <v>666666.66666666663</v>
      </c>
      <c r="AG57" s="444">
        <f t="shared" si="10"/>
        <v>13833333.33333333</v>
      </c>
      <c r="AH57" s="433">
        <f>+AE$24*AG57+AF57</f>
        <v>4068114.9300830625</v>
      </c>
      <c r="AI57" s="463">
        <f t="shared" si="1"/>
        <v>0</v>
      </c>
      <c r="AJ57" s="446">
        <f>+AI57</f>
        <v>0</v>
      </c>
      <c r="AK57" s="372"/>
    </row>
    <row r="58" spans="1:37" ht="13">
      <c r="A58" s="374" t="str">
        <f t="shared" si="2"/>
        <v>FCR @ 11.3 ROE</v>
      </c>
      <c r="B58" s="443">
        <f t="shared" si="3"/>
        <v>2020</v>
      </c>
      <c r="C58" s="444">
        <f>+E57</f>
        <v>0</v>
      </c>
      <c r="D58" s="444">
        <f>+C$26</f>
        <v>0</v>
      </c>
      <c r="E58" s="444">
        <f t="shared" si="0"/>
        <v>0</v>
      </c>
      <c r="F58" s="433">
        <f>+C$23*E58+D58</f>
        <v>0</v>
      </c>
      <c r="G58" s="444">
        <f>+I57</f>
        <v>0</v>
      </c>
      <c r="H58" s="444">
        <f>+G$26</f>
        <v>0</v>
      </c>
      <c r="I58" s="444">
        <f t="shared" si="4"/>
        <v>0</v>
      </c>
      <c r="J58" s="433">
        <f>+G$23*I58+H58</f>
        <v>0</v>
      </c>
      <c r="K58" s="447">
        <f>+M57</f>
        <v>21625000</v>
      </c>
      <c r="L58" s="444">
        <f>+K$26</f>
        <v>750000</v>
      </c>
      <c r="M58" s="444">
        <f t="shared" si="5"/>
        <v>20875000</v>
      </c>
      <c r="N58" s="433">
        <f>+K$23*M58+L58</f>
        <v>5790350.5598571599</v>
      </c>
      <c r="O58" s="447">
        <f>+Q57</f>
        <v>14083333.333333332</v>
      </c>
      <c r="P58" s="444">
        <f>+O$26</f>
        <v>500000</v>
      </c>
      <c r="Q58" s="444">
        <f t="shared" si="6"/>
        <v>13583333.333333332</v>
      </c>
      <c r="R58" s="433">
        <f>+O$23*Q58+P58</f>
        <v>3779749.0668930821</v>
      </c>
      <c r="S58" s="447">
        <f>+U57</f>
        <v>22000000</v>
      </c>
      <c r="T58" s="444">
        <f>+S$26</f>
        <v>750000</v>
      </c>
      <c r="U58" s="444">
        <f t="shared" si="7"/>
        <v>21250000</v>
      </c>
      <c r="V58" s="433">
        <f>+S$23*U58+T58</f>
        <v>5880895.7794953128</v>
      </c>
      <c r="W58" s="447">
        <f>+Y57</f>
        <v>14238095.238095243</v>
      </c>
      <c r="X58" s="444">
        <f>+W$26</f>
        <v>571428.57142857148</v>
      </c>
      <c r="Y58" s="444">
        <f t="shared" si="8"/>
        <v>13666666.666666672</v>
      </c>
      <c r="Z58" s="433">
        <f>+W$23*Y58+X58</f>
        <v>2505105.0330865555</v>
      </c>
      <c r="AA58" s="447">
        <f>+AC57</f>
        <v>18800000</v>
      </c>
      <c r="AB58" s="444">
        <f>+AA$26</f>
        <v>1200000</v>
      </c>
      <c r="AC58" s="444">
        <f t="shared" si="9"/>
        <v>17600000</v>
      </c>
      <c r="AD58" s="433">
        <f>+AA$23*AC58+AB58</f>
        <v>3690197.9798912569</v>
      </c>
      <c r="AE58" s="447">
        <f>+AG57</f>
        <v>13833333.33333333</v>
      </c>
      <c r="AF58" s="444">
        <f>+AE$26</f>
        <v>666666.66666666663</v>
      </c>
      <c r="AG58" s="444">
        <f t="shared" si="10"/>
        <v>13166666.666666664</v>
      </c>
      <c r="AH58" s="433">
        <f>+AE$23*AG58+AF58</f>
        <v>3845809.9339618008</v>
      </c>
      <c r="AI58" s="463">
        <f t="shared" si="1"/>
        <v>0</v>
      </c>
      <c r="AJ58" s="188"/>
      <c r="AK58" s="445">
        <f>+AI58</f>
        <v>0</v>
      </c>
    </row>
    <row r="59" spans="1:37" ht="13">
      <c r="A59" s="374" t="str">
        <f t="shared" si="2"/>
        <v>W Increased ROE</v>
      </c>
      <c r="B59" s="443">
        <f t="shared" si="3"/>
        <v>2020</v>
      </c>
      <c r="C59" s="444">
        <f>+C58</f>
        <v>0</v>
      </c>
      <c r="D59" s="444">
        <f>+D58</f>
        <v>0</v>
      </c>
      <c r="E59" s="444">
        <f t="shared" si="0"/>
        <v>0</v>
      </c>
      <c r="F59" s="433">
        <f>+C$24*E59+D59</f>
        <v>0</v>
      </c>
      <c r="G59" s="444">
        <f>+G58</f>
        <v>0</v>
      </c>
      <c r="H59" s="444">
        <f>+H58</f>
        <v>0</v>
      </c>
      <c r="I59" s="444">
        <f t="shared" si="4"/>
        <v>0</v>
      </c>
      <c r="J59" s="433">
        <f>+G$24*I59+H59</f>
        <v>0</v>
      </c>
      <c r="K59" s="447">
        <f>+K58</f>
        <v>21625000</v>
      </c>
      <c r="L59" s="444">
        <f>+L58</f>
        <v>750000</v>
      </c>
      <c r="M59" s="444">
        <f t="shared" si="5"/>
        <v>20875000</v>
      </c>
      <c r="N59" s="433">
        <f>+K$24*M59+L59</f>
        <v>6068024.0005111145</v>
      </c>
      <c r="O59" s="447">
        <f>+O58</f>
        <v>14083333.333333332</v>
      </c>
      <c r="P59" s="444">
        <f>+P58</f>
        <v>500000</v>
      </c>
      <c r="Q59" s="444">
        <f t="shared" si="6"/>
        <v>13583333.333333332</v>
      </c>
      <c r="R59" s="433">
        <f>+O$24*Q59+P59</f>
        <v>3900203.5468041785</v>
      </c>
      <c r="S59" s="447">
        <f>+S58</f>
        <v>22000000</v>
      </c>
      <c r="T59" s="444">
        <f>+T58</f>
        <v>750000</v>
      </c>
      <c r="U59" s="444">
        <f t="shared" si="7"/>
        <v>21250000</v>
      </c>
      <c r="V59" s="433">
        <f>+S$24*U59+T59</f>
        <v>5975116.308260127</v>
      </c>
      <c r="W59" s="447">
        <f>+W58</f>
        <v>14238095.238095243</v>
      </c>
      <c r="X59" s="444">
        <f>+X58</f>
        <v>571428.57142857148</v>
      </c>
      <c r="Y59" s="444">
        <f t="shared" si="8"/>
        <v>13666666.666666672</v>
      </c>
      <c r="Z59" s="433">
        <f>+W$24*Y59+X59</f>
        <v>2505105.0330865555</v>
      </c>
      <c r="AA59" s="447">
        <f>+AA58</f>
        <v>18800000</v>
      </c>
      <c r="AB59" s="444">
        <f>+AB58</f>
        <v>1200000</v>
      </c>
      <c r="AC59" s="444">
        <f t="shared" si="9"/>
        <v>17600000</v>
      </c>
      <c r="AD59" s="433">
        <f>+AA$24*AC59+AB59</f>
        <v>3690197.9798912569</v>
      </c>
      <c r="AE59" s="447">
        <f>+AE58</f>
        <v>13833333.33333333</v>
      </c>
      <c r="AF59" s="444">
        <f>+AF58</f>
        <v>666666.66666666663</v>
      </c>
      <c r="AG59" s="444">
        <f t="shared" si="10"/>
        <v>13166666.666666664</v>
      </c>
      <c r="AH59" s="433">
        <f>+AE$24*AG59+AF59</f>
        <v>3904189.7125690193</v>
      </c>
      <c r="AI59" s="463">
        <f t="shared" si="1"/>
        <v>0</v>
      </c>
      <c r="AJ59" s="446">
        <f>+AI59</f>
        <v>0</v>
      </c>
      <c r="AK59" s="372"/>
    </row>
    <row r="60" spans="1:37" ht="13">
      <c r="A60" s="374" t="str">
        <f t="shared" si="2"/>
        <v>FCR @ 11.3 ROE</v>
      </c>
      <c r="B60" s="443">
        <f t="shared" si="3"/>
        <v>2021</v>
      </c>
      <c r="C60" s="444">
        <f>+E59</f>
        <v>0</v>
      </c>
      <c r="D60" s="444">
        <f>+C$26</f>
        <v>0</v>
      </c>
      <c r="E60" s="444">
        <f t="shared" si="0"/>
        <v>0</v>
      </c>
      <c r="F60" s="433">
        <f>+C$23*E60+D60</f>
        <v>0</v>
      </c>
      <c r="G60" s="444">
        <f>+I59</f>
        <v>0</v>
      </c>
      <c r="H60" s="444">
        <f>+G$26</f>
        <v>0</v>
      </c>
      <c r="I60" s="444">
        <f t="shared" si="4"/>
        <v>0</v>
      </c>
      <c r="J60" s="433">
        <f>+G$23*I60+H60</f>
        <v>0</v>
      </c>
      <c r="K60" s="447">
        <f>+M59</f>
        <v>20875000</v>
      </c>
      <c r="L60" s="444">
        <f>+K$26</f>
        <v>750000</v>
      </c>
      <c r="M60" s="444">
        <f t="shared" si="5"/>
        <v>20125000</v>
      </c>
      <c r="N60" s="433">
        <f>+K$23*M60+L60</f>
        <v>5609260.1205808548</v>
      </c>
      <c r="O60" s="447">
        <f>+Q59</f>
        <v>13583333.333333332</v>
      </c>
      <c r="P60" s="444">
        <f>+O$26</f>
        <v>500000</v>
      </c>
      <c r="Q60" s="444">
        <f t="shared" si="6"/>
        <v>13083333.333333332</v>
      </c>
      <c r="R60" s="433">
        <f>+O$23*Q60+P60</f>
        <v>3659022.1073755454</v>
      </c>
      <c r="S60" s="447">
        <f>+U59</f>
        <v>21250000</v>
      </c>
      <c r="T60" s="444">
        <f>+S$26</f>
        <v>750000</v>
      </c>
      <c r="U60" s="444">
        <f t="shared" si="7"/>
        <v>20500000</v>
      </c>
      <c r="V60" s="433">
        <f>+S$23*U60+T60</f>
        <v>5699805.3402190078</v>
      </c>
      <c r="W60" s="447">
        <f>+Y59</f>
        <v>13666666.666666672</v>
      </c>
      <c r="X60" s="444">
        <f>+W$26</f>
        <v>571428.57142857148</v>
      </c>
      <c r="Y60" s="444">
        <f t="shared" si="8"/>
        <v>13095238.095238101</v>
      </c>
      <c r="Z60" s="433">
        <f>+W$23*Y60+X60</f>
        <v>2424254.4493238525</v>
      </c>
      <c r="AA60" s="447">
        <f>+AC59</f>
        <v>17600000</v>
      </c>
      <c r="AB60" s="444">
        <f>+AA$26</f>
        <v>1200000</v>
      </c>
      <c r="AC60" s="444">
        <f t="shared" si="9"/>
        <v>16400000</v>
      </c>
      <c r="AD60" s="433">
        <f>+AA$23*AC60+AB60</f>
        <v>3520411.7539895801</v>
      </c>
      <c r="AE60" s="447">
        <f>+AG59</f>
        <v>13166666.666666664</v>
      </c>
      <c r="AF60" s="444">
        <f>+AE$26</f>
        <v>666666.66666666663</v>
      </c>
      <c r="AG60" s="444">
        <f t="shared" si="10"/>
        <v>12499999.999999998</v>
      </c>
      <c r="AH60" s="433">
        <f>+AE$23*AG60+AF60</f>
        <v>3684840.6546050855</v>
      </c>
      <c r="AI60" s="463">
        <f t="shared" si="1"/>
        <v>0</v>
      </c>
      <c r="AJ60" s="188"/>
      <c r="AK60" s="445">
        <f>+AI60</f>
        <v>0</v>
      </c>
    </row>
    <row r="61" spans="1:37" ht="13">
      <c r="A61" s="374" t="str">
        <f t="shared" si="2"/>
        <v>W Increased ROE</v>
      </c>
      <c r="B61" s="443">
        <f t="shared" si="3"/>
        <v>2021</v>
      </c>
      <c r="C61" s="444">
        <f>+C60</f>
        <v>0</v>
      </c>
      <c r="D61" s="444">
        <f>+D60</f>
        <v>0</v>
      </c>
      <c r="E61" s="444">
        <f t="shared" si="0"/>
        <v>0</v>
      </c>
      <c r="F61" s="433">
        <f>+C$24*E61+D61</f>
        <v>0</v>
      </c>
      <c r="G61" s="444">
        <f>+G60</f>
        <v>0</v>
      </c>
      <c r="H61" s="444">
        <f>+H60</f>
        <v>0</v>
      </c>
      <c r="I61" s="444">
        <f t="shared" si="4"/>
        <v>0</v>
      </c>
      <c r="J61" s="433">
        <f>+G$24*I61+H61</f>
        <v>0</v>
      </c>
      <c r="K61" s="447">
        <f>+K60</f>
        <v>20875000</v>
      </c>
      <c r="L61" s="444">
        <f>+L60</f>
        <v>750000</v>
      </c>
      <c r="M61" s="444">
        <f t="shared" si="5"/>
        <v>20125000</v>
      </c>
      <c r="N61" s="433">
        <f>+K$24*M61+L61</f>
        <v>5876957.2699538292</v>
      </c>
      <c r="O61" s="447">
        <f>+O60</f>
        <v>13583333.333333332</v>
      </c>
      <c r="P61" s="444">
        <f>+P60</f>
        <v>500000</v>
      </c>
      <c r="Q61" s="444">
        <f t="shared" si="6"/>
        <v>13083333.333333332</v>
      </c>
      <c r="R61" s="433">
        <f>+O$24*Q61+P61</f>
        <v>3775042.6800506506</v>
      </c>
      <c r="S61" s="447">
        <f>+S60</f>
        <v>21250000</v>
      </c>
      <c r="T61" s="444">
        <f>+T60</f>
        <v>750000</v>
      </c>
      <c r="U61" s="444">
        <f t="shared" si="7"/>
        <v>20500000</v>
      </c>
      <c r="V61" s="433">
        <f>+S$24*U61+T61</f>
        <v>5790700.4385568285</v>
      </c>
      <c r="W61" s="447">
        <f>+W60</f>
        <v>13666666.666666672</v>
      </c>
      <c r="X61" s="444">
        <f>+X60</f>
        <v>571428.57142857148</v>
      </c>
      <c r="Y61" s="444">
        <f t="shared" si="8"/>
        <v>13095238.095238101</v>
      </c>
      <c r="Z61" s="433">
        <f>+W$24*Y61+X61</f>
        <v>2424254.4493238525</v>
      </c>
      <c r="AA61" s="447">
        <f>+AA60</f>
        <v>17600000</v>
      </c>
      <c r="AB61" s="444">
        <f>+AB60</f>
        <v>1200000</v>
      </c>
      <c r="AC61" s="444">
        <f t="shared" si="9"/>
        <v>16400000</v>
      </c>
      <c r="AD61" s="433">
        <f>+AA$24*AC61+AB61</f>
        <v>3520411.7539895801</v>
      </c>
      <c r="AE61" s="447">
        <f>+AE60</f>
        <v>13166666.666666664</v>
      </c>
      <c r="AF61" s="444">
        <f>+AF60</f>
        <v>666666.66666666663</v>
      </c>
      <c r="AG61" s="444">
        <f t="shared" si="10"/>
        <v>12499999.999999998</v>
      </c>
      <c r="AH61" s="433">
        <f>+AE$24*AG61+AF61</f>
        <v>3740264.4950549761</v>
      </c>
      <c r="AI61" s="463">
        <f t="shared" si="1"/>
        <v>0</v>
      </c>
      <c r="AJ61" s="446">
        <f>+AI61</f>
        <v>0</v>
      </c>
      <c r="AK61" s="372"/>
    </row>
    <row r="62" spans="1:37" ht="13">
      <c r="A62" s="374" t="str">
        <f t="shared" si="2"/>
        <v>FCR @ 11.3 ROE</v>
      </c>
      <c r="B62" s="443">
        <f t="shared" si="3"/>
        <v>2022</v>
      </c>
      <c r="C62" s="444">
        <f>+E61</f>
        <v>0</v>
      </c>
      <c r="D62" s="444">
        <f>+C$26</f>
        <v>0</v>
      </c>
      <c r="E62" s="444">
        <f t="shared" si="0"/>
        <v>0</v>
      </c>
      <c r="F62" s="433">
        <f>+C$23*E62+D62</f>
        <v>0</v>
      </c>
      <c r="G62" s="444">
        <f>+I61</f>
        <v>0</v>
      </c>
      <c r="H62" s="444">
        <f>+G$26</f>
        <v>0</v>
      </c>
      <c r="I62" s="444">
        <f t="shared" si="4"/>
        <v>0</v>
      </c>
      <c r="J62" s="433">
        <f>+G$23*I62+H62</f>
        <v>0</v>
      </c>
      <c r="K62" s="447">
        <f>+M61</f>
        <v>20125000</v>
      </c>
      <c r="L62" s="444">
        <f>+K$26</f>
        <v>750000</v>
      </c>
      <c r="M62" s="444">
        <f t="shared" si="5"/>
        <v>19375000</v>
      </c>
      <c r="N62" s="433">
        <f>+K$23*M62+L62</f>
        <v>5428169.6813045498</v>
      </c>
      <c r="O62" s="447">
        <f>+Q61</f>
        <v>13083333.333333332</v>
      </c>
      <c r="P62" s="444">
        <f>+O$26</f>
        <v>500000</v>
      </c>
      <c r="Q62" s="444">
        <f t="shared" si="6"/>
        <v>12583333.333333332</v>
      </c>
      <c r="R62" s="433">
        <f>+O$23*Q62+P62</f>
        <v>3538295.1478580083</v>
      </c>
      <c r="S62" s="447">
        <f>+U61</f>
        <v>20500000</v>
      </c>
      <c r="T62" s="444">
        <f>+S$26</f>
        <v>750000</v>
      </c>
      <c r="U62" s="444">
        <f t="shared" si="7"/>
        <v>19750000</v>
      </c>
      <c r="V62" s="433">
        <f>+S$23*U62+T62</f>
        <v>5518714.9009427028</v>
      </c>
      <c r="W62" s="447">
        <f>+Y61</f>
        <v>13095238.095238101</v>
      </c>
      <c r="X62" s="444">
        <f>+W$26</f>
        <v>571428.57142857148</v>
      </c>
      <c r="Y62" s="444">
        <f t="shared" si="8"/>
        <v>12523809.52380953</v>
      </c>
      <c r="Z62" s="433">
        <f>+W$23*Y62+X62</f>
        <v>2343403.8655611495</v>
      </c>
      <c r="AA62" s="447">
        <f>+AC61</f>
        <v>16400000</v>
      </c>
      <c r="AB62" s="444">
        <f>+AA$26</f>
        <v>1200000</v>
      </c>
      <c r="AC62" s="444">
        <f t="shared" si="9"/>
        <v>15200000</v>
      </c>
      <c r="AD62" s="433">
        <f>+AA$23*AC62+AB62</f>
        <v>3350625.5280879033</v>
      </c>
      <c r="AE62" s="447">
        <f>+AG61</f>
        <v>12499999.999999998</v>
      </c>
      <c r="AF62" s="444">
        <f>+AE$26</f>
        <v>666666.66666666663</v>
      </c>
      <c r="AG62" s="444">
        <f t="shared" si="10"/>
        <v>11833333.333333332</v>
      </c>
      <c r="AH62" s="433">
        <f>+AE$23*AG62+AF62</f>
        <v>3523871.3752483698</v>
      </c>
      <c r="AI62" s="463">
        <f t="shared" si="1"/>
        <v>0</v>
      </c>
      <c r="AJ62" s="188"/>
      <c r="AK62" s="445">
        <f>+AI62</f>
        <v>0</v>
      </c>
    </row>
    <row r="63" spans="1:37" ht="13">
      <c r="A63" s="374" t="str">
        <f t="shared" si="2"/>
        <v>W Increased ROE</v>
      </c>
      <c r="B63" s="443">
        <f t="shared" si="3"/>
        <v>2022</v>
      </c>
      <c r="C63" s="444">
        <f>+C62</f>
        <v>0</v>
      </c>
      <c r="D63" s="444">
        <f>+D62</f>
        <v>0</v>
      </c>
      <c r="E63" s="444">
        <f t="shared" si="0"/>
        <v>0</v>
      </c>
      <c r="F63" s="433">
        <f>+C$24*E63+D63</f>
        <v>0</v>
      </c>
      <c r="G63" s="444">
        <f>+G62</f>
        <v>0</v>
      </c>
      <c r="H63" s="444">
        <f>+H62</f>
        <v>0</v>
      </c>
      <c r="I63" s="444">
        <f t="shared" si="4"/>
        <v>0</v>
      </c>
      <c r="J63" s="433">
        <f>+G$24*I63+H63</f>
        <v>0</v>
      </c>
      <c r="K63" s="447">
        <f>+K62</f>
        <v>20125000</v>
      </c>
      <c r="L63" s="444">
        <f>+L62</f>
        <v>750000</v>
      </c>
      <c r="M63" s="444">
        <f t="shared" si="5"/>
        <v>19375000</v>
      </c>
      <c r="N63" s="433">
        <f>+K$24*M63+L63</f>
        <v>5685890.5393965431</v>
      </c>
      <c r="O63" s="447">
        <f>+O62</f>
        <v>13083333.333333332</v>
      </c>
      <c r="P63" s="444">
        <f>+P62</f>
        <v>500000</v>
      </c>
      <c r="Q63" s="444">
        <f t="shared" si="6"/>
        <v>12583333.333333332</v>
      </c>
      <c r="R63" s="433">
        <f>+O$24*Q63+P63</f>
        <v>3649881.8132971223</v>
      </c>
      <c r="S63" s="447">
        <f>+S62</f>
        <v>20500000</v>
      </c>
      <c r="T63" s="444">
        <f>+T62</f>
        <v>750000</v>
      </c>
      <c r="U63" s="444">
        <f t="shared" si="7"/>
        <v>19750000</v>
      </c>
      <c r="V63" s="433">
        <f>+S$24*U63+T63</f>
        <v>5606284.5688535301</v>
      </c>
      <c r="W63" s="447">
        <f>+W62</f>
        <v>13095238.095238101</v>
      </c>
      <c r="X63" s="444">
        <f>+X62</f>
        <v>571428.57142857148</v>
      </c>
      <c r="Y63" s="444">
        <f t="shared" si="8"/>
        <v>12523809.52380953</v>
      </c>
      <c r="Z63" s="433">
        <f>+W$24*Y63+X63</f>
        <v>2343403.8655611495</v>
      </c>
      <c r="AA63" s="447">
        <f>+AA62</f>
        <v>16400000</v>
      </c>
      <c r="AB63" s="444">
        <f>+AB62</f>
        <v>1200000</v>
      </c>
      <c r="AC63" s="444">
        <f t="shared" si="9"/>
        <v>15200000</v>
      </c>
      <c r="AD63" s="433">
        <f>+AA$24*AC63+AB63</f>
        <v>3350625.5280879033</v>
      </c>
      <c r="AE63" s="447">
        <f>+AE62</f>
        <v>12499999.999999998</v>
      </c>
      <c r="AF63" s="444">
        <f>+AF62</f>
        <v>666666.66666666663</v>
      </c>
      <c r="AG63" s="444">
        <f t="shared" si="10"/>
        <v>11833333.333333332</v>
      </c>
      <c r="AH63" s="433">
        <f>+AE$24*AG63+AF63</f>
        <v>3576339.2775409333</v>
      </c>
      <c r="AI63" s="463">
        <f t="shared" si="1"/>
        <v>0</v>
      </c>
      <c r="AJ63" s="446">
        <f>+AI63</f>
        <v>0</v>
      </c>
      <c r="AK63" s="372"/>
    </row>
    <row r="64" spans="1:37" ht="13">
      <c r="A64" s="374" t="str">
        <f t="shared" si="2"/>
        <v>FCR @ 11.3 ROE</v>
      </c>
      <c r="B64" s="443">
        <f t="shared" si="3"/>
        <v>2023</v>
      </c>
      <c r="C64" s="444">
        <f>+E63</f>
        <v>0</v>
      </c>
      <c r="D64" s="444">
        <f>+C$26</f>
        <v>0</v>
      </c>
      <c r="E64" s="444">
        <f t="shared" si="0"/>
        <v>0</v>
      </c>
      <c r="F64" s="433">
        <f>+C$23*E64+D64</f>
        <v>0</v>
      </c>
      <c r="G64" s="444">
        <f>+I63</f>
        <v>0</v>
      </c>
      <c r="H64" s="444">
        <f>+G$26</f>
        <v>0</v>
      </c>
      <c r="I64" s="444">
        <f t="shared" si="4"/>
        <v>0</v>
      </c>
      <c r="J64" s="433">
        <f>+G$23*I64+H64</f>
        <v>0</v>
      </c>
      <c r="K64" s="447">
        <f>+M63</f>
        <v>19375000</v>
      </c>
      <c r="L64" s="444">
        <f>+K$26</f>
        <v>750000</v>
      </c>
      <c r="M64" s="444">
        <f t="shared" si="5"/>
        <v>18625000</v>
      </c>
      <c r="N64" s="433">
        <f>+K$23*M64+L64</f>
        <v>5247079.2420282448</v>
      </c>
      <c r="O64" s="447">
        <f>+Q63</f>
        <v>12583333.333333332</v>
      </c>
      <c r="P64" s="444">
        <f>+O$26</f>
        <v>500000</v>
      </c>
      <c r="Q64" s="444">
        <f t="shared" si="6"/>
        <v>12083333.333333332</v>
      </c>
      <c r="R64" s="433">
        <f>+O$23*Q64+P64</f>
        <v>3417568.1883404716</v>
      </c>
      <c r="S64" s="447">
        <f>+U63</f>
        <v>19750000</v>
      </c>
      <c r="T64" s="444">
        <f>+S$26</f>
        <v>750000</v>
      </c>
      <c r="U64" s="444">
        <f t="shared" si="7"/>
        <v>19000000</v>
      </c>
      <c r="V64" s="433">
        <f>+S$23*U64+T64</f>
        <v>5337624.4616663978</v>
      </c>
      <c r="W64" s="447">
        <f>+Y63</f>
        <v>12523809.52380953</v>
      </c>
      <c r="X64" s="444">
        <f>+W$26</f>
        <v>571428.57142857148</v>
      </c>
      <c r="Y64" s="444">
        <f t="shared" si="8"/>
        <v>11952380.952380959</v>
      </c>
      <c r="Z64" s="433">
        <f>+W$23*Y64+X64</f>
        <v>2262553.2817984466</v>
      </c>
      <c r="AA64" s="447">
        <f>+AC63</f>
        <v>15200000</v>
      </c>
      <c r="AB64" s="444">
        <f>+AA$26</f>
        <v>1200000</v>
      </c>
      <c r="AC64" s="444">
        <f t="shared" si="9"/>
        <v>14000000</v>
      </c>
      <c r="AD64" s="433">
        <f>+AA$23*AC64+AB64</f>
        <v>3180839.3021862269</v>
      </c>
      <c r="AE64" s="447">
        <f>+AG63</f>
        <v>11833333.333333332</v>
      </c>
      <c r="AF64" s="444">
        <f>+AE$26</f>
        <v>666666.66666666663</v>
      </c>
      <c r="AG64" s="444">
        <f t="shared" si="10"/>
        <v>11166666.666666666</v>
      </c>
      <c r="AH64" s="433">
        <f>+AE$23*AG64+AF64</f>
        <v>3362902.0958916545</v>
      </c>
      <c r="AI64" s="463">
        <f t="shared" si="1"/>
        <v>0</v>
      </c>
      <c r="AJ64" s="188"/>
      <c r="AK64" s="445">
        <f>+AI64</f>
        <v>0</v>
      </c>
    </row>
    <row r="65" spans="1:37" ht="13">
      <c r="A65" s="374" t="str">
        <f t="shared" si="2"/>
        <v>W Increased ROE</v>
      </c>
      <c r="B65" s="443">
        <f t="shared" si="3"/>
        <v>2023</v>
      </c>
      <c r="C65" s="444">
        <f>+C64</f>
        <v>0</v>
      </c>
      <c r="D65" s="444">
        <f>+D64</f>
        <v>0</v>
      </c>
      <c r="E65" s="444">
        <f t="shared" si="0"/>
        <v>0</v>
      </c>
      <c r="F65" s="433">
        <f>+C$24*E65+D65</f>
        <v>0</v>
      </c>
      <c r="G65" s="444">
        <f>+G64</f>
        <v>0</v>
      </c>
      <c r="H65" s="444">
        <f>+H64</f>
        <v>0</v>
      </c>
      <c r="I65" s="444">
        <f t="shared" si="4"/>
        <v>0</v>
      </c>
      <c r="J65" s="433">
        <f>+G$24*I65+H65</f>
        <v>0</v>
      </c>
      <c r="K65" s="447">
        <f>+K64</f>
        <v>19375000</v>
      </c>
      <c r="L65" s="444">
        <f>+L64</f>
        <v>750000</v>
      </c>
      <c r="M65" s="444">
        <f t="shared" si="5"/>
        <v>18625000</v>
      </c>
      <c r="N65" s="433">
        <f>+K$24*M65+L65</f>
        <v>5494823.8088392578</v>
      </c>
      <c r="O65" s="447">
        <f>+O64</f>
        <v>12583333.333333332</v>
      </c>
      <c r="P65" s="444">
        <f>+P64</f>
        <v>500000</v>
      </c>
      <c r="Q65" s="444">
        <f t="shared" si="6"/>
        <v>12083333.333333332</v>
      </c>
      <c r="R65" s="433">
        <f>+O$24*Q65+P65</f>
        <v>3524720.9465435944</v>
      </c>
      <c r="S65" s="447">
        <f>+S64</f>
        <v>19750000</v>
      </c>
      <c r="T65" s="444">
        <f>+T64</f>
        <v>750000</v>
      </c>
      <c r="U65" s="444">
        <f t="shared" si="7"/>
        <v>19000000</v>
      </c>
      <c r="V65" s="433">
        <f>+S$24*U65+T65</f>
        <v>5421868.6991502317</v>
      </c>
      <c r="W65" s="447">
        <f>+W64</f>
        <v>12523809.52380953</v>
      </c>
      <c r="X65" s="444">
        <f>+X64</f>
        <v>571428.57142857148</v>
      </c>
      <c r="Y65" s="444">
        <f t="shared" si="8"/>
        <v>11952380.952380959</v>
      </c>
      <c r="Z65" s="433">
        <f>+W$24*Y65+X65</f>
        <v>2262553.2817984466</v>
      </c>
      <c r="AA65" s="447">
        <f>+AA64</f>
        <v>15200000</v>
      </c>
      <c r="AB65" s="444">
        <f>+AB64</f>
        <v>1200000</v>
      </c>
      <c r="AC65" s="444">
        <f t="shared" si="9"/>
        <v>14000000</v>
      </c>
      <c r="AD65" s="433">
        <f>+AA$24*AC65+AB65</f>
        <v>3180839.3021862269</v>
      </c>
      <c r="AE65" s="447">
        <f>+AE64</f>
        <v>11833333.333333332</v>
      </c>
      <c r="AF65" s="444">
        <f>+AF64</f>
        <v>666666.66666666663</v>
      </c>
      <c r="AG65" s="444">
        <f t="shared" si="10"/>
        <v>11166666.666666666</v>
      </c>
      <c r="AH65" s="433">
        <f>+AE$24*AG65+AF65</f>
        <v>3412414.0600268901</v>
      </c>
      <c r="AI65" s="463">
        <f t="shared" si="1"/>
        <v>0</v>
      </c>
      <c r="AJ65" s="446">
        <f>+AI65</f>
        <v>0</v>
      </c>
      <c r="AK65" s="372"/>
    </row>
    <row r="66" spans="1:37" ht="13">
      <c r="A66" s="374" t="str">
        <f t="shared" si="2"/>
        <v>FCR @ 11.3 ROE</v>
      </c>
      <c r="B66" s="443">
        <f t="shared" si="3"/>
        <v>2024</v>
      </c>
      <c r="C66" s="444">
        <f>+E65</f>
        <v>0</v>
      </c>
      <c r="D66" s="444">
        <f>+C$26</f>
        <v>0</v>
      </c>
      <c r="E66" s="444">
        <f t="shared" si="0"/>
        <v>0</v>
      </c>
      <c r="F66" s="433">
        <f>+C$23*E66+D66</f>
        <v>0</v>
      </c>
      <c r="G66" s="444">
        <f>+I65</f>
        <v>0</v>
      </c>
      <c r="H66" s="444">
        <f>+G$26</f>
        <v>0</v>
      </c>
      <c r="I66" s="444">
        <f t="shared" si="4"/>
        <v>0</v>
      </c>
      <c r="J66" s="433">
        <f>+G$23*I66+H66</f>
        <v>0</v>
      </c>
      <c r="K66" s="447">
        <f>+M65</f>
        <v>18625000</v>
      </c>
      <c r="L66" s="444">
        <f>+K$26</f>
        <v>750000</v>
      </c>
      <c r="M66" s="444">
        <f t="shared" si="5"/>
        <v>17875000</v>
      </c>
      <c r="N66" s="433">
        <f>+K$23*M66+L66</f>
        <v>5065988.8027519397</v>
      </c>
      <c r="O66" s="447">
        <f>+Q65</f>
        <v>12083333.333333332</v>
      </c>
      <c r="P66" s="444">
        <f>+O$26</f>
        <v>500000</v>
      </c>
      <c r="Q66" s="444">
        <f t="shared" si="6"/>
        <v>11583333.333333332</v>
      </c>
      <c r="R66" s="433">
        <f>+O$23*Q66+P66</f>
        <v>3296841.2288229349</v>
      </c>
      <c r="S66" s="447">
        <f>+U65</f>
        <v>19000000</v>
      </c>
      <c r="T66" s="444">
        <f>+S$26</f>
        <v>750000</v>
      </c>
      <c r="U66" s="444">
        <f t="shared" si="7"/>
        <v>18250000</v>
      </c>
      <c r="V66" s="433">
        <f>+S$23*U66+T66</f>
        <v>5156534.0223900918</v>
      </c>
      <c r="W66" s="447">
        <f>+Y65</f>
        <v>11952380.952380959</v>
      </c>
      <c r="X66" s="444">
        <f>+W$26</f>
        <v>571428.57142857148</v>
      </c>
      <c r="Y66" s="444">
        <f t="shared" si="8"/>
        <v>11380952.380952388</v>
      </c>
      <c r="Z66" s="433">
        <f>+W$23*Y66+X66</f>
        <v>2181702.6980357436</v>
      </c>
      <c r="AA66" s="447">
        <f>+AC65</f>
        <v>14000000</v>
      </c>
      <c r="AB66" s="444">
        <f>+AA$26</f>
        <v>1200000</v>
      </c>
      <c r="AC66" s="444">
        <f t="shared" si="9"/>
        <v>12800000</v>
      </c>
      <c r="AD66" s="433">
        <f>+AA$23*AC66+AB66</f>
        <v>3011053.0762845501</v>
      </c>
      <c r="AE66" s="447">
        <f>+AG65</f>
        <v>11166666.666666666</v>
      </c>
      <c r="AF66" s="444">
        <f>+AE$26</f>
        <v>666666.66666666663</v>
      </c>
      <c r="AG66" s="444">
        <f t="shared" si="10"/>
        <v>10500000</v>
      </c>
      <c r="AH66" s="433">
        <f>+AE$23*AG66+AF66</f>
        <v>3201932.8165349388</v>
      </c>
      <c r="AI66" s="463">
        <f t="shared" si="1"/>
        <v>0</v>
      </c>
      <c r="AJ66" s="188"/>
      <c r="AK66" s="445">
        <f>+AI66</f>
        <v>0</v>
      </c>
    </row>
    <row r="67" spans="1:37" ht="13">
      <c r="A67" s="374" t="str">
        <f t="shared" si="2"/>
        <v>W Increased ROE</v>
      </c>
      <c r="B67" s="443">
        <f t="shared" si="3"/>
        <v>2024</v>
      </c>
      <c r="C67" s="444">
        <f>+C66</f>
        <v>0</v>
      </c>
      <c r="D67" s="444">
        <f>+D66</f>
        <v>0</v>
      </c>
      <c r="E67" s="444">
        <f t="shared" si="0"/>
        <v>0</v>
      </c>
      <c r="F67" s="433">
        <f>+C$24*E67+D67</f>
        <v>0</v>
      </c>
      <c r="G67" s="444">
        <f>+G66</f>
        <v>0</v>
      </c>
      <c r="H67" s="444">
        <f>+H66</f>
        <v>0</v>
      </c>
      <c r="I67" s="444">
        <f t="shared" si="4"/>
        <v>0</v>
      </c>
      <c r="J67" s="433">
        <f>+G$24*I67+H67</f>
        <v>0</v>
      </c>
      <c r="K67" s="447">
        <f>+K66</f>
        <v>18625000</v>
      </c>
      <c r="L67" s="444">
        <f>+L66</f>
        <v>750000</v>
      </c>
      <c r="M67" s="444">
        <f t="shared" si="5"/>
        <v>17875000</v>
      </c>
      <c r="N67" s="433">
        <f>+K$24*M67+L67</f>
        <v>5303757.0782819726</v>
      </c>
      <c r="O67" s="447">
        <f>+O66</f>
        <v>12083333.333333332</v>
      </c>
      <c r="P67" s="444">
        <f>+P66</f>
        <v>500000</v>
      </c>
      <c r="Q67" s="444">
        <f t="shared" si="6"/>
        <v>11583333.333333332</v>
      </c>
      <c r="R67" s="433">
        <f>+O$24*Q67+P67</f>
        <v>3399560.0797900665</v>
      </c>
      <c r="S67" s="447">
        <f>+S66</f>
        <v>19000000</v>
      </c>
      <c r="T67" s="444">
        <f>+T66</f>
        <v>750000</v>
      </c>
      <c r="U67" s="444">
        <f t="shared" si="7"/>
        <v>18250000</v>
      </c>
      <c r="V67" s="433">
        <f>+S$24*U67+T67</f>
        <v>5237452.8294469332</v>
      </c>
      <c r="W67" s="447">
        <f>+W66</f>
        <v>11952380.952380959</v>
      </c>
      <c r="X67" s="444">
        <f>+X66</f>
        <v>571428.57142857148</v>
      </c>
      <c r="Y67" s="444">
        <f t="shared" si="8"/>
        <v>11380952.380952388</v>
      </c>
      <c r="Z67" s="433">
        <f>+W$24*Y67+X67</f>
        <v>2181702.6980357436</v>
      </c>
      <c r="AA67" s="447">
        <f>+AA66</f>
        <v>14000000</v>
      </c>
      <c r="AB67" s="444">
        <f>+AB66</f>
        <v>1200000</v>
      </c>
      <c r="AC67" s="444">
        <f t="shared" si="9"/>
        <v>12800000</v>
      </c>
      <c r="AD67" s="433">
        <f>+AA$24*AC67+AB67</f>
        <v>3011053.0762845501</v>
      </c>
      <c r="AE67" s="447">
        <f>+AE66</f>
        <v>11166666.666666666</v>
      </c>
      <c r="AF67" s="444">
        <f>+AF66</f>
        <v>666666.66666666663</v>
      </c>
      <c r="AG67" s="444">
        <f t="shared" si="10"/>
        <v>10500000</v>
      </c>
      <c r="AH67" s="433">
        <f>+AE$24*AG67+AF67</f>
        <v>3248488.8425128469</v>
      </c>
      <c r="AI67" s="463">
        <f t="shared" si="1"/>
        <v>0</v>
      </c>
      <c r="AJ67" s="446">
        <f>+AI67</f>
        <v>0</v>
      </c>
      <c r="AK67" s="372"/>
    </row>
    <row r="68" spans="1:37" ht="13">
      <c r="A68" s="374" t="str">
        <f t="shared" si="2"/>
        <v>FCR @ 11.3 ROE</v>
      </c>
      <c r="B68" s="443">
        <f t="shared" si="3"/>
        <v>2025</v>
      </c>
      <c r="C68" s="444">
        <f>+E67</f>
        <v>0</v>
      </c>
      <c r="D68" s="444">
        <f>+C$26</f>
        <v>0</v>
      </c>
      <c r="E68" s="444">
        <f t="shared" si="0"/>
        <v>0</v>
      </c>
      <c r="F68" s="433">
        <f>+C$23*E68+D68</f>
        <v>0</v>
      </c>
      <c r="G68" s="444">
        <f>+I67</f>
        <v>0</v>
      </c>
      <c r="H68" s="444">
        <f>+G$26</f>
        <v>0</v>
      </c>
      <c r="I68" s="444">
        <f t="shared" si="4"/>
        <v>0</v>
      </c>
      <c r="J68" s="433">
        <f>+G$23*I68+H68</f>
        <v>0</v>
      </c>
      <c r="K68" s="447">
        <f>+M67</f>
        <v>17875000</v>
      </c>
      <c r="L68" s="444">
        <f>+K$26</f>
        <v>750000</v>
      </c>
      <c r="M68" s="444">
        <f t="shared" si="5"/>
        <v>17125000</v>
      </c>
      <c r="N68" s="433">
        <f>+K$23*M68+L68</f>
        <v>4884898.3634756338</v>
      </c>
      <c r="O68" s="447">
        <f>+Q67</f>
        <v>11583333.333333332</v>
      </c>
      <c r="P68" s="444">
        <f>+O$26</f>
        <v>500000</v>
      </c>
      <c r="Q68" s="444">
        <f t="shared" si="6"/>
        <v>11083333.333333332</v>
      </c>
      <c r="R68" s="433">
        <f>+O$23*Q68+P68</f>
        <v>3176114.2693053982</v>
      </c>
      <c r="S68" s="447">
        <f>+U67</f>
        <v>18250000</v>
      </c>
      <c r="T68" s="444">
        <f>+S$26</f>
        <v>750000</v>
      </c>
      <c r="U68" s="444">
        <f t="shared" si="7"/>
        <v>17500000</v>
      </c>
      <c r="V68" s="433">
        <f>+S$23*U68+T68</f>
        <v>4975443.5831137868</v>
      </c>
      <c r="W68" s="447">
        <f>+Y67</f>
        <v>11380952.380952388</v>
      </c>
      <c r="X68" s="444">
        <f>+W$26</f>
        <v>571428.57142857148</v>
      </c>
      <c r="Y68" s="444">
        <f t="shared" si="8"/>
        <v>10809523.809523817</v>
      </c>
      <c r="Z68" s="433">
        <f>+W$23*Y68+X68</f>
        <v>2100852.1142730401</v>
      </c>
      <c r="AA68" s="447">
        <f>+AC67</f>
        <v>12800000</v>
      </c>
      <c r="AB68" s="444">
        <f>+AA$26</f>
        <v>1200000</v>
      </c>
      <c r="AC68" s="444">
        <f t="shared" si="9"/>
        <v>11600000</v>
      </c>
      <c r="AD68" s="433">
        <f>+AA$23*AC68+AB68</f>
        <v>2841266.8503828738</v>
      </c>
      <c r="AE68" s="447">
        <f>+AG67</f>
        <v>10500000</v>
      </c>
      <c r="AF68" s="444">
        <f>+AE$26</f>
        <v>666666.66666666663</v>
      </c>
      <c r="AG68" s="444">
        <f t="shared" si="10"/>
        <v>9833333.333333334</v>
      </c>
      <c r="AH68" s="433">
        <f>+AE$23*AG68+AF68</f>
        <v>3040963.537178223</v>
      </c>
      <c r="AI68" s="463">
        <f t="shared" si="1"/>
        <v>0</v>
      </c>
      <c r="AJ68" s="188"/>
      <c r="AK68" s="445">
        <f>+AI68</f>
        <v>0</v>
      </c>
    </row>
    <row r="69" spans="1:37" ht="13">
      <c r="A69" s="374" t="str">
        <f t="shared" si="2"/>
        <v>W Increased ROE</v>
      </c>
      <c r="B69" s="443">
        <f t="shared" si="3"/>
        <v>2025</v>
      </c>
      <c r="C69" s="444"/>
      <c r="D69" s="444">
        <f>+D68</f>
        <v>0</v>
      </c>
      <c r="E69" s="444">
        <f t="shared" si="0"/>
        <v>0</v>
      </c>
      <c r="F69" s="433">
        <f>+C$24*E69+D69</f>
        <v>0</v>
      </c>
      <c r="G69" s="444">
        <f>+G68</f>
        <v>0</v>
      </c>
      <c r="H69" s="444">
        <f>+H68</f>
        <v>0</v>
      </c>
      <c r="I69" s="444">
        <f t="shared" si="4"/>
        <v>0</v>
      </c>
      <c r="J69" s="433">
        <f>+G$24*I69+H69</f>
        <v>0</v>
      </c>
      <c r="K69" s="447">
        <f>+K68</f>
        <v>17875000</v>
      </c>
      <c r="L69" s="444">
        <f>+L68</f>
        <v>750000</v>
      </c>
      <c r="M69" s="444">
        <f t="shared" si="5"/>
        <v>17125000</v>
      </c>
      <c r="N69" s="433">
        <f>+K$24*M69+L69</f>
        <v>5112690.3477246864</v>
      </c>
      <c r="O69" s="447">
        <f>+O68</f>
        <v>11583333.333333332</v>
      </c>
      <c r="P69" s="444">
        <f>+P68</f>
        <v>500000</v>
      </c>
      <c r="Q69" s="444">
        <f t="shared" si="6"/>
        <v>11083333.333333332</v>
      </c>
      <c r="R69" s="433">
        <f>+O$24*Q69+P69</f>
        <v>3274399.2130365381</v>
      </c>
      <c r="S69" s="447">
        <f>+S68</f>
        <v>18250000</v>
      </c>
      <c r="T69" s="444">
        <f>+T68</f>
        <v>750000</v>
      </c>
      <c r="U69" s="444">
        <f t="shared" si="7"/>
        <v>17500000</v>
      </c>
      <c r="V69" s="433">
        <f>+S$24*U69+T69</f>
        <v>5053036.9597436339</v>
      </c>
      <c r="W69" s="447">
        <f>+W68</f>
        <v>11380952.380952388</v>
      </c>
      <c r="X69" s="444">
        <f>+X68</f>
        <v>571428.57142857148</v>
      </c>
      <c r="Y69" s="444">
        <f t="shared" si="8"/>
        <v>10809523.809523817</v>
      </c>
      <c r="Z69" s="433">
        <f>+W$24*Y69+X69</f>
        <v>2100852.1142730401</v>
      </c>
      <c r="AA69" s="447">
        <f>+AA68</f>
        <v>12800000</v>
      </c>
      <c r="AB69" s="444">
        <f>+AB68</f>
        <v>1200000</v>
      </c>
      <c r="AC69" s="444">
        <f t="shared" si="9"/>
        <v>11600000</v>
      </c>
      <c r="AD69" s="433">
        <f>+AA$24*AC69+AB69</f>
        <v>2841266.8503828738</v>
      </c>
      <c r="AE69" s="447">
        <f>+AE68</f>
        <v>10500000</v>
      </c>
      <c r="AF69" s="444">
        <f>+AF68</f>
        <v>666666.66666666663</v>
      </c>
      <c r="AG69" s="444">
        <f t="shared" si="10"/>
        <v>9833333.333333334</v>
      </c>
      <c r="AH69" s="433">
        <f>+AE$24*AG69+AF69</f>
        <v>3084563.6249988042</v>
      </c>
      <c r="AI69" s="463">
        <f t="shared" si="1"/>
        <v>0</v>
      </c>
      <c r="AJ69" s="446">
        <f>+AI69</f>
        <v>0</v>
      </c>
      <c r="AK69" s="372"/>
    </row>
    <row r="70" spans="1:37" ht="13">
      <c r="A70" s="374"/>
      <c r="B70" s="449" t="s">
        <v>306</v>
      </c>
      <c r="C70" s="450"/>
      <c r="D70" s="450" t="s">
        <v>306</v>
      </c>
      <c r="E70" s="450" t="s">
        <v>307</v>
      </c>
      <c r="F70" s="451" t="s">
        <v>306</v>
      </c>
      <c r="G70" s="450" t="s">
        <v>306</v>
      </c>
      <c r="H70" s="450" t="s">
        <v>306</v>
      </c>
      <c r="I70" s="450" t="s">
        <v>307</v>
      </c>
      <c r="J70" s="451" t="s">
        <v>306</v>
      </c>
      <c r="K70" s="450" t="s">
        <v>306</v>
      </c>
      <c r="L70" s="450" t="s">
        <v>306</v>
      </c>
      <c r="M70" s="450" t="s">
        <v>307</v>
      </c>
      <c r="N70" s="451" t="s">
        <v>306</v>
      </c>
      <c r="O70" s="450" t="s">
        <v>306</v>
      </c>
      <c r="P70" s="450" t="s">
        <v>306</v>
      </c>
      <c r="Q70" s="450" t="s">
        <v>307</v>
      </c>
      <c r="R70" s="451" t="s">
        <v>306</v>
      </c>
      <c r="S70" s="450" t="s">
        <v>306</v>
      </c>
      <c r="T70" s="450" t="s">
        <v>306</v>
      </c>
      <c r="U70" s="450" t="s">
        <v>307</v>
      </c>
      <c r="V70" s="451" t="s">
        <v>306</v>
      </c>
      <c r="W70" s="450" t="s">
        <v>306</v>
      </c>
      <c r="X70" s="450" t="s">
        <v>306</v>
      </c>
      <c r="Y70" s="450" t="s">
        <v>307</v>
      </c>
      <c r="Z70" s="451" t="s">
        <v>306</v>
      </c>
      <c r="AA70" s="450" t="s">
        <v>306</v>
      </c>
      <c r="AB70" s="450" t="s">
        <v>306</v>
      </c>
      <c r="AC70" s="450" t="s">
        <v>307</v>
      </c>
      <c r="AD70" s="451" t="s">
        <v>306</v>
      </c>
      <c r="AE70" s="450" t="s">
        <v>306</v>
      </c>
      <c r="AF70" s="450" t="s">
        <v>306</v>
      </c>
      <c r="AG70" s="450" t="s">
        <v>307</v>
      </c>
      <c r="AH70" s="451" t="s">
        <v>306</v>
      </c>
      <c r="AI70" s="463"/>
      <c r="AJ70" s="188"/>
      <c r="AK70" s="445">
        <f>+AI70</f>
        <v>0</v>
      </c>
    </row>
    <row r="71" spans="1:37" ht="13.5" thickBot="1">
      <c r="A71" s="374"/>
      <c r="B71" s="453" t="s">
        <v>306</v>
      </c>
      <c r="C71" s="454" t="s">
        <v>306</v>
      </c>
      <c r="D71" s="454" t="s">
        <v>307</v>
      </c>
      <c r="E71" s="454" t="s">
        <v>307</v>
      </c>
      <c r="F71" s="455" t="s">
        <v>306</v>
      </c>
      <c r="G71" s="454" t="s">
        <v>306</v>
      </c>
      <c r="H71" s="454" t="s">
        <v>307</v>
      </c>
      <c r="I71" s="454" t="s">
        <v>307</v>
      </c>
      <c r="J71" s="455" t="s">
        <v>306</v>
      </c>
      <c r="K71" s="454" t="s">
        <v>306</v>
      </c>
      <c r="L71" s="454" t="s">
        <v>307</v>
      </c>
      <c r="M71" s="454" t="s">
        <v>307</v>
      </c>
      <c r="N71" s="455" t="s">
        <v>306</v>
      </c>
      <c r="O71" s="454" t="s">
        <v>306</v>
      </c>
      <c r="P71" s="454" t="s">
        <v>307</v>
      </c>
      <c r="Q71" s="454" t="s">
        <v>307</v>
      </c>
      <c r="R71" s="455" t="s">
        <v>306</v>
      </c>
      <c r="S71" s="454" t="s">
        <v>306</v>
      </c>
      <c r="T71" s="454" t="s">
        <v>307</v>
      </c>
      <c r="U71" s="454" t="s">
        <v>307</v>
      </c>
      <c r="V71" s="455" t="s">
        <v>306</v>
      </c>
      <c r="W71" s="454" t="s">
        <v>306</v>
      </c>
      <c r="X71" s="454" t="s">
        <v>307</v>
      </c>
      <c r="Y71" s="454" t="s">
        <v>307</v>
      </c>
      <c r="Z71" s="455" t="s">
        <v>306</v>
      </c>
      <c r="AA71" s="454" t="s">
        <v>306</v>
      </c>
      <c r="AB71" s="454" t="s">
        <v>307</v>
      </c>
      <c r="AC71" s="454" t="s">
        <v>307</v>
      </c>
      <c r="AD71" s="455" t="s">
        <v>306</v>
      </c>
      <c r="AE71" s="454" t="s">
        <v>306</v>
      </c>
      <c r="AF71" s="454" t="s">
        <v>307</v>
      </c>
      <c r="AG71" s="454" t="s">
        <v>307</v>
      </c>
      <c r="AH71" s="455" t="s">
        <v>306</v>
      </c>
      <c r="AI71" s="464"/>
      <c r="AJ71" s="456">
        <f>+AI71</f>
        <v>0</v>
      </c>
      <c r="AK71" s="379"/>
    </row>
    <row r="72" spans="1:37" ht="13">
      <c r="A72" s="186"/>
      <c r="B72" s="457"/>
      <c r="C72" s="186"/>
      <c r="D72" s="186"/>
      <c r="E72" s="186"/>
      <c r="F72" s="458"/>
      <c r="G72" s="186"/>
      <c r="H72" s="186"/>
      <c r="I72" s="186"/>
      <c r="J72" s="458"/>
      <c r="K72" s="186"/>
      <c r="L72" s="186"/>
      <c r="M72" s="186"/>
      <c r="N72" s="186"/>
      <c r="O72" s="186"/>
      <c r="P72" s="186"/>
      <c r="Q72" s="186"/>
      <c r="R72" s="186"/>
      <c r="S72" s="186"/>
      <c r="T72" s="186"/>
      <c r="U72" s="186"/>
      <c r="V72" s="186"/>
      <c r="W72" s="186"/>
      <c r="X72" s="186"/>
      <c r="Y72" s="186"/>
      <c r="Z72" s="186"/>
      <c r="AA72" s="186"/>
      <c r="AB72" s="186"/>
      <c r="AC72" s="186"/>
      <c r="AD72" s="186"/>
      <c r="AE72" s="186"/>
      <c r="AF72" s="186"/>
      <c r="AG72" s="186"/>
      <c r="AH72" s="186"/>
      <c r="AI72" s="186"/>
      <c r="AJ72" s="459">
        <f>SUM(AJ30:AJ69)</f>
        <v>0</v>
      </c>
      <c r="AK72" s="459">
        <f>SUM(AK30:AK69)</f>
        <v>0</v>
      </c>
    </row>
    <row r="73" ht="12.5"/>
    <row r="74" spans="36:36" ht="12.5">
      <c r="AJ74" s="216"/>
    </row>
    <row r="75" ht="12.5"/>
    <row r="76" ht="12.5"/>
    <row r="77" ht="12.5"/>
    <row r="78" ht="12.5"/>
    <row r="79" ht="12.5"/>
    <row r="80" ht="12.5"/>
    <row r="81" ht="12.5"/>
    <row r="82" ht="12.5"/>
    <row r="83" ht="12.5"/>
    <row r="84" ht="12.5"/>
    <row r="85" ht="12.5"/>
    <row r="86" ht="12.5"/>
    <row r="87" ht="12.5"/>
    <row r="88" ht="12.5"/>
    <row r="89" ht="12.5"/>
    <row r="90" ht="12.5"/>
    <row r="91" ht="12.5"/>
    <row r="92" ht="12.5"/>
    <row r="93" ht="12.5"/>
    <row r="94" ht="12.5"/>
    <row r="95" ht="12.5"/>
    <row r="96" ht="12.5"/>
    <row r="97" ht="12.5"/>
    <row r="98" ht="12.5"/>
    <row r="99" ht="12.5"/>
    <row r="100" ht="12.5"/>
    <row r="101" ht="12.5"/>
    <row r="102" ht="12.5"/>
    <row r="103" ht="12.5"/>
    <row r="104" ht="12.5"/>
    <row r="105" ht="12.5"/>
    <row r="106" ht="12.5"/>
    <row r="107" ht="12.5"/>
    <row r="108" ht="12.5"/>
    <row r="109" ht="12.5"/>
    <row r="110" ht="12.5"/>
    <row r="111" ht="12.5"/>
    <row r="112" ht="12.5"/>
    <row r="113" ht="12.5"/>
    <row r="114" ht="12.5"/>
    <row r="115" ht="12.5"/>
    <row r="116" ht="12.5"/>
    <row r="117" ht="12.5"/>
    <row r="118" ht="12.5"/>
    <row r="119" ht="12.5"/>
    <row r="120" ht="12.5"/>
    <row r="121" ht="12.5"/>
    <row r="122" ht="12.5"/>
    <row r="123" ht="12.5"/>
    <row r="124" ht="12.5"/>
    <row r="125" ht="12.5"/>
    <row r="126" ht="12.5"/>
    <row r="127" ht="12.5"/>
    <row r="128" ht="12.5"/>
    <row r="129" ht="12.5"/>
    <row r="130" ht="12.5"/>
    <row r="131" ht="12.5"/>
    <row r="132" ht="12.5"/>
    <row r="133" ht="12.5"/>
    <row r="134" ht="12.5"/>
    <row r="135" ht="12.5"/>
    <row r="136" ht="12.5"/>
    <row r="137" ht="12.5"/>
    <row r="138" ht="12.5"/>
    <row r="139" ht="12.5"/>
    <row r="140" ht="12.5"/>
    <row r="141" ht="12.5"/>
    <row r="142" ht="12.5"/>
    <row r="143" ht="12.5"/>
    <row r="144" ht="12.5"/>
    <row r="145" ht="12.5"/>
    <row r="146" ht="12.5"/>
    <row r="147" ht="12.5"/>
    <row r="148" ht="12.5"/>
    <row r="149" ht="12.5"/>
    <row r="150" ht="12.5"/>
    <row r="151" ht="12.5"/>
    <row r="152" ht="12.5"/>
    <row r="153" ht="12.5"/>
    <row r="154" ht="12.5"/>
    <row r="155" ht="12.5"/>
    <row r="156" ht="12.5"/>
    <row r="157" ht="12.5"/>
    <row r="158" ht="12.5"/>
    <row r="159" ht="12.5"/>
    <row r="160" ht="12.5"/>
    <row r="161" ht="12.5"/>
    <row r="162" ht="12.5"/>
    <row r="163" ht="12.5"/>
    <row r="164" ht="12.5"/>
    <row r="165" ht="12.5"/>
    <row r="166" ht="12.5"/>
    <row r="167" ht="12.5"/>
    <row r="168" ht="12.5"/>
    <row r="169" ht="12.5"/>
    <row r="170" ht="12.5"/>
    <row r="171" ht="12.5"/>
    <row r="172" ht="12.5"/>
    <row r="173" ht="12.5"/>
    <row r="174" ht="12.5"/>
    <row r="175" ht="12.5"/>
    <row r="176" ht="12.5"/>
    <row r="177" ht="12.5"/>
    <row r="178" ht="12.5"/>
    <row r="179" ht="12.5"/>
    <row r="180" ht="12.5"/>
    <row r="181" ht="12.5"/>
    <row r="182" ht="12.5"/>
    <row r="183" ht="12.5"/>
    <row r="184" ht="12.5"/>
    <row r="185" ht="12.5"/>
    <row r="186" ht="12.5"/>
    <row r="187" ht="12.5"/>
    <row r="188" ht="12.5"/>
    <row r="189" ht="12.5"/>
    <row r="190" ht="12.5"/>
    <row r="191" ht="12.5"/>
    <row r="192" ht="12.5"/>
    <row r="193" ht="12.5"/>
    <row r="194" ht="12.5"/>
    <row r="195" ht="12.5"/>
    <row r="196" ht="12.5"/>
    <row r="197" ht="12.5"/>
    <row r="198" ht="12.5"/>
    <row r="199" ht="12.5"/>
    <row r="200" ht="12.5"/>
    <row r="201" ht="12.5"/>
    <row r="202" ht="12.5"/>
    <row r="203" ht="12.5"/>
    <row r="204" ht="12.5"/>
    <row r="205" ht="12.5"/>
    <row r="206" ht="12.5"/>
    <row r="207" ht="12.5"/>
    <row r="208" ht="12.5"/>
    <row r="209" ht="12.5"/>
    <row r="210" ht="12.5"/>
    <row r="211" ht="12.5"/>
    <row r="212" ht="12.5"/>
    <row r="213" ht="12.5"/>
    <row r="214" ht="12.5"/>
    <row r="215" ht="12.5"/>
    <row r="216" ht="12.5"/>
    <row r="217" ht="12.5"/>
    <row r="218" ht="12.5"/>
    <row r="219" ht="12.5"/>
    <row r="220" ht="12.5"/>
    <row r="221" ht="12.5"/>
    <row r="222" ht="12.5"/>
    <row r="223" ht="12.5"/>
    <row r="224" ht="12.5"/>
    <row r="225" ht="12.5"/>
    <row r="226" ht="12.5"/>
    <row r="227" ht="12.5"/>
    <row r="228" ht="12.5"/>
    <row r="229" ht="12.5"/>
    <row r="230" ht="12.5"/>
    <row r="231" ht="12.5"/>
    <row r="232" ht="12.5"/>
    <row r="233" ht="12.5"/>
    <row r="234" ht="12.5"/>
    <row r="235" ht="12.5"/>
    <row r="236" ht="12.5"/>
    <row r="237" ht="12.5"/>
    <row r="238" ht="12.5"/>
    <row r="239" ht="12.5"/>
    <row r="240" ht="12.5"/>
    <row r="241" ht="12.5"/>
    <row r="242" ht="12.5"/>
    <row r="243" ht="12.5"/>
    <row r="244" ht="12.5"/>
    <row r="245" ht="12.5"/>
    <row r="246" ht="12.5"/>
    <row r="247" ht="12.5"/>
    <row r="248" ht="12.5"/>
    <row r="249" ht="12.5"/>
    <row r="250" ht="12.5"/>
    <row r="251" ht="12.5"/>
    <row r="252" ht="12.5"/>
    <row r="253" ht="12.5"/>
    <row r="254" ht="12.5"/>
    <row r="255" ht="12.5"/>
    <row r="256" ht="12.5"/>
    <row r="257" ht="12.5"/>
    <row r="258" ht="12.5"/>
    <row r="259" ht="12.5"/>
    <row r="260" ht="12.5"/>
    <row r="261" ht="12.5"/>
    <row r="262" ht="12.5"/>
    <row r="263" ht="12.5"/>
    <row r="264" ht="12.5"/>
    <row r="265" ht="12.5"/>
    <row r="266" ht="12.5"/>
    <row r="267" ht="12.5"/>
    <row r="268" ht="12.5"/>
    <row r="269" ht="12.5"/>
    <row r="270" ht="12.5"/>
    <row r="271" ht="12.5"/>
    <row r="272" ht="12.5"/>
    <row r="273" ht="12.5"/>
    <row r="274" ht="12.5"/>
    <row r="275" ht="12.5"/>
    <row r="276" ht="12.5"/>
    <row r="277" ht="12.5"/>
    <row r="278" ht="12.5"/>
    <row r="279" ht="12.5"/>
    <row r="280" ht="12.5"/>
    <row r="281" ht="12.5"/>
    <row r="282" ht="12.5"/>
    <row r="283" ht="12.5"/>
    <row r="284" ht="12.5"/>
    <row r="285" ht="12.5"/>
    <row r="286" ht="12.5"/>
    <row r="287" ht="12.5"/>
    <row r="288" ht="12.5"/>
    <row r="289" ht="12.5"/>
    <row r="290" ht="12.5"/>
    <row r="291" ht="12.5"/>
    <row r="292" ht="12.5"/>
    <row r="293" ht="12.5"/>
    <row r="294" ht="12.5"/>
    <row r="295" ht="12.5"/>
    <row r="296" ht="12.5"/>
    <row r="297" ht="12.5"/>
    <row r="298" ht="12.5"/>
    <row r="299" ht="12.5"/>
    <row r="300" ht="12.5"/>
    <row r="301" ht="12.5"/>
    <row r="302" ht="12.5"/>
    <row r="303" ht="12.5"/>
    <row r="304" spans="1:6" ht="12.5">
      <c r="A304" s="472"/>
      <c r="B304" s="471"/>
      <c r="C304" s="472"/>
      <c r="D304" s="472"/>
      <c r="E304" s="472"/>
      <c r="F304" s="667"/>
    </row>
    <row r="305" spans="1:6" ht="12.5">
      <c r="A305" s="472"/>
      <c r="B305" s="471"/>
      <c r="C305" s="472"/>
      <c r="D305" s="472"/>
      <c r="E305" s="472"/>
      <c r="F305" s="667"/>
    </row>
    <row r="306" spans="1:6" ht="12.5">
      <c r="A306" s="472"/>
      <c r="B306" s="471"/>
      <c r="C306" s="472"/>
      <c r="D306" s="472"/>
      <c r="E306" s="472"/>
      <c r="F306" s="667"/>
    </row>
    <row r="307" spans="1:6" ht="12.5">
      <c r="A307" s="472"/>
      <c r="B307" s="471"/>
      <c r="C307" s="472"/>
      <c r="D307" s="472"/>
      <c r="E307" s="472"/>
      <c r="F307" s="667"/>
    </row>
    <row r="308" spans="1:6" ht="12.5">
      <c r="A308" s="472"/>
      <c r="B308" s="471"/>
      <c r="C308" s="472"/>
      <c r="D308" s="472"/>
      <c r="E308" s="472"/>
      <c r="F308" s="667"/>
    </row>
    <row r="309" spans="1:6" ht="12.5">
      <c r="A309" s="472"/>
      <c r="B309" s="471"/>
      <c r="C309" s="472"/>
      <c r="D309" s="472"/>
      <c r="E309" s="472"/>
      <c r="F309" s="667"/>
    </row>
    <row r="310" spans="1:6" ht="12.5">
      <c r="A310" s="472"/>
      <c r="B310" s="471"/>
      <c r="C310" s="472"/>
      <c r="D310" s="472"/>
      <c r="E310" s="472"/>
      <c r="F310" s="667"/>
    </row>
    <row r="311" spans="1:6" ht="12.5">
      <c r="A311" s="472"/>
      <c r="B311" s="471"/>
      <c r="C311" s="472"/>
      <c r="D311" s="472"/>
      <c r="E311" s="472"/>
      <c r="F311" s="667"/>
    </row>
    <row r="312" spans="1:6" ht="12.5">
      <c r="A312" s="472"/>
      <c r="B312" s="471"/>
      <c r="C312" s="472"/>
      <c r="D312" s="472"/>
      <c r="E312" s="472"/>
      <c r="F312" s="667"/>
    </row>
  </sheetData>
  <mergeCells count="4">
    <mergeCell ref="A3:AK3"/>
    <mergeCell ref="A1:AK1"/>
    <mergeCell ref="C18:F18"/>
    <mergeCell ref="G18:J18"/>
  </mergeCells>
  <printOptions horizontalCentered="1"/>
  <pageMargins left="0.25" right="0.25" top="0.25" bottom="0.25" header="0.5" footer="0.24"/>
  <pageSetup orientation="landscape" scale="59" r:id="rId1"/>
  <headerFooter alignWithMargins="0">
    <oddHeader>&amp;R&amp;12Page &amp;P of &amp;N</oddHeader>
    <oddFooter xml:space="preserve">&amp;CPage &amp;P of 17 </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H45"/>
  <sheetViews>
    <sheetView zoomScale="75" zoomScaleNormal="75" workbookViewId="0" topLeftCell="A1">
      <selection pane="topLeft" activeCell="D31" sqref="D31"/>
    </sheetView>
  </sheetViews>
  <sheetFormatPr defaultRowHeight="12.5"/>
  <cols>
    <col min="2" max="2" width="1.42857142857143" customWidth="1"/>
    <col min="3" max="3" width="2.28571428571429" customWidth="1"/>
    <col min="4" max="4" width="43.4285714285714" customWidth="1"/>
    <col min="5" max="5" width="19.7142857142857" customWidth="1"/>
    <col min="6" max="6" width="19.4285714285714" customWidth="1"/>
    <col min="7" max="7" width="20.5714285714286" bestFit="1" customWidth="1"/>
  </cols>
  <sheetData>
    <row r="1" spans="1:6" ht="18">
      <c r="A1" s="957" t="str">
        <f>+'ATT H'!A4</f>
        <v>UGI Utilities, Inc.</v>
      </c>
      <c r="B1" s="957"/>
      <c r="C1" s="957"/>
      <c r="D1" s="957"/>
      <c r="E1" s="957"/>
      <c r="F1" s="957"/>
    </row>
    <row r="2" spans="1:1" ht="13">
      <c r="A2" s="199"/>
    </row>
    <row r="3" spans="1:6" ht="15.5">
      <c r="A3" s="959" t="s">
        <v>41</v>
      </c>
      <c r="B3" s="1019"/>
      <c r="C3" s="1019"/>
      <c r="D3" s="1019"/>
      <c r="E3" s="1019"/>
      <c r="F3" s="1019"/>
    </row>
    <row r="4" spans="2:4" ht="12.5">
      <c r="B4" s="108"/>
      <c r="C4" s="171"/>
      <c r="D4" s="171"/>
    </row>
    <row r="5" spans="1:1" ht="12.5">
      <c r="A5" s="108"/>
    </row>
    <row r="6" spans="5:5" ht="13">
      <c r="E6" s="204"/>
    </row>
    <row r="7" ht="12.5"/>
    <row r="8" spans="2:8" ht="12.5">
      <c r="B8" s="2"/>
      <c r="C8" s="2"/>
      <c r="D8" s="2"/>
      <c r="E8" s="2"/>
      <c r="F8" s="2"/>
      <c r="G8" s="2"/>
      <c r="H8" s="2"/>
    </row>
    <row r="9" spans="2:8" ht="13">
      <c r="B9" s="205"/>
      <c r="C9" s="205"/>
      <c r="D9" s="205"/>
      <c r="E9" s="205"/>
      <c r="F9" s="205"/>
      <c r="G9" s="205"/>
      <c r="H9" s="2"/>
    </row>
    <row r="10" spans="2:8" ht="12.5">
      <c r="B10" s="2"/>
      <c r="C10" s="2"/>
      <c r="D10" s="2"/>
      <c r="E10" s="2"/>
      <c r="F10" s="2"/>
      <c r="G10" s="2"/>
      <c r="H10" s="2"/>
    </row>
    <row r="11" ht="12.5"/>
    <row r="12" spans="1:1" ht="12.5">
      <c r="A12" t="s">
        <v>276</v>
      </c>
    </row>
    <row r="13" spans="3:3" ht="12.5">
      <c r="C13" t="s">
        <v>62</v>
      </c>
    </row>
    <row r="14" spans="1:6" ht="13">
      <c r="A14" s="199">
        <f>+'ATT H'!A171</f>
        <v>100</v>
      </c>
      <c r="B14" s="199">
        <f>+'ATT H'!B171</f>
        <v>0</v>
      </c>
      <c r="C14" s="199" t="str">
        <f>+'ATT H'!C171</f>
        <v xml:space="preserve">    Less LTD Interest on Securitization Bonds</v>
      </c>
      <c r="D14" s="199"/>
      <c r="E14" s="168">
        <v>0</v>
      </c>
      <c r="F14" s="199"/>
    </row>
    <row r="15" ht="12.5"/>
    <row r="16" ht="12.5"/>
    <row r="17" spans="3:3" ht="12.5">
      <c r="C17" t="s">
        <v>132</v>
      </c>
    </row>
    <row r="18" spans="1:6" ht="13">
      <c r="A18" s="199">
        <f>+'ATT H'!A188</f>
        <v>111</v>
      </c>
      <c r="C18" s="199" t="str">
        <f>+'ATT H'!C188</f>
        <v xml:space="preserve">      Less LTD on Securitization Bonds</v>
      </c>
      <c r="D18" s="199"/>
      <c r="E18" s="168">
        <v>0</v>
      </c>
      <c r="F18" s="199"/>
    </row>
    <row r="19" ht="12.5"/>
    <row r="20" ht="12.5"/>
    <row r="21" spans="3:5" ht="12.5">
      <c r="C21" s="2" t="s">
        <v>443</v>
      </c>
      <c r="D21" s="2"/>
      <c r="E21" s="2"/>
    </row>
    <row r="22" spans="4:6" ht="12.5">
      <c r="D22" s="511"/>
      <c r="E22" s="511"/>
      <c r="F22" s="511"/>
    </row>
    <row r="23" spans="4:6" ht="12.5">
      <c r="D23" s="511"/>
      <c r="E23" s="511"/>
      <c r="F23" s="511"/>
    </row>
    <row r="24" spans="4:6" ht="12.5">
      <c r="D24" s="511"/>
      <c r="E24" s="511"/>
      <c r="F24" s="511"/>
    </row>
    <row r="25" spans="4:6" ht="12.5">
      <c r="D25" s="511"/>
      <c r="E25" s="511"/>
      <c r="F25" s="511"/>
    </row>
    <row r="26" spans="4:6" ht="12.5">
      <c r="D26" s="511"/>
      <c r="E26" s="511"/>
      <c r="F26" s="511"/>
    </row>
    <row r="27" spans="4:6" ht="12.5">
      <c r="D27" s="511"/>
      <c r="E27" s="511"/>
      <c r="F27" s="511"/>
    </row>
    <row r="28" spans="4:6" ht="12.5">
      <c r="D28" s="511"/>
      <c r="E28" s="511"/>
      <c r="F28" s="511"/>
    </row>
    <row r="29" spans="4:6" ht="12.5">
      <c r="D29" s="511"/>
      <c r="E29" s="511"/>
      <c r="F29" s="511"/>
    </row>
    <row r="30" spans="4:6" ht="12.5">
      <c r="D30" s="511"/>
      <c r="E30" s="511"/>
      <c r="F30" s="511"/>
    </row>
    <row r="31" spans="4:6" ht="12.5">
      <c r="D31" s="511"/>
      <c r="E31" s="511"/>
      <c r="F31" s="511"/>
    </row>
    <row r="32" spans="4:6" ht="12.5">
      <c r="D32" s="511"/>
      <c r="E32" s="511"/>
      <c r="F32" s="511"/>
    </row>
    <row r="33" spans="4:6" ht="12.5">
      <c r="D33" s="511"/>
      <c r="E33" s="511"/>
      <c r="F33" s="511"/>
    </row>
    <row r="34" spans="4:6" ht="12.5">
      <c r="D34" s="511"/>
      <c r="E34" s="511"/>
      <c r="F34" s="511"/>
    </row>
    <row r="35" spans="4:6" ht="12.5">
      <c r="D35" s="511"/>
      <c r="E35" s="511"/>
      <c r="F35" s="511"/>
    </row>
    <row r="36" spans="4:6" ht="12.5">
      <c r="D36" s="511"/>
      <c r="E36" s="511"/>
      <c r="F36" s="511"/>
    </row>
    <row r="37" spans="4:6" ht="12.5">
      <c r="D37" s="511"/>
      <c r="E37" s="511"/>
      <c r="F37" s="511"/>
    </row>
    <row r="38" spans="4:6" ht="12.5">
      <c r="D38" s="511"/>
      <c r="E38" s="511"/>
      <c r="F38" s="511"/>
    </row>
    <row r="39" spans="4:6" ht="12.5">
      <c r="D39" s="511"/>
      <c r="E39" s="511"/>
      <c r="F39" s="511"/>
    </row>
    <row r="40" spans="4:6" ht="12.5">
      <c r="D40" s="511"/>
      <c r="E40" s="511"/>
      <c r="F40" s="511"/>
    </row>
    <row r="41" spans="4:6" ht="12.5">
      <c r="D41" s="511"/>
      <c r="E41" s="511"/>
      <c r="F41" s="511"/>
    </row>
    <row r="42" spans="4:6" ht="12.5">
      <c r="D42" s="511"/>
      <c r="E42" s="511"/>
      <c r="F42" s="511"/>
    </row>
    <row r="43" spans="4:6" ht="12.5">
      <c r="D43" s="511"/>
      <c r="E43" s="511"/>
      <c r="F43" s="511"/>
    </row>
    <row r="44" spans="4:6" ht="12.5">
      <c r="D44" s="511"/>
      <c r="E44" s="511"/>
      <c r="F44" s="511"/>
    </row>
    <row r="45" spans="4:6" ht="12.5">
      <c r="D45" s="511"/>
      <c r="E45" s="511"/>
      <c r="F45" s="511"/>
    </row>
  </sheetData>
  <mergeCells count="2">
    <mergeCell ref="A3:F3"/>
    <mergeCell ref="A1:F1"/>
  </mergeCells>
  <pageMargins left="0.75" right="0.75" top="1" bottom="1" header="0.5" footer="0.5"/>
  <pageSetup orientation="portrait" scale="95" r:id="rId1"/>
  <headerFooter alignWithMargins="0">
    <oddFooter>&amp;CPage &amp;P of 17</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pageSetUpPr fitToPage="1"/>
  </sheetPr>
  <dimension ref="A1:AO314"/>
  <sheetViews>
    <sheetView tabSelected="1" zoomScale="75" zoomScaleNormal="75" workbookViewId="0" topLeftCell="A19">
      <selection pane="topLeft" activeCell="A1" sqref="A1:AO1"/>
    </sheetView>
  </sheetViews>
  <sheetFormatPr defaultRowHeight="12.5"/>
  <cols>
    <col min="1" max="1" width="15.1428571428571" customWidth="1"/>
    <col min="2" max="2" width="13" style="171" customWidth="1"/>
    <col min="3" max="3" width="13.4285714285714" customWidth="1"/>
    <col min="4" max="4" width="11" bestFit="1" customWidth="1"/>
    <col min="5" max="5" width="10.8571428571429" bestFit="1" customWidth="1"/>
    <col min="6" max="6" width="9.42857142857143" style="215" bestFit="1" customWidth="1"/>
    <col min="7" max="7" width="11" bestFit="1" customWidth="1"/>
    <col min="8" max="9" width="10.8571428571429" bestFit="1" customWidth="1"/>
    <col min="10" max="10" width="9.28571428571429" style="215" bestFit="1" customWidth="1"/>
    <col min="11" max="12" width="11" bestFit="1" customWidth="1"/>
    <col min="13" max="13" width="10.7142857142857" bestFit="1" customWidth="1"/>
    <col min="14" max="14" width="9.28571428571429" bestFit="1" customWidth="1"/>
    <col min="15" max="15" width="12" customWidth="1"/>
    <col min="16" max="16" width="12.5714285714286" customWidth="1"/>
    <col min="17" max="17" width="11.2857142857143" customWidth="1"/>
    <col min="18" max="18" width="10.2857142857143" customWidth="1"/>
    <col min="19" max="19" width="12" customWidth="1"/>
    <col min="20" max="20" width="12.5714285714286" customWidth="1"/>
    <col min="21" max="21" width="11.2857142857143" customWidth="1"/>
    <col min="22" max="22" width="10.2857142857143" customWidth="1"/>
    <col min="23" max="23" width="12" customWidth="1"/>
    <col min="24" max="24" width="12.5714285714286" customWidth="1"/>
    <col min="25" max="25" width="11.2857142857143" customWidth="1"/>
    <col min="26" max="26" width="10.2857142857143" customWidth="1"/>
    <col min="27" max="27" width="12" customWidth="1"/>
    <col min="28" max="28" width="12.5714285714286" customWidth="1"/>
    <col min="29" max="29" width="11.2857142857143" customWidth="1"/>
    <col min="30" max="30" width="10.2857142857143" customWidth="1"/>
    <col min="31" max="31" width="12" customWidth="1"/>
    <col min="32" max="32" width="12.5714285714286" customWidth="1"/>
    <col min="33" max="33" width="11.2857142857143" customWidth="1"/>
    <col min="34" max="34" width="10.2857142857143" customWidth="1"/>
    <col min="35" max="35" width="12" customWidth="1"/>
    <col min="36" max="36" width="12.5714285714286" customWidth="1"/>
    <col min="37" max="37" width="11.2857142857143" customWidth="1"/>
    <col min="38" max="38" width="10.2857142857143" customWidth="1"/>
    <col min="39" max="39" width="14.1428571428571" bestFit="1" customWidth="1"/>
    <col min="40" max="40" width="15.4285714285714" bestFit="1" customWidth="1"/>
    <col min="41" max="41" width="12.8571428571429" bestFit="1" customWidth="1"/>
  </cols>
  <sheetData>
    <row r="1" spans="1:41" ht="13">
      <c r="A1" s="1020" t="s">
        <v>414</v>
      </c>
      <c r="B1" s="1020"/>
      <c r="C1" s="1020"/>
      <c r="D1" s="1020"/>
      <c r="E1" s="1020"/>
      <c r="F1" s="1020"/>
      <c r="G1" s="1020"/>
      <c r="H1" s="1020"/>
      <c r="I1" s="1020"/>
      <c r="J1" s="1020"/>
      <c r="K1" s="1020"/>
      <c r="L1" s="1020"/>
      <c r="M1" s="1020"/>
      <c r="N1" s="1020"/>
      <c r="O1" s="1020"/>
      <c r="P1" s="1020"/>
      <c r="Q1" s="1020"/>
      <c r="R1" s="1020"/>
      <c r="S1" s="1020"/>
      <c r="T1" s="1020"/>
      <c r="U1" s="1020"/>
      <c r="V1" s="1020"/>
      <c r="W1" s="1020"/>
      <c r="X1" s="1020"/>
      <c r="Y1" s="1020"/>
      <c r="Z1" s="1020"/>
      <c r="AA1" s="1020"/>
      <c r="AB1" s="1020"/>
      <c r="AC1" s="1020"/>
      <c r="AD1" s="1020"/>
      <c r="AE1" s="1020"/>
      <c r="AF1" s="1020"/>
      <c r="AG1" s="1020"/>
      <c r="AH1" s="1020"/>
      <c r="AI1" s="1020"/>
      <c r="AJ1" s="1020"/>
      <c r="AK1" s="1020"/>
      <c r="AL1" s="1020"/>
      <c r="AM1" s="1020"/>
      <c r="AN1" s="1020"/>
      <c r="AO1" s="1020"/>
    </row>
    <row r="2" spans="15:38" ht="12.5"/>
    <row r="3" spans="1:38" ht="13">
      <c r="A3" s="199" t="s">
        <v>413</v>
      </c>
    </row>
    <row r="4" spans="15:38" ht="12.5"/>
    <row r="5" spans="15:38" ht="12.5"/>
    <row r="6" spans="1:38" ht="12.5">
      <c r="A6" t="s">
        <v>312</v>
      </c>
    </row>
    <row r="7" spans="15:38" ht="12.5"/>
    <row r="8" spans="1:38" ht="13">
      <c r="A8" s="225" t="s">
        <v>288</v>
      </c>
    </row>
    <row r="9" spans="1:38" ht="13">
      <c r="A9" s="225"/>
      <c r="B9" s="171" t="s">
        <v>310</v>
      </c>
    </row>
    <row r="10" spans="1:38" ht="12.5">
      <c r="A10" s="171" t="s">
        <v>71</v>
      </c>
      <c r="B10" s="171">
        <f>+'ATT H'!A267</f>
        <v>162</v>
      </c>
      <c r="C10" s="2" t="str">
        <f>+'ATT H'!C267</f>
        <v>Net Plant Carrying Charge without Depreciation</v>
      </c>
      <c r="D10" s="2"/>
      <c r="F10" s="223"/>
      <c r="L10" s="224" t="e">
        <f>+'ATT H'!#REF!</f>
        <v>#REF!</v>
      </c>
    </row>
    <row r="11" spans="1:38" ht="12.5">
      <c r="A11" s="171" t="s">
        <v>174</v>
      </c>
      <c r="B11" s="171">
        <f>+'ATT H'!A277</f>
        <v>169</v>
      </c>
      <c r="C11" s="2" t="str">
        <f>+'ATT H'!C277</f>
        <v>Net Plant Carrying Charge per 100 Basis Point in ROE without Depreciation</v>
      </c>
      <c r="D11" s="2"/>
      <c r="F11" s="223"/>
      <c r="L11" s="224" t="e">
        <f>+'ATT H'!#REF!</f>
        <v>#REF!</v>
      </c>
    </row>
    <row r="12" spans="1:38" ht="12.5">
      <c r="A12" s="171" t="s">
        <v>51</v>
      </c>
      <c r="C12" t="s">
        <v>290</v>
      </c>
      <c r="F12" s="223"/>
      <c r="L12" s="224" t="e">
        <f>+L11-L10</f>
        <v>#REF!</v>
      </c>
    </row>
    <row r="13" spans="6:38" ht="12.5">
      <c r="F13" s="223"/>
      <c r="L13" s="224"/>
    </row>
    <row r="14" spans="1:38" ht="13">
      <c r="A14" s="225" t="s">
        <v>287</v>
      </c>
      <c r="F14" s="223"/>
      <c r="L14" s="224"/>
    </row>
    <row r="15" spans="1:38" ht="13">
      <c r="A15" s="225"/>
      <c r="F15" s="223"/>
      <c r="L15" s="224"/>
    </row>
    <row r="16" spans="1:38" ht="12.5">
      <c r="A16" s="171" t="s">
        <v>72</v>
      </c>
      <c r="B16" s="171">
        <f>+'ATT H'!A268</f>
        <v>163</v>
      </c>
      <c r="C16" s="2" t="str">
        <f>+'ATT H'!C268</f>
        <v>Net Plant Carrying Charge without Depreciation, Return, nor Income Taxes</v>
      </c>
      <c r="D16" s="2"/>
      <c r="F16" s="223"/>
      <c r="L16" s="224" t="e">
        <f>+'ATT H'!#REF!</f>
        <v>#REF!</v>
      </c>
    </row>
    <row r="17" spans="15:38" ht="12.5"/>
    <row r="18" spans="1:38" ht="13">
      <c r="A18" s="199" t="s">
        <v>433</v>
      </c>
    </row>
    <row r="19" spans="1:38" ht="13">
      <c r="A19" s="199" t="s">
        <v>434</v>
      </c>
    </row>
    <row r="20" spans="15:38" ht="13" thickBot="1"/>
    <row r="21" spans="1:41" ht="13">
      <c r="A21" s="423" t="s">
        <v>281</v>
      </c>
      <c r="B21" s="424"/>
      <c r="C21" s="425" t="s">
        <v>278</v>
      </c>
      <c r="D21" s="426" t="str">
        <f>+C21</f>
        <v>Project A</v>
      </c>
      <c r="E21" s="426" t="str">
        <f>+D21</f>
        <v>Project A</v>
      </c>
      <c r="F21" s="427" t="str">
        <f>+E21</f>
        <v>Project A</v>
      </c>
      <c r="G21" s="425" t="s">
        <v>298</v>
      </c>
      <c r="H21" s="426" t="s">
        <v>298</v>
      </c>
      <c r="I21" s="426" t="s">
        <v>298</v>
      </c>
      <c r="J21" s="427" t="s">
        <v>298</v>
      </c>
      <c r="K21" s="425" t="s">
        <v>299</v>
      </c>
      <c r="L21" s="426" t="str">
        <f>+K21</f>
        <v>Project C</v>
      </c>
      <c r="M21" s="426" t="str">
        <f>+L21</f>
        <v>Project C</v>
      </c>
      <c r="N21" s="428" t="str">
        <f>+M21</f>
        <v>Project C</v>
      </c>
      <c r="O21" s="425" t="s">
        <v>300</v>
      </c>
      <c r="P21" s="426" t="str">
        <f>+O21</f>
        <v>Project D</v>
      </c>
      <c r="Q21" s="426" t="str">
        <f>+P21</f>
        <v>Project D</v>
      </c>
      <c r="R21" s="428" t="str">
        <f>+Q21</f>
        <v>Project D</v>
      </c>
      <c r="S21" s="425" t="s">
        <v>301</v>
      </c>
      <c r="T21" s="426" t="str">
        <f>+S21</f>
        <v>Project E</v>
      </c>
      <c r="U21" s="426" t="str">
        <f>+T21</f>
        <v>Project E</v>
      </c>
      <c r="V21" s="428" t="str">
        <f>+U21</f>
        <v>Project E</v>
      </c>
      <c r="W21" s="425" t="s">
        <v>302</v>
      </c>
      <c r="X21" s="426" t="str">
        <f>+W21</f>
        <v>Project F</v>
      </c>
      <c r="Y21" s="426" t="str">
        <f>+X21</f>
        <v>Project F</v>
      </c>
      <c r="Z21" s="428" t="str">
        <f>+Y21</f>
        <v>Project F</v>
      </c>
      <c r="AA21" s="425" t="s">
        <v>303</v>
      </c>
      <c r="AB21" s="426" t="str">
        <f>+AA21</f>
        <v>Project G</v>
      </c>
      <c r="AC21" s="426" t="str">
        <f>+AB21</f>
        <v>Project G</v>
      </c>
      <c r="AD21" s="428" t="str">
        <f>+AC21</f>
        <v>Project G</v>
      </c>
      <c r="AE21" s="425" t="s">
        <v>304</v>
      </c>
      <c r="AF21" s="426" t="str">
        <f>+AE21</f>
        <v>Project H</v>
      </c>
      <c r="AG21" s="426" t="str">
        <f>+AF21</f>
        <v>Project H</v>
      </c>
      <c r="AH21" s="428" t="str">
        <f>+AG21</f>
        <v>Project H</v>
      </c>
      <c r="AI21" s="425" t="s">
        <v>305</v>
      </c>
      <c r="AJ21" s="426" t="str">
        <f>+AI21</f>
        <v>Project I</v>
      </c>
      <c r="AK21" s="426" t="str">
        <f>+AJ21</f>
        <v>Project I</v>
      </c>
      <c r="AL21" s="428" t="str">
        <f>+AK21</f>
        <v>Project I</v>
      </c>
      <c r="AM21" s="474"/>
      <c r="AN21" s="186"/>
      <c r="AO21" s="186"/>
    </row>
    <row r="22" spans="1:41" ht="13">
      <c r="A22" s="374" t="s">
        <v>279</v>
      </c>
      <c r="B22" s="429"/>
      <c r="C22" s="430">
        <v>30</v>
      </c>
      <c r="D22" s="429"/>
      <c r="E22" s="429"/>
      <c r="F22" s="431"/>
      <c r="G22" s="430">
        <v>35</v>
      </c>
      <c r="H22" s="429"/>
      <c r="I22" s="429"/>
      <c r="J22" s="431"/>
      <c r="K22" s="430">
        <v>40</v>
      </c>
      <c r="L22" s="429"/>
      <c r="M22" s="429"/>
      <c r="N22" s="432"/>
      <c r="O22" s="430">
        <v>40</v>
      </c>
      <c r="P22" s="429"/>
      <c r="Q22" s="429"/>
      <c r="R22" s="432"/>
      <c r="S22" s="430">
        <v>40</v>
      </c>
      <c r="T22" s="429"/>
      <c r="U22" s="429"/>
      <c r="V22" s="432"/>
      <c r="W22" s="430">
        <v>40</v>
      </c>
      <c r="X22" s="429"/>
      <c r="Y22" s="429"/>
      <c r="Z22" s="432"/>
      <c r="AA22" s="430">
        <v>35</v>
      </c>
      <c r="AB22" s="429"/>
      <c r="AC22" s="429"/>
      <c r="AD22" s="432"/>
      <c r="AE22" s="430">
        <v>25</v>
      </c>
      <c r="AF22" s="429"/>
      <c r="AG22" s="429"/>
      <c r="AH22" s="432"/>
      <c r="AI22" s="430">
        <v>30</v>
      </c>
      <c r="AJ22" s="429"/>
      <c r="AK22" s="429"/>
      <c r="AL22" s="432"/>
      <c r="AM22" s="372"/>
      <c r="AN22" s="186"/>
      <c r="AO22" s="186"/>
    </row>
    <row r="23" spans="1:41" ht="13">
      <c r="A23" s="374" t="s">
        <v>280</v>
      </c>
      <c r="B23" s="429"/>
      <c r="C23" s="430" t="s">
        <v>284</v>
      </c>
      <c r="D23" s="429"/>
      <c r="E23" s="429"/>
      <c r="F23" s="431"/>
      <c r="G23" s="430" t="s">
        <v>284</v>
      </c>
      <c r="H23" s="429"/>
      <c r="I23" s="429"/>
      <c r="J23" s="431"/>
      <c r="K23" s="430" t="s">
        <v>285</v>
      </c>
      <c r="L23" s="429"/>
      <c r="M23" s="429"/>
      <c r="N23" s="432"/>
      <c r="O23" s="430" t="s">
        <v>284</v>
      </c>
      <c r="P23" s="429"/>
      <c r="Q23" s="429"/>
      <c r="R23" s="432"/>
      <c r="S23" s="430" t="s">
        <v>284</v>
      </c>
      <c r="T23" s="429"/>
      <c r="U23" s="429"/>
      <c r="V23" s="432"/>
      <c r="W23" s="430" t="s">
        <v>284</v>
      </c>
      <c r="X23" s="429"/>
      <c r="Y23" s="429"/>
      <c r="Z23" s="432"/>
      <c r="AA23" s="430" t="s">
        <v>285</v>
      </c>
      <c r="AB23" s="429"/>
      <c r="AC23" s="429"/>
      <c r="AD23" s="432"/>
      <c r="AE23" s="430" t="s">
        <v>285</v>
      </c>
      <c r="AF23" s="429"/>
      <c r="AG23" s="429"/>
      <c r="AH23" s="432"/>
      <c r="AI23" s="430" t="s">
        <v>284</v>
      </c>
      <c r="AJ23" s="429"/>
      <c r="AK23" s="429"/>
      <c r="AL23" s="432"/>
      <c r="AM23" s="372"/>
      <c r="AN23" s="186"/>
      <c r="AO23" s="186"/>
    </row>
    <row r="24" spans="1:41" ht="13">
      <c r="A24" s="374" t="s">
        <v>283</v>
      </c>
      <c r="B24" s="429"/>
      <c r="C24" s="430">
        <v>50</v>
      </c>
      <c r="D24" s="429"/>
      <c r="E24" s="429"/>
      <c r="F24" s="431"/>
      <c r="G24" s="430">
        <v>0</v>
      </c>
      <c r="H24" s="429"/>
      <c r="I24" s="429"/>
      <c r="J24" s="431"/>
      <c r="K24" s="430">
        <v>100</v>
      </c>
      <c r="L24" s="429"/>
      <c r="M24" s="429"/>
      <c r="N24" s="432"/>
      <c r="O24" s="430">
        <v>150</v>
      </c>
      <c r="P24" s="429"/>
      <c r="Q24" s="429"/>
      <c r="R24" s="432"/>
      <c r="S24" s="430">
        <v>100</v>
      </c>
      <c r="T24" s="429"/>
      <c r="U24" s="429"/>
      <c r="V24" s="432"/>
      <c r="W24" s="430">
        <v>50</v>
      </c>
      <c r="X24" s="429"/>
      <c r="Y24" s="429"/>
      <c r="Z24" s="432"/>
      <c r="AA24" s="430">
        <v>100</v>
      </c>
      <c r="AB24" s="429"/>
      <c r="AC24" s="429"/>
      <c r="AD24" s="432"/>
      <c r="AE24" s="430">
        <v>150</v>
      </c>
      <c r="AF24" s="429"/>
      <c r="AG24" s="429"/>
      <c r="AH24" s="432"/>
      <c r="AI24" s="430">
        <v>50</v>
      </c>
      <c r="AJ24" s="429"/>
      <c r="AK24" s="429"/>
      <c r="AL24" s="432"/>
      <c r="AM24" s="372"/>
      <c r="AN24" s="186"/>
      <c r="AO24" s="186"/>
    </row>
    <row r="25" spans="1:41" ht="13">
      <c r="A25" s="374" t="s">
        <v>293</v>
      </c>
      <c r="B25" s="429"/>
      <c r="C25" s="374" t="e">
        <f>+$L10</f>
        <v>#REF!</v>
      </c>
      <c r="D25" s="188"/>
      <c r="E25" s="188"/>
      <c r="F25" s="433"/>
      <c r="G25" s="374" t="e">
        <f>+$L10</f>
        <v>#REF!</v>
      </c>
      <c r="H25" s="188"/>
      <c r="I25" s="188"/>
      <c r="J25" s="433"/>
      <c r="K25" s="430" t="e">
        <f>$L16</f>
        <v>#REF!</v>
      </c>
      <c r="L25" s="429"/>
      <c r="M25" s="429"/>
      <c r="N25" s="432"/>
      <c r="O25" s="374" t="e">
        <f>+$L10</f>
        <v>#REF!</v>
      </c>
      <c r="P25" s="188"/>
      <c r="Q25" s="188"/>
      <c r="R25" s="372"/>
      <c r="S25" s="374" t="e">
        <f>+$L10</f>
        <v>#REF!</v>
      </c>
      <c r="T25" s="188"/>
      <c r="U25" s="188"/>
      <c r="V25" s="372"/>
      <c r="W25" s="374" t="e">
        <f>+$L10</f>
        <v>#REF!</v>
      </c>
      <c r="X25" s="188"/>
      <c r="Y25" s="188"/>
      <c r="Z25" s="372"/>
      <c r="AA25" s="430" t="e">
        <f>$L16</f>
        <v>#REF!</v>
      </c>
      <c r="AB25" s="429"/>
      <c r="AC25" s="429"/>
      <c r="AD25" s="432"/>
      <c r="AE25" s="430" t="e">
        <f>$L16</f>
        <v>#REF!</v>
      </c>
      <c r="AF25" s="429"/>
      <c r="AG25" s="429"/>
      <c r="AH25" s="432"/>
      <c r="AI25" s="374" t="e">
        <f>+$L10</f>
        <v>#REF!</v>
      </c>
      <c r="AJ25" s="188"/>
      <c r="AK25" s="188"/>
      <c r="AL25" s="372"/>
      <c r="AM25" s="372"/>
      <c r="AN25" s="186"/>
      <c r="AO25" s="186"/>
    </row>
    <row r="26" spans="1:41" ht="13">
      <c r="A26" s="374" t="s">
        <v>289</v>
      </c>
      <c r="B26" s="429"/>
      <c r="C26" s="374" t="e">
        <f>($L10+$L12/100*C24)</f>
        <v>#REF!</v>
      </c>
      <c r="D26" s="188"/>
      <c r="E26" s="188"/>
      <c r="F26" s="433"/>
      <c r="G26" s="374" t="e">
        <f>($L10+$L12/100*G24)</f>
        <v>#REF!</v>
      </c>
      <c r="H26" s="188"/>
      <c r="I26" s="188"/>
      <c r="J26" s="433"/>
      <c r="K26" s="374" t="e">
        <f>+L16</f>
        <v>#REF!</v>
      </c>
      <c r="L26" s="188"/>
      <c r="M26" s="188"/>
      <c r="N26" s="372"/>
      <c r="O26" s="374" t="e">
        <f>($L10+$L12/100*O24)</f>
        <v>#REF!</v>
      </c>
      <c r="P26" s="188"/>
      <c r="Q26" s="188"/>
      <c r="R26" s="372"/>
      <c r="S26" s="374" t="e">
        <f>($L10+$L12/100*S24)</f>
        <v>#REF!</v>
      </c>
      <c r="T26" s="188"/>
      <c r="U26" s="188"/>
      <c r="V26" s="372"/>
      <c r="W26" s="374" t="e">
        <f>($L10+$L12/100*W24)</f>
        <v>#REF!</v>
      </c>
      <c r="X26" s="188"/>
      <c r="Y26" s="188"/>
      <c r="Z26" s="372"/>
      <c r="AA26" s="374" t="e">
        <f>+L16</f>
        <v>#REF!</v>
      </c>
      <c r="AB26" s="188"/>
      <c r="AC26" s="188"/>
      <c r="AD26" s="372"/>
      <c r="AE26" s="374" t="e">
        <f>+L16</f>
        <v>#REF!</v>
      </c>
      <c r="AF26" s="188"/>
      <c r="AG26" s="188"/>
      <c r="AH26" s="372"/>
      <c r="AI26" s="374" t="e">
        <f>($L10+$L12/100*AI24)</f>
        <v>#REF!</v>
      </c>
      <c r="AJ26" s="188"/>
      <c r="AK26" s="188"/>
      <c r="AL26" s="372"/>
      <c r="AM26" s="372"/>
      <c r="AN26" s="186"/>
      <c r="AO26" s="186"/>
    </row>
    <row r="27" spans="1:41" ht="13">
      <c r="A27" s="374" t="s">
        <v>291</v>
      </c>
      <c r="B27" s="429"/>
      <c r="C27" s="434">
        <v>20000000</v>
      </c>
      <c r="D27" s="435"/>
      <c r="E27" s="435"/>
      <c r="F27" s="433"/>
      <c r="G27" s="434">
        <v>30000000</v>
      </c>
      <c r="H27" s="435"/>
      <c r="I27" s="435"/>
      <c r="J27" s="433"/>
      <c r="K27" s="434">
        <v>20000000</v>
      </c>
      <c r="L27" s="435"/>
      <c r="M27" s="435"/>
      <c r="N27" s="433"/>
      <c r="O27" s="434">
        <v>30000000</v>
      </c>
      <c r="P27" s="435"/>
      <c r="Q27" s="435"/>
      <c r="R27" s="433"/>
      <c r="S27" s="434">
        <v>20000000</v>
      </c>
      <c r="T27" s="435"/>
      <c r="U27" s="435"/>
      <c r="V27" s="433"/>
      <c r="W27" s="434">
        <v>30000000</v>
      </c>
      <c r="X27" s="435"/>
      <c r="Y27" s="435"/>
      <c r="Z27" s="433"/>
      <c r="AA27" s="434">
        <v>20000000</v>
      </c>
      <c r="AB27" s="435"/>
      <c r="AC27" s="435"/>
      <c r="AD27" s="433"/>
      <c r="AE27" s="434">
        <v>30000000</v>
      </c>
      <c r="AF27" s="435"/>
      <c r="AG27" s="435"/>
      <c r="AH27" s="433"/>
      <c r="AI27" s="434">
        <v>20000000</v>
      </c>
      <c r="AJ27" s="435"/>
      <c r="AK27" s="435"/>
      <c r="AL27" s="433"/>
      <c r="AM27" s="372"/>
      <c r="AN27" s="186"/>
      <c r="AO27" s="186"/>
    </row>
    <row r="28" spans="1:41" ht="13">
      <c r="A28" s="374" t="s">
        <v>292</v>
      </c>
      <c r="B28" s="429"/>
      <c r="C28" s="434">
        <f>+C27/C22</f>
        <v>666666.66666666663</v>
      </c>
      <c r="D28" s="435"/>
      <c r="E28" s="435"/>
      <c r="F28" s="433"/>
      <c r="G28" s="434">
        <f>+G27/G22</f>
        <v>857142.85714285716</v>
      </c>
      <c r="H28" s="435"/>
      <c r="I28" s="435"/>
      <c r="J28" s="433"/>
      <c r="K28" s="434">
        <f>+K27/K22</f>
        <v>500000</v>
      </c>
      <c r="L28" s="435"/>
      <c r="M28" s="435"/>
      <c r="N28" s="433"/>
      <c r="O28" s="434">
        <f>+O27/O22</f>
        <v>750000</v>
      </c>
      <c r="P28" s="435"/>
      <c r="Q28" s="435"/>
      <c r="R28" s="433"/>
      <c r="S28" s="434">
        <f>+S27/S22</f>
        <v>500000</v>
      </c>
      <c r="T28" s="435"/>
      <c r="U28" s="435"/>
      <c r="V28" s="433"/>
      <c r="W28" s="434">
        <f>+W27/W22</f>
        <v>750000</v>
      </c>
      <c r="X28" s="435"/>
      <c r="Y28" s="435"/>
      <c r="Z28" s="433"/>
      <c r="AA28" s="434">
        <f>+AA27/AA22</f>
        <v>571428.57142857148</v>
      </c>
      <c r="AB28" s="435"/>
      <c r="AC28" s="435"/>
      <c r="AD28" s="433"/>
      <c r="AE28" s="434">
        <f>+AE27/AE22</f>
        <v>1200000</v>
      </c>
      <c r="AF28" s="435"/>
      <c r="AG28" s="435"/>
      <c r="AH28" s="433"/>
      <c r="AI28" s="434">
        <f>+AI27/AI22</f>
        <v>666666.66666666663</v>
      </c>
      <c r="AJ28" s="435"/>
      <c r="AK28" s="435"/>
      <c r="AL28" s="433"/>
      <c r="AM28" s="372"/>
      <c r="AN28" s="186"/>
      <c r="AO28" s="186"/>
    </row>
    <row r="29" spans="1:41" s="2" customFormat="1" ht="13">
      <c r="A29" s="465" t="s">
        <v>374</v>
      </c>
      <c r="B29" s="393"/>
      <c r="C29" s="466">
        <v>6</v>
      </c>
      <c r="D29" s="467"/>
      <c r="E29" s="467"/>
      <c r="F29" s="468"/>
      <c r="G29" s="466">
        <v>3</v>
      </c>
      <c r="H29" s="467"/>
      <c r="I29" s="467"/>
      <c r="J29" s="468"/>
      <c r="K29" s="466">
        <v>9</v>
      </c>
      <c r="L29" s="467"/>
      <c r="M29" s="467"/>
      <c r="N29" s="468"/>
      <c r="O29" s="466">
        <v>10</v>
      </c>
      <c r="P29" s="467"/>
      <c r="Q29" s="467"/>
      <c r="R29" s="468"/>
      <c r="S29" s="466">
        <v>2</v>
      </c>
      <c r="T29" s="467"/>
      <c r="U29" s="467"/>
      <c r="V29" s="468"/>
      <c r="W29" s="466">
        <v>4</v>
      </c>
      <c r="X29" s="467"/>
      <c r="Y29" s="467"/>
      <c r="Z29" s="468"/>
      <c r="AA29" s="466">
        <v>11</v>
      </c>
      <c r="AB29" s="467"/>
      <c r="AC29" s="467"/>
      <c r="AD29" s="468"/>
      <c r="AE29" s="466">
        <v>8</v>
      </c>
      <c r="AF29" s="467"/>
      <c r="AG29" s="467"/>
      <c r="AH29" s="468"/>
      <c r="AI29" s="466">
        <v>9</v>
      </c>
      <c r="AJ29" s="467"/>
      <c r="AK29" s="467"/>
      <c r="AL29" s="468"/>
      <c r="AM29" s="475"/>
      <c r="AN29" s="187"/>
      <c r="AO29" s="187"/>
    </row>
    <row r="30" spans="1:41" ht="13.5" thickBot="1">
      <c r="A30" s="378"/>
      <c r="B30" s="436"/>
      <c r="C30" s="437"/>
      <c r="D30" s="438"/>
      <c r="E30" s="438"/>
      <c r="F30" s="439"/>
      <c r="G30" s="437"/>
      <c r="H30" s="438"/>
      <c r="I30" s="438"/>
      <c r="J30" s="439"/>
      <c r="K30" s="437"/>
      <c r="L30" s="438"/>
      <c r="M30" s="438"/>
      <c r="N30" s="439"/>
      <c r="O30" s="437"/>
      <c r="P30" s="438"/>
      <c r="Q30" s="438"/>
      <c r="R30" s="439"/>
      <c r="S30" s="437"/>
      <c r="T30" s="438"/>
      <c r="U30" s="438"/>
      <c r="V30" s="439"/>
      <c r="W30" s="437"/>
      <c r="X30" s="438"/>
      <c r="Y30" s="438"/>
      <c r="Z30" s="439"/>
      <c r="AA30" s="437"/>
      <c r="AB30" s="438"/>
      <c r="AC30" s="438"/>
      <c r="AD30" s="439"/>
      <c r="AE30" s="437"/>
      <c r="AF30" s="438"/>
      <c r="AG30" s="438"/>
      <c r="AH30" s="439"/>
      <c r="AI30" s="437"/>
      <c r="AJ30" s="438"/>
      <c r="AK30" s="438"/>
      <c r="AL30" s="439"/>
      <c r="AM30" s="379"/>
      <c r="AN30" s="186"/>
      <c r="AO30" s="186"/>
    </row>
    <row r="31" spans="1:41" ht="13">
      <c r="A31" s="423"/>
      <c r="B31" s="440" t="s">
        <v>282</v>
      </c>
      <c r="C31" s="426" t="s">
        <v>295</v>
      </c>
      <c r="D31" s="426" t="s">
        <v>296</v>
      </c>
      <c r="E31" s="426" t="s">
        <v>297</v>
      </c>
      <c r="F31" s="427" t="s">
        <v>294</v>
      </c>
      <c r="G31" s="426" t="s">
        <v>295</v>
      </c>
      <c r="H31" s="426" t="s">
        <v>296</v>
      </c>
      <c r="I31" s="426" t="s">
        <v>297</v>
      </c>
      <c r="J31" s="428" t="s">
        <v>294</v>
      </c>
      <c r="K31" s="425" t="s">
        <v>295</v>
      </c>
      <c r="L31" s="426" t="s">
        <v>296</v>
      </c>
      <c r="M31" s="426" t="s">
        <v>297</v>
      </c>
      <c r="N31" s="428" t="s">
        <v>294</v>
      </c>
      <c r="O31" s="425" t="s">
        <v>295</v>
      </c>
      <c r="P31" s="426" t="s">
        <v>296</v>
      </c>
      <c r="Q31" s="426" t="s">
        <v>297</v>
      </c>
      <c r="R31" s="428" t="s">
        <v>294</v>
      </c>
      <c r="S31" s="425" t="s">
        <v>295</v>
      </c>
      <c r="T31" s="426" t="s">
        <v>296</v>
      </c>
      <c r="U31" s="426" t="s">
        <v>297</v>
      </c>
      <c r="V31" s="428" t="s">
        <v>294</v>
      </c>
      <c r="W31" s="425" t="s">
        <v>295</v>
      </c>
      <c r="X31" s="426" t="s">
        <v>296</v>
      </c>
      <c r="Y31" s="426" t="s">
        <v>297</v>
      </c>
      <c r="Z31" s="428" t="s">
        <v>294</v>
      </c>
      <c r="AA31" s="425" t="s">
        <v>295</v>
      </c>
      <c r="AB31" s="426" t="s">
        <v>296</v>
      </c>
      <c r="AC31" s="426" t="s">
        <v>297</v>
      </c>
      <c r="AD31" s="428" t="s">
        <v>294</v>
      </c>
      <c r="AE31" s="425" t="s">
        <v>295</v>
      </c>
      <c r="AF31" s="426" t="s">
        <v>296</v>
      </c>
      <c r="AG31" s="426" t="s">
        <v>297</v>
      </c>
      <c r="AH31" s="428" t="s">
        <v>294</v>
      </c>
      <c r="AI31" s="425" t="s">
        <v>295</v>
      </c>
      <c r="AJ31" s="426" t="s">
        <v>296</v>
      </c>
      <c r="AK31" s="426" t="s">
        <v>297</v>
      </c>
      <c r="AL31" s="428" t="s">
        <v>294</v>
      </c>
      <c r="AM31" s="462" t="s">
        <v>173</v>
      </c>
      <c r="AN31" s="441" t="s">
        <v>308</v>
      </c>
      <c r="AO31" s="442" t="s">
        <v>309</v>
      </c>
    </row>
    <row r="32" spans="1:41" ht="13">
      <c r="A32" s="374" t="s">
        <v>313</v>
      </c>
      <c r="B32" s="443">
        <v>2005</v>
      </c>
      <c r="C32" s="444">
        <f>+C27</f>
        <v>20000000</v>
      </c>
      <c r="D32" s="435">
        <f>+C$28/12*(12-C$29)</f>
        <v>333333.33333333331</v>
      </c>
      <c r="E32" s="444">
        <f t="shared" si="0" ref="E32:E63">=+C32-D32</f>
        <v>19666666.666666668</v>
      </c>
      <c r="F32" s="433" t="e">
        <f>+C$25*E32+D32</f>
        <v>#REF!</v>
      </c>
      <c r="G32" s="188"/>
      <c r="H32" s="188"/>
      <c r="I32" s="188"/>
      <c r="J32" s="433"/>
      <c r="K32" s="374"/>
      <c r="L32" s="188"/>
      <c r="M32" s="188"/>
      <c r="N32" s="433"/>
      <c r="O32" s="374"/>
      <c r="P32" s="188"/>
      <c r="Q32" s="188"/>
      <c r="R32" s="433"/>
      <c r="S32" s="374"/>
      <c r="T32" s="188"/>
      <c r="U32" s="188"/>
      <c r="V32" s="433"/>
      <c r="W32" s="374"/>
      <c r="X32" s="188"/>
      <c r="Y32" s="188"/>
      <c r="Z32" s="433"/>
      <c r="AA32" s="374"/>
      <c r="AB32" s="188"/>
      <c r="AC32" s="188"/>
      <c r="AD32" s="433"/>
      <c r="AE32" s="374"/>
      <c r="AF32" s="188"/>
      <c r="AG32" s="188"/>
      <c r="AH32" s="433"/>
      <c r="AI32" s="374"/>
      <c r="AJ32" s="188"/>
      <c r="AK32" s="188"/>
      <c r="AL32" s="433"/>
      <c r="AM32" s="463" t="e">
        <f>+N32+J32+F32</f>
        <v>#REF!</v>
      </c>
      <c r="AN32" s="188"/>
      <c r="AO32" s="445" t="e">
        <f>+AM32</f>
        <v>#REF!</v>
      </c>
    </row>
    <row r="33" spans="1:41" ht="13">
      <c r="A33" s="374" t="s">
        <v>286</v>
      </c>
      <c r="B33" s="443">
        <v>2005</v>
      </c>
      <c r="C33" s="444">
        <f>+C32</f>
        <v>20000000</v>
      </c>
      <c r="D33" s="435">
        <f>+D32</f>
        <v>333333.33333333331</v>
      </c>
      <c r="E33" s="444">
        <f t="shared" si="0"/>
        <v>19666666.666666668</v>
      </c>
      <c r="F33" s="433" t="e">
        <f>+C$26*E33+D33</f>
        <v>#REF!</v>
      </c>
      <c r="G33" s="188"/>
      <c r="H33" s="188"/>
      <c r="I33" s="188"/>
      <c r="J33" s="433"/>
      <c r="K33" s="374"/>
      <c r="L33" s="188"/>
      <c r="M33" s="188"/>
      <c r="N33" s="433"/>
      <c r="O33" s="374"/>
      <c r="P33" s="188"/>
      <c r="Q33" s="188"/>
      <c r="R33" s="433"/>
      <c r="S33" s="374"/>
      <c r="T33" s="188"/>
      <c r="U33" s="188"/>
      <c r="V33" s="433"/>
      <c r="W33" s="374"/>
      <c r="X33" s="188"/>
      <c r="Y33" s="188"/>
      <c r="Z33" s="433"/>
      <c r="AA33" s="374"/>
      <c r="AB33" s="188"/>
      <c r="AC33" s="188"/>
      <c r="AD33" s="433"/>
      <c r="AE33" s="374"/>
      <c r="AF33" s="188"/>
      <c r="AG33" s="188"/>
      <c r="AH33" s="433"/>
      <c r="AI33" s="374"/>
      <c r="AJ33" s="188"/>
      <c r="AK33" s="188"/>
      <c r="AL33" s="433"/>
      <c r="AM33" s="463" t="e">
        <f t="shared" si="1" ref="AM33:AM71">=+N33+J33+F33</f>
        <v>#REF!</v>
      </c>
      <c r="AN33" s="446" t="e">
        <f>+AM33</f>
        <v>#REF!</v>
      </c>
      <c r="AO33" s="372"/>
    </row>
    <row r="34" spans="1:41" ht="13">
      <c r="A34" s="374" t="s">
        <v>313</v>
      </c>
      <c r="B34" s="443">
        <f>+B32+1</f>
        <v>2006</v>
      </c>
      <c r="C34" s="444">
        <f>+E33</f>
        <v>19666666.666666668</v>
      </c>
      <c r="D34" s="444">
        <f>+C$28</f>
        <v>666666.66666666663</v>
      </c>
      <c r="E34" s="444">
        <f t="shared" si="0"/>
        <v>19000000</v>
      </c>
      <c r="F34" s="433" t="e">
        <f>+C$25*E34+D34</f>
        <v>#REF!</v>
      </c>
      <c r="G34" s="444">
        <f>+G$27</f>
        <v>30000000</v>
      </c>
      <c r="H34" s="435">
        <f>+G$28/12*(12-G$29)</f>
        <v>642857.14285714296</v>
      </c>
      <c r="I34" s="444">
        <f t="shared" si="2" ref="I34:I65">=+G34-H34</f>
        <v>29357142.857142858</v>
      </c>
      <c r="J34" s="433" t="e">
        <f>+G$25*I34+H34</f>
        <v>#REF!</v>
      </c>
      <c r="K34" s="447">
        <f>+K$27</f>
        <v>20000000</v>
      </c>
      <c r="L34" s="435">
        <f>+K$28/12*(12-K$29)</f>
        <v>125000</v>
      </c>
      <c r="M34" s="444">
        <f t="shared" si="3" ref="M34:M65">=+K34-L34</f>
        <v>19875000</v>
      </c>
      <c r="N34" s="433" t="e">
        <f>+K$25*M34+L34</f>
        <v>#REF!</v>
      </c>
      <c r="O34" s="447"/>
      <c r="P34" s="435"/>
      <c r="Q34" s="444"/>
      <c r="R34" s="433"/>
      <c r="S34" s="447"/>
      <c r="T34" s="435"/>
      <c r="U34" s="444"/>
      <c r="V34" s="433"/>
      <c r="W34" s="447"/>
      <c r="X34" s="435"/>
      <c r="Y34" s="444"/>
      <c r="Z34" s="433"/>
      <c r="AA34" s="447"/>
      <c r="AB34" s="435"/>
      <c r="AC34" s="444"/>
      <c r="AD34" s="433"/>
      <c r="AE34" s="447"/>
      <c r="AF34" s="435"/>
      <c r="AG34" s="444"/>
      <c r="AH34" s="433"/>
      <c r="AI34" s="447"/>
      <c r="AJ34" s="435"/>
      <c r="AK34" s="444"/>
      <c r="AL34" s="433"/>
      <c r="AM34" s="463" t="e">
        <f t="shared" si="1"/>
        <v>#REF!</v>
      </c>
      <c r="AN34" s="188"/>
      <c r="AO34" s="445" t="e">
        <f>+AM34</f>
        <v>#REF!</v>
      </c>
    </row>
    <row r="35" spans="1:41" ht="13">
      <c r="A35" s="374" t="s">
        <v>286</v>
      </c>
      <c r="B35" s="443">
        <f t="shared" si="4" ref="B35:B71">=+B33+1</f>
        <v>2006</v>
      </c>
      <c r="C35" s="444">
        <f>+C34</f>
        <v>19666666.666666668</v>
      </c>
      <c r="D35" s="444">
        <f>+D34</f>
        <v>666666.66666666663</v>
      </c>
      <c r="E35" s="444">
        <f t="shared" si="0"/>
        <v>19000000</v>
      </c>
      <c r="F35" s="433" t="e">
        <f>+C$26*E35+D35</f>
        <v>#REF!</v>
      </c>
      <c r="G35" s="444">
        <f>+G34</f>
        <v>30000000</v>
      </c>
      <c r="H35" s="435">
        <f>+H34</f>
        <v>642857.14285714296</v>
      </c>
      <c r="I35" s="444">
        <f t="shared" si="2"/>
        <v>29357142.857142858</v>
      </c>
      <c r="J35" s="433" t="e">
        <f>+G$26*I35+H35</f>
        <v>#REF!</v>
      </c>
      <c r="K35" s="447">
        <f>+K34</f>
        <v>20000000</v>
      </c>
      <c r="L35" s="435">
        <f>+L34</f>
        <v>125000</v>
      </c>
      <c r="M35" s="444">
        <f t="shared" si="3"/>
        <v>19875000</v>
      </c>
      <c r="N35" s="433" t="e">
        <f>+K$26*M35+L35</f>
        <v>#REF!</v>
      </c>
      <c r="O35" s="447"/>
      <c r="P35" s="435"/>
      <c r="Q35" s="444"/>
      <c r="R35" s="433"/>
      <c r="S35" s="447"/>
      <c r="T35" s="435"/>
      <c r="U35" s="444"/>
      <c r="V35" s="433"/>
      <c r="W35" s="447"/>
      <c r="X35" s="435"/>
      <c r="Y35" s="444"/>
      <c r="Z35" s="433"/>
      <c r="AA35" s="447"/>
      <c r="AB35" s="435"/>
      <c r="AC35" s="444"/>
      <c r="AD35" s="433"/>
      <c r="AE35" s="447"/>
      <c r="AF35" s="435"/>
      <c r="AG35" s="444"/>
      <c r="AH35" s="433"/>
      <c r="AI35" s="447"/>
      <c r="AJ35" s="435"/>
      <c r="AK35" s="444"/>
      <c r="AL35" s="433"/>
      <c r="AM35" s="463" t="e">
        <f t="shared" si="1"/>
        <v>#REF!</v>
      </c>
      <c r="AN35" s="446" t="e">
        <f>+AM35</f>
        <v>#REF!</v>
      </c>
      <c r="AO35" s="372"/>
    </row>
    <row r="36" spans="1:41" ht="13">
      <c r="A36" s="374" t="s">
        <v>313</v>
      </c>
      <c r="B36" s="443">
        <f t="shared" si="4"/>
        <v>2007</v>
      </c>
      <c r="C36" s="444">
        <f>+E35</f>
        <v>19000000</v>
      </c>
      <c r="D36" s="444">
        <f>+C$28</f>
        <v>666666.66666666663</v>
      </c>
      <c r="E36" s="444">
        <f t="shared" si="0"/>
        <v>18333333.333333332</v>
      </c>
      <c r="F36" s="433" t="e">
        <f>+C$25*E36+D36</f>
        <v>#REF!</v>
      </c>
      <c r="G36" s="444">
        <f>+I35</f>
        <v>29357142.857142858</v>
      </c>
      <c r="H36" s="444">
        <f>+G$28</f>
        <v>857142.85714285716</v>
      </c>
      <c r="I36" s="444">
        <f t="shared" si="2"/>
        <v>28500000</v>
      </c>
      <c r="J36" s="433" t="e">
        <f>+G$25*I36+H36</f>
        <v>#REF!</v>
      </c>
      <c r="K36" s="447">
        <f>+M35</f>
        <v>19875000</v>
      </c>
      <c r="L36" s="444">
        <f>+K$28</f>
        <v>500000</v>
      </c>
      <c r="M36" s="444">
        <f t="shared" si="3"/>
        <v>19375000</v>
      </c>
      <c r="N36" s="433" t="e">
        <f>+K$25*M36+L36</f>
        <v>#REF!</v>
      </c>
      <c r="O36" s="447">
        <f>+O$27</f>
        <v>30000000</v>
      </c>
      <c r="P36" s="435">
        <f>+O$28/12*(12-O$29)</f>
        <v>125000</v>
      </c>
      <c r="Q36" s="444">
        <f t="shared" si="5" ref="Q36:Q67">=+O36-P36</f>
        <v>29875000</v>
      </c>
      <c r="R36" s="433" t="e">
        <f>+O$25*Q36+P36</f>
        <v>#REF!</v>
      </c>
      <c r="S36" s="447">
        <f>+S$27</f>
        <v>20000000</v>
      </c>
      <c r="T36" s="435">
        <f>+S$28/12*(12-S$29)</f>
        <v>416666.66666666663</v>
      </c>
      <c r="U36" s="444">
        <f t="shared" si="6" ref="U36:U67">=+S36-T36</f>
        <v>19583333.333333332</v>
      </c>
      <c r="V36" s="433" t="e">
        <f>+S$25*U36+T36</f>
        <v>#REF!</v>
      </c>
      <c r="W36" s="447"/>
      <c r="X36" s="444"/>
      <c r="Y36" s="444"/>
      <c r="Z36" s="433"/>
      <c r="AA36" s="447"/>
      <c r="AB36" s="444"/>
      <c r="AC36" s="444"/>
      <c r="AD36" s="433"/>
      <c r="AE36" s="447"/>
      <c r="AF36" s="444"/>
      <c r="AG36" s="444"/>
      <c r="AH36" s="433"/>
      <c r="AI36" s="447"/>
      <c r="AJ36" s="444"/>
      <c r="AK36" s="444"/>
      <c r="AL36" s="433"/>
      <c r="AM36" s="463" t="e">
        <f t="shared" si="1"/>
        <v>#REF!</v>
      </c>
      <c r="AN36" s="188"/>
      <c r="AO36" s="445" t="e">
        <f>+AM36</f>
        <v>#REF!</v>
      </c>
    </row>
    <row r="37" spans="1:41" ht="13">
      <c r="A37" s="374" t="s">
        <v>286</v>
      </c>
      <c r="B37" s="443">
        <f t="shared" si="4"/>
        <v>2007</v>
      </c>
      <c r="C37" s="444">
        <f>+C36</f>
        <v>19000000</v>
      </c>
      <c r="D37" s="444">
        <f>+D36</f>
        <v>666666.66666666663</v>
      </c>
      <c r="E37" s="444">
        <f t="shared" si="0"/>
        <v>18333333.333333332</v>
      </c>
      <c r="F37" s="433" t="e">
        <f>+C$26*E37+D37</f>
        <v>#REF!</v>
      </c>
      <c r="G37" s="444">
        <f>+G36</f>
        <v>29357142.857142858</v>
      </c>
      <c r="H37" s="444">
        <f>+H36</f>
        <v>857142.85714285716</v>
      </c>
      <c r="I37" s="444">
        <f t="shared" si="2"/>
        <v>28500000</v>
      </c>
      <c r="J37" s="433" t="e">
        <f>+G$26*I37+H37</f>
        <v>#REF!</v>
      </c>
      <c r="K37" s="447">
        <f>+K36</f>
        <v>19875000</v>
      </c>
      <c r="L37" s="444">
        <f>+L36</f>
        <v>500000</v>
      </c>
      <c r="M37" s="444">
        <f t="shared" si="3"/>
        <v>19375000</v>
      </c>
      <c r="N37" s="433" t="e">
        <f>+K$26*M37+L37</f>
        <v>#REF!</v>
      </c>
      <c r="O37" s="447">
        <f>+O36</f>
        <v>30000000</v>
      </c>
      <c r="P37" s="435">
        <f>+P36</f>
        <v>125000</v>
      </c>
      <c r="Q37" s="444">
        <f t="shared" si="5"/>
        <v>29875000</v>
      </c>
      <c r="R37" s="433" t="e">
        <f>+O$26*Q37+P37</f>
        <v>#REF!</v>
      </c>
      <c r="S37" s="447">
        <f>+S36</f>
        <v>20000000</v>
      </c>
      <c r="T37" s="435">
        <f>+T36</f>
        <v>416666.66666666663</v>
      </c>
      <c r="U37" s="444">
        <f t="shared" si="6"/>
        <v>19583333.333333332</v>
      </c>
      <c r="V37" s="433" t="e">
        <f>+S$26*U37+T37</f>
        <v>#REF!</v>
      </c>
      <c r="W37" s="447"/>
      <c r="X37" s="444"/>
      <c r="Y37" s="444"/>
      <c r="Z37" s="433"/>
      <c r="AA37" s="447"/>
      <c r="AB37" s="444"/>
      <c r="AC37" s="444"/>
      <c r="AD37" s="433"/>
      <c r="AE37" s="447"/>
      <c r="AF37" s="444"/>
      <c r="AG37" s="444"/>
      <c r="AH37" s="433"/>
      <c r="AI37" s="447"/>
      <c r="AJ37" s="444"/>
      <c r="AK37" s="444"/>
      <c r="AL37" s="433"/>
      <c r="AM37" s="463" t="e">
        <f t="shared" si="1"/>
        <v>#REF!</v>
      </c>
      <c r="AN37" s="446" t="e">
        <f>+AM37</f>
        <v>#REF!</v>
      </c>
      <c r="AO37" s="372"/>
    </row>
    <row r="38" spans="1:41" ht="13">
      <c r="A38" s="374" t="s">
        <v>313</v>
      </c>
      <c r="B38" s="443">
        <f t="shared" si="4"/>
        <v>2008</v>
      </c>
      <c r="C38" s="444">
        <f>+E37</f>
        <v>18333333.333333332</v>
      </c>
      <c r="D38" s="444">
        <f>+C$28</f>
        <v>666666.66666666663</v>
      </c>
      <c r="E38" s="444">
        <f t="shared" si="0"/>
        <v>17666666.666666664</v>
      </c>
      <c r="F38" s="433" t="e">
        <f>+C$25*E38+D38</f>
        <v>#REF!</v>
      </c>
      <c r="G38" s="444">
        <f>+I37</f>
        <v>28500000</v>
      </c>
      <c r="H38" s="444">
        <f>+G$28</f>
        <v>857142.85714285716</v>
      </c>
      <c r="I38" s="444">
        <f t="shared" si="2"/>
        <v>27642857.142857142</v>
      </c>
      <c r="J38" s="433" t="e">
        <f>+G$25*I38+H38</f>
        <v>#REF!</v>
      </c>
      <c r="K38" s="447">
        <f>+M37</f>
        <v>19375000</v>
      </c>
      <c r="L38" s="444">
        <f>+K$28</f>
        <v>500000</v>
      </c>
      <c r="M38" s="444">
        <f t="shared" si="3"/>
        <v>18875000</v>
      </c>
      <c r="N38" s="433" t="e">
        <f>+K$25*M38+L38</f>
        <v>#REF!</v>
      </c>
      <c r="O38" s="447">
        <f>+Q37</f>
        <v>29875000</v>
      </c>
      <c r="P38" s="444">
        <f>+O$28</f>
        <v>750000</v>
      </c>
      <c r="Q38" s="444">
        <f t="shared" si="5"/>
        <v>29125000</v>
      </c>
      <c r="R38" s="433" t="e">
        <f>+O$25*Q38+P38</f>
        <v>#REF!</v>
      </c>
      <c r="S38" s="447">
        <f>+U37</f>
        <v>19583333.333333332</v>
      </c>
      <c r="T38" s="444">
        <f>+S$28</f>
        <v>500000</v>
      </c>
      <c r="U38" s="444">
        <f t="shared" si="6"/>
        <v>19083333.333333332</v>
      </c>
      <c r="V38" s="433" t="e">
        <f>+S$25*U38+T38</f>
        <v>#REF!</v>
      </c>
      <c r="W38" s="447">
        <f>+W$27</f>
        <v>30000000</v>
      </c>
      <c r="X38" s="435">
        <f>+W$28/12*(12-W$29)</f>
        <v>500000</v>
      </c>
      <c r="Y38" s="444">
        <f t="shared" si="7" ref="Y38:Y69">=+W38-X38</f>
        <v>29500000</v>
      </c>
      <c r="Z38" s="433" t="e">
        <f>+W$25*Y38+X38</f>
        <v>#REF!</v>
      </c>
      <c r="AA38" s="447">
        <f>+AA$27</f>
        <v>20000000</v>
      </c>
      <c r="AB38" s="435">
        <f>+AA$28/12*(12-AA$29)</f>
        <v>47619.047619047626</v>
      </c>
      <c r="AC38" s="444">
        <f t="shared" si="8" ref="AC38:AC69">=+AA38-AB38</f>
        <v>19952380.952380951</v>
      </c>
      <c r="AD38" s="433" t="e">
        <f>+AA$25*AC38+AB38</f>
        <v>#REF!</v>
      </c>
      <c r="AE38" s="447"/>
      <c r="AF38" s="444"/>
      <c r="AG38" s="444"/>
      <c r="AH38" s="433"/>
      <c r="AI38" s="447"/>
      <c r="AJ38" s="444"/>
      <c r="AK38" s="444"/>
      <c r="AL38" s="433"/>
      <c r="AM38" s="463" t="e">
        <f t="shared" si="1"/>
        <v>#REF!</v>
      </c>
      <c r="AN38" s="188"/>
      <c r="AO38" s="445" t="e">
        <f>+AM38</f>
        <v>#REF!</v>
      </c>
    </row>
    <row r="39" spans="1:41" ht="13">
      <c r="A39" s="374" t="s">
        <v>286</v>
      </c>
      <c r="B39" s="443">
        <f t="shared" si="4"/>
        <v>2008</v>
      </c>
      <c r="C39" s="444">
        <f>+C38</f>
        <v>18333333.333333332</v>
      </c>
      <c r="D39" s="444">
        <f>+D38</f>
        <v>666666.66666666663</v>
      </c>
      <c r="E39" s="444">
        <f t="shared" si="0"/>
        <v>17666666.666666664</v>
      </c>
      <c r="F39" s="433" t="e">
        <f>+C$26*E39+D39</f>
        <v>#REF!</v>
      </c>
      <c r="G39" s="444">
        <f>+G38</f>
        <v>28500000</v>
      </c>
      <c r="H39" s="444">
        <f>+H38</f>
        <v>857142.85714285716</v>
      </c>
      <c r="I39" s="444">
        <f t="shared" si="2"/>
        <v>27642857.142857142</v>
      </c>
      <c r="J39" s="433" t="e">
        <f>+G$26*I39+H39</f>
        <v>#REF!</v>
      </c>
      <c r="K39" s="447">
        <f>+K38</f>
        <v>19375000</v>
      </c>
      <c r="L39" s="444">
        <f>+L38</f>
        <v>500000</v>
      </c>
      <c r="M39" s="444">
        <f t="shared" si="3"/>
        <v>18875000</v>
      </c>
      <c r="N39" s="433" t="e">
        <f>+K$26*M39+L39</f>
        <v>#REF!</v>
      </c>
      <c r="O39" s="447">
        <f>+O38</f>
        <v>29875000</v>
      </c>
      <c r="P39" s="444">
        <f>+P38</f>
        <v>750000</v>
      </c>
      <c r="Q39" s="444">
        <f t="shared" si="5"/>
        <v>29125000</v>
      </c>
      <c r="R39" s="433" t="e">
        <f>+O$26*Q39+P39</f>
        <v>#REF!</v>
      </c>
      <c r="S39" s="447">
        <f>+S38</f>
        <v>19583333.333333332</v>
      </c>
      <c r="T39" s="444">
        <f>+T38</f>
        <v>500000</v>
      </c>
      <c r="U39" s="444">
        <f t="shared" si="6"/>
        <v>19083333.333333332</v>
      </c>
      <c r="V39" s="433" t="e">
        <f>+S$26*U39+T39</f>
        <v>#REF!</v>
      </c>
      <c r="W39" s="447">
        <f>+W38</f>
        <v>30000000</v>
      </c>
      <c r="X39" s="435">
        <f>+X38</f>
        <v>500000</v>
      </c>
      <c r="Y39" s="444">
        <f t="shared" si="7"/>
        <v>29500000</v>
      </c>
      <c r="Z39" s="433" t="e">
        <f>+W$26*Y39+X39</f>
        <v>#REF!</v>
      </c>
      <c r="AA39" s="447">
        <f>+AA38</f>
        <v>20000000</v>
      </c>
      <c r="AB39" s="435">
        <f>+AB38</f>
        <v>47619.047619047626</v>
      </c>
      <c r="AC39" s="444">
        <f t="shared" si="8"/>
        <v>19952380.952380951</v>
      </c>
      <c r="AD39" s="433" t="e">
        <f>+AA$26*AC39+AB39</f>
        <v>#REF!</v>
      </c>
      <c r="AE39" s="447"/>
      <c r="AF39" s="444"/>
      <c r="AG39" s="444"/>
      <c r="AH39" s="433"/>
      <c r="AI39" s="447"/>
      <c r="AJ39" s="444"/>
      <c r="AK39" s="444"/>
      <c r="AL39" s="433"/>
      <c r="AM39" s="463" t="e">
        <f t="shared" si="1"/>
        <v>#REF!</v>
      </c>
      <c r="AN39" s="446" t="e">
        <f>+AM39</f>
        <v>#REF!</v>
      </c>
      <c r="AO39" s="372"/>
    </row>
    <row r="40" spans="1:41" ht="13">
      <c r="A40" s="374" t="s">
        <v>313</v>
      </c>
      <c r="B40" s="443">
        <f t="shared" si="4"/>
        <v>2009</v>
      </c>
      <c r="C40" s="444">
        <f>+E39</f>
        <v>17666666.666666664</v>
      </c>
      <c r="D40" s="444">
        <f>+C$28</f>
        <v>666666.66666666663</v>
      </c>
      <c r="E40" s="444">
        <f t="shared" si="0"/>
        <v>16999999.999999996</v>
      </c>
      <c r="F40" s="433" t="e">
        <f>+C$25*E40+D40</f>
        <v>#REF!</v>
      </c>
      <c r="G40" s="444">
        <f>+I39</f>
        <v>27642857.142857142</v>
      </c>
      <c r="H40" s="444">
        <f>+G$28</f>
        <v>857142.85714285716</v>
      </c>
      <c r="I40" s="444">
        <f t="shared" si="2"/>
        <v>26785714.285714284</v>
      </c>
      <c r="J40" s="433" t="e">
        <f>+G$25*I40+H40</f>
        <v>#REF!</v>
      </c>
      <c r="K40" s="447">
        <f>+M39</f>
        <v>18875000</v>
      </c>
      <c r="L40" s="444">
        <f>+K$28</f>
        <v>500000</v>
      </c>
      <c r="M40" s="444">
        <f t="shared" si="3"/>
        <v>18375000</v>
      </c>
      <c r="N40" s="433" t="e">
        <f>+K$25*M40+L40</f>
        <v>#REF!</v>
      </c>
      <c r="O40" s="447">
        <f>+Q39</f>
        <v>29125000</v>
      </c>
      <c r="P40" s="444">
        <f>+O$28</f>
        <v>750000</v>
      </c>
      <c r="Q40" s="444">
        <f t="shared" si="5"/>
        <v>28375000</v>
      </c>
      <c r="R40" s="433" t="e">
        <f>+O$25*Q40+P40</f>
        <v>#REF!</v>
      </c>
      <c r="S40" s="447">
        <f>+U39</f>
        <v>19083333.333333332</v>
      </c>
      <c r="T40" s="444">
        <f>+S$28</f>
        <v>500000</v>
      </c>
      <c r="U40" s="444">
        <f t="shared" si="6"/>
        <v>18583333.333333332</v>
      </c>
      <c r="V40" s="433" t="e">
        <f>+S$25*U40+T40</f>
        <v>#REF!</v>
      </c>
      <c r="W40" s="447">
        <f>+Y39</f>
        <v>29500000</v>
      </c>
      <c r="X40" s="444">
        <f>+W$28</f>
        <v>750000</v>
      </c>
      <c r="Y40" s="444">
        <f t="shared" si="7"/>
        <v>28750000</v>
      </c>
      <c r="Z40" s="433" t="e">
        <f>+W$25*Y40+X40</f>
        <v>#REF!</v>
      </c>
      <c r="AA40" s="447">
        <f>+AC39</f>
        <v>19952380.952380951</v>
      </c>
      <c r="AB40" s="444">
        <f>+AA$28</f>
        <v>571428.57142857148</v>
      </c>
      <c r="AC40" s="444">
        <f t="shared" si="8"/>
        <v>19380952.380952381</v>
      </c>
      <c r="AD40" s="433" t="e">
        <f>+AA$25*AC40+AB40</f>
        <v>#REF!</v>
      </c>
      <c r="AE40" s="447">
        <f>+AE$27</f>
        <v>30000000</v>
      </c>
      <c r="AF40" s="435">
        <f>+AE$28/12*(12-AE$29)</f>
        <v>400000</v>
      </c>
      <c r="AG40" s="444">
        <f t="shared" si="9" ref="AG40:AG71">=+AE40-AF40</f>
        <v>29600000</v>
      </c>
      <c r="AH40" s="433" t="e">
        <f>+AE$25*AG40+AF40</f>
        <v>#REF!</v>
      </c>
      <c r="AI40" s="447">
        <f>+AI$27</f>
        <v>20000000</v>
      </c>
      <c r="AJ40" s="435">
        <f>+AI$28/12*(12-AI$29)</f>
        <v>166666.66666666666</v>
      </c>
      <c r="AK40" s="444">
        <f t="shared" si="10" ref="AK40:AK71">=+AI40-AJ40</f>
        <v>19833333.333333332</v>
      </c>
      <c r="AL40" s="433" t="e">
        <f>+AI$25*AK40+AJ40</f>
        <v>#REF!</v>
      </c>
      <c r="AM40" s="463" t="e">
        <f t="shared" si="1"/>
        <v>#REF!</v>
      </c>
      <c r="AN40" s="188"/>
      <c r="AO40" s="445" t="e">
        <f>+AM40</f>
        <v>#REF!</v>
      </c>
    </row>
    <row r="41" spans="1:41" ht="13">
      <c r="A41" s="374" t="s">
        <v>286</v>
      </c>
      <c r="B41" s="443">
        <f t="shared" si="4"/>
        <v>2009</v>
      </c>
      <c r="C41" s="444">
        <f>+C40</f>
        <v>17666666.666666664</v>
      </c>
      <c r="D41" s="444">
        <f>+D40</f>
        <v>666666.66666666663</v>
      </c>
      <c r="E41" s="444">
        <f t="shared" si="0"/>
        <v>16999999.999999996</v>
      </c>
      <c r="F41" s="433" t="e">
        <f>+C$26*E41+D41</f>
        <v>#REF!</v>
      </c>
      <c r="G41" s="444">
        <f>+G40</f>
        <v>27642857.142857142</v>
      </c>
      <c r="H41" s="444">
        <f>+H40</f>
        <v>857142.85714285716</v>
      </c>
      <c r="I41" s="444">
        <f t="shared" si="2"/>
        <v>26785714.285714284</v>
      </c>
      <c r="J41" s="433" t="e">
        <f>+G$26*I41+H41</f>
        <v>#REF!</v>
      </c>
      <c r="K41" s="447">
        <f>+K40</f>
        <v>18875000</v>
      </c>
      <c r="L41" s="444">
        <f>+L40</f>
        <v>500000</v>
      </c>
      <c r="M41" s="444">
        <f t="shared" si="3"/>
        <v>18375000</v>
      </c>
      <c r="N41" s="433" t="e">
        <f>+K$26*M41+L41</f>
        <v>#REF!</v>
      </c>
      <c r="O41" s="447">
        <f>+O40</f>
        <v>29125000</v>
      </c>
      <c r="P41" s="444">
        <f>+P40</f>
        <v>750000</v>
      </c>
      <c r="Q41" s="444">
        <f t="shared" si="5"/>
        <v>28375000</v>
      </c>
      <c r="R41" s="433" t="e">
        <f>+O$26*Q41+P41</f>
        <v>#REF!</v>
      </c>
      <c r="S41" s="447">
        <f>+S40</f>
        <v>19083333.333333332</v>
      </c>
      <c r="T41" s="444">
        <f>+T40</f>
        <v>500000</v>
      </c>
      <c r="U41" s="444">
        <f t="shared" si="6"/>
        <v>18583333.333333332</v>
      </c>
      <c r="V41" s="433" t="e">
        <f>+S$26*U41+T41</f>
        <v>#REF!</v>
      </c>
      <c r="W41" s="447">
        <f>+W40</f>
        <v>29500000</v>
      </c>
      <c r="X41" s="444">
        <f>+X40</f>
        <v>750000</v>
      </c>
      <c r="Y41" s="444">
        <f t="shared" si="7"/>
        <v>28750000</v>
      </c>
      <c r="Z41" s="433" t="e">
        <f>+W$26*Y41+X41</f>
        <v>#REF!</v>
      </c>
      <c r="AA41" s="447">
        <f>+AA40</f>
        <v>19952380.952380951</v>
      </c>
      <c r="AB41" s="444">
        <f>+AB40</f>
        <v>571428.57142857148</v>
      </c>
      <c r="AC41" s="444">
        <f t="shared" si="8"/>
        <v>19380952.380952381</v>
      </c>
      <c r="AD41" s="433" t="e">
        <f>+AA$26*AC41+AB41</f>
        <v>#REF!</v>
      </c>
      <c r="AE41" s="447">
        <f>+AE40</f>
        <v>30000000</v>
      </c>
      <c r="AF41" s="435">
        <f>+AF40</f>
        <v>400000</v>
      </c>
      <c r="AG41" s="444">
        <f t="shared" si="9"/>
        <v>29600000</v>
      </c>
      <c r="AH41" s="433" t="e">
        <f>+AE$26*AG41+AF41</f>
        <v>#REF!</v>
      </c>
      <c r="AI41" s="447">
        <f>+AI40</f>
        <v>20000000</v>
      </c>
      <c r="AJ41" s="435">
        <f>+AJ40</f>
        <v>166666.66666666666</v>
      </c>
      <c r="AK41" s="444">
        <f t="shared" si="10"/>
        <v>19833333.333333332</v>
      </c>
      <c r="AL41" s="433" t="e">
        <f>+AI$26*AK41+AJ41</f>
        <v>#REF!</v>
      </c>
      <c r="AM41" s="463" t="e">
        <f t="shared" si="1"/>
        <v>#REF!</v>
      </c>
      <c r="AN41" s="446" t="e">
        <f>+AM41</f>
        <v>#REF!</v>
      </c>
      <c r="AO41" s="372"/>
    </row>
    <row r="42" spans="1:41" ht="13">
      <c r="A42" s="374" t="s">
        <v>313</v>
      </c>
      <c r="B42" s="443">
        <f t="shared" si="4"/>
        <v>2010</v>
      </c>
      <c r="C42" s="444">
        <f>+E41</f>
        <v>16999999.999999996</v>
      </c>
      <c r="D42" s="444">
        <f>+C$28</f>
        <v>666666.66666666663</v>
      </c>
      <c r="E42" s="444">
        <f t="shared" si="0"/>
        <v>16333333.33333333</v>
      </c>
      <c r="F42" s="433" t="e">
        <f>+C$25*E42+D42</f>
        <v>#REF!</v>
      </c>
      <c r="G42" s="444">
        <f>+I41</f>
        <v>26785714.285714284</v>
      </c>
      <c r="H42" s="444">
        <f>+G$28</f>
        <v>857142.85714285716</v>
      </c>
      <c r="I42" s="444">
        <f t="shared" si="2"/>
        <v>25928571.428571425</v>
      </c>
      <c r="J42" s="433" t="e">
        <f>+G$25*I42+H42</f>
        <v>#REF!</v>
      </c>
      <c r="K42" s="447">
        <f>+M41</f>
        <v>18375000</v>
      </c>
      <c r="L42" s="444">
        <f>+K$28</f>
        <v>500000</v>
      </c>
      <c r="M42" s="444">
        <f t="shared" si="3"/>
        <v>17875000</v>
      </c>
      <c r="N42" s="433" t="e">
        <f>+K$25*M42+L42</f>
        <v>#REF!</v>
      </c>
      <c r="O42" s="447">
        <f>+Q41</f>
        <v>28375000</v>
      </c>
      <c r="P42" s="444">
        <f>+O$28</f>
        <v>750000</v>
      </c>
      <c r="Q42" s="444">
        <f t="shared" si="5"/>
        <v>27625000</v>
      </c>
      <c r="R42" s="433" t="e">
        <f>+O$25*Q42+P42</f>
        <v>#REF!</v>
      </c>
      <c r="S42" s="447">
        <f>+U41</f>
        <v>18583333.333333332</v>
      </c>
      <c r="T42" s="444">
        <f>+S$28</f>
        <v>500000</v>
      </c>
      <c r="U42" s="444">
        <f t="shared" si="6"/>
        <v>18083333.333333332</v>
      </c>
      <c r="V42" s="433" t="e">
        <f>+S$25*U42+T42</f>
        <v>#REF!</v>
      </c>
      <c r="W42" s="447">
        <f>+Y41</f>
        <v>28750000</v>
      </c>
      <c r="X42" s="444">
        <f>+W$28</f>
        <v>750000</v>
      </c>
      <c r="Y42" s="444">
        <f t="shared" si="7"/>
        <v>28000000</v>
      </c>
      <c r="Z42" s="433" t="e">
        <f>+W$25*Y42+X42</f>
        <v>#REF!</v>
      </c>
      <c r="AA42" s="447">
        <f>+AC41</f>
        <v>19380952.380952381</v>
      </c>
      <c r="AB42" s="444">
        <f>+AA$28</f>
        <v>571428.57142857148</v>
      </c>
      <c r="AC42" s="444">
        <f t="shared" si="8"/>
        <v>18809523.80952381</v>
      </c>
      <c r="AD42" s="433" t="e">
        <f>+AA$25*AC42+AB42</f>
        <v>#REF!</v>
      </c>
      <c r="AE42" s="447">
        <f>+AG41</f>
        <v>29600000</v>
      </c>
      <c r="AF42" s="444">
        <f>+AE$28</f>
        <v>1200000</v>
      </c>
      <c r="AG42" s="444">
        <f t="shared" si="9"/>
        <v>28400000</v>
      </c>
      <c r="AH42" s="433" t="e">
        <f>+AE$25*AG42+AF42</f>
        <v>#REF!</v>
      </c>
      <c r="AI42" s="447">
        <f>+AK41</f>
        <v>19833333.333333332</v>
      </c>
      <c r="AJ42" s="444">
        <f>+AI$28</f>
        <v>666666.66666666663</v>
      </c>
      <c r="AK42" s="444">
        <f t="shared" si="10"/>
        <v>19166666.666666664</v>
      </c>
      <c r="AL42" s="433" t="e">
        <f>+AI$25*AK42+AJ42</f>
        <v>#REF!</v>
      </c>
      <c r="AM42" s="463" t="e">
        <f t="shared" si="1"/>
        <v>#REF!</v>
      </c>
      <c r="AN42" s="188"/>
      <c r="AO42" s="445" t="e">
        <f>+AM42</f>
        <v>#REF!</v>
      </c>
    </row>
    <row r="43" spans="1:41" ht="13">
      <c r="A43" s="374" t="s">
        <v>286</v>
      </c>
      <c r="B43" s="443">
        <f t="shared" si="4"/>
        <v>2010</v>
      </c>
      <c r="C43" s="444">
        <f>+C42</f>
        <v>16999999.999999996</v>
      </c>
      <c r="D43" s="444">
        <f>+D42</f>
        <v>666666.66666666663</v>
      </c>
      <c r="E43" s="444">
        <f t="shared" si="0"/>
        <v>16333333.33333333</v>
      </c>
      <c r="F43" s="433" t="e">
        <f>+C$26*E43+D43</f>
        <v>#REF!</v>
      </c>
      <c r="G43" s="444">
        <f>+G42</f>
        <v>26785714.285714284</v>
      </c>
      <c r="H43" s="444">
        <f>+H42</f>
        <v>857142.85714285716</v>
      </c>
      <c r="I43" s="444">
        <f t="shared" si="2"/>
        <v>25928571.428571425</v>
      </c>
      <c r="J43" s="433" t="e">
        <f>+G$26*I43+H43</f>
        <v>#REF!</v>
      </c>
      <c r="K43" s="447">
        <f>+K42</f>
        <v>18375000</v>
      </c>
      <c r="L43" s="444">
        <f>+L42</f>
        <v>500000</v>
      </c>
      <c r="M43" s="444">
        <f t="shared" si="3"/>
        <v>17875000</v>
      </c>
      <c r="N43" s="433" t="e">
        <f>+K$26*M43+L43</f>
        <v>#REF!</v>
      </c>
      <c r="O43" s="447">
        <f>+O42</f>
        <v>28375000</v>
      </c>
      <c r="P43" s="444">
        <f>+P42</f>
        <v>750000</v>
      </c>
      <c r="Q43" s="444">
        <f t="shared" si="5"/>
        <v>27625000</v>
      </c>
      <c r="R43" s="433" t="e">
        <f>+O$26*Q43+P43</f>
        <v>#REF!</v>
      </c>
      <c r="S43" s="447">
        <f>+S42</f>
        <v>18583333.333333332</v>
      </c>
      <c r="T43" s="444">
        <f>+T42</f>
        <v>500000</v>
      </c>
      <c r="U43" s="444">
        <f t="shared" si="6"/>
        <v>18083333.333333332</v>
      </c>
      <c r="V43" s="433" t="e">
        <f>+S$26*U43+T43</f>
        <v>#REF!</v>
      </c>
      <c r="W43" s="447">
        <f>+W42</f>
        <v>28750000</v>
      </c>
      <c r="X43" s="444">
        <f>+X42</f>
        <v>750000</v>
      </c>
      <c r="Y43" s="444">
        <f t="shared" si="7"/>
        <v>28000000</v>
      </c>
      <c r="Z43" s="433" t="e">
        <f>+W$26*Y43+X43</f>
        <v>#REF!</v>
      </c>
      <c r="AA43" s="447">
        <f>+AA42</f>
        <v>19380952.380952381</v>
      </c>
      <c r="AB43" s="444">
        <f>+AB42</f>
        <v>571428.57142857148</v>
      </c>
      <c r="AC43" s="444">
        <f t="shared" si="8"/>
        <v>18809523.80952381</v>
      </c>
      <c r="AD43" s="433" t="e">
        <f>+AA$26*AC43+AB43</f>
        <v>#REF!</v>
      </c>
      <c r="AE43" s="447">
        <f>+AE42</f>
        <v>29600000</v>
      </c>
      <c r="AF43" s="444">
        <f>+AF42</f>
        <v>1200000</v>
      </c>
      <c r="AG43" s="444">
        <f t="shared" si="9"/>
        <v>28400000</v>
      </c>
      <c r="AH43" s="433" t="e">
        <f>+AE$26*AG43+AF43</f>
        <v>#REF!</v>
      </c>
      <c r="AI43" s="447">
        <f>+AI42</f>
        <v>19833333.333333332</v>
      </c>
      <c r="AJ43" s="444">
        <f>+AJ42</f>
        <v>666666.66666666663</v>
      </c>
      <c r="AK43" s="444">
        <f t="shared" si="10"/>
        <v>19166666.666666664</v>
      </c>
      <c r="AL43" s="433" t="e">
        <f>+AI$26*AK43+AJ43</f>
        <v>#REF!</v>
      </c>
      <c r="AM43" s="463" t="e">
        <f t="shared" si="1"/>
        <v>#REF!</v>
      </c>
      <c r="AN43" s="446" t="e">
        <f>+AM43</f>
        <v>#REF!</v>
      </c>
      <c r="AO43" s="372"/>
    </row>
    <row r="44" spans="1:41" ht="13">
      <c r="A44" s="374" t="s">
        <v>313</v>
      </c>
      <c r="B44" s="443">
        <f t="shared" si="4"/>
        <v>2011</v>
      </c>
      <c r="C44" s="444">
        <f>+E43</f>
        <v>16333333.33333333</v>
      </c>
      <c r="D44" s="444">
        <f>+C$28</f>
        <v>666666.66666666663</v>
      </c>
      <c r="E44" s="444">
        <f t="shared" si="0"/>
        <v>15666666.666666664</v>
      </c>
      <c r="F44" s="433" t="e">
        <f>+C$25*E44+D44</f>
        <v>#REF!</v>
      </c>
      <c r="G44" s="444">
        <f>+I43</f>
        <v>25928571.428571425</v>
      </c>
      <c r="H44" s="444">
        <f>+G$28</f>
        <v>857142.85714285716</v>
      </c>
      <c r="I44" s="444">
        <f t="shared" si="2"/>
        <v>25071428.571428567</v>
      </c>
      <c r="J44" s="433" t="e">
        <f>+G$25*I44+H44</f>
        <v>#REF!</v>
      </c>
      <c r="K44" s="447">
        <f>+M43</f>
        <v>17875000</v>
      </c>
      <c r="L44" s="444">
        <f>+K$28</f>
        <v>500000</v>
      </c>
      <c r="M44" s="444">
        <f t="shared" si="3"/>
        <v>17375000</v>
      </c>
      <c r="N44" s="433" t="e">
        <f>+K$25*M44+L44</f>
        <v>#REF!</v>
      </c>
      <c r="O44" s="447">
        <f>+Q43</f>
        <v>27625000</v>
      </c>
      <c r="P44" s="444">
        <f>+O$28</f>
        <v>750000</v>
      </c>
      <c r="Q44" s="444">
        <f t="shared" si="5"/>
        <v>26875000</v>
      </c>
      <c r="R44" s="433" t="e">
        <f>+O$25*Q44+P44</f>
        <v>#REF!</v>
      </c>
      <c r="S44" s="447">
        <f>+U43</f>
        <v>18083333.333333332</v>
      </c>
      <c r="T44" s="444">
        <f>+S$28</f>
        <v>500000</v>
      </c>
      <c r="U44" s="444">
        <f t="shared" si="6"/>
        <v>17583333.333333332</v>
      </c>
      <c r="V44" s="433" t="e">
        <f>+S$25*U44+T44</f>
        <v>#REF!</v>
      </c>
      <c r="W44" s="447">
        <f>+Y43</f>
        <v>28000000</v>
      </c>
      <c r="X44" s="444">
        <f>+W$28</f>
        <v>750000</v>
      </c>
      <c r="Y44" s="444">
        <f t="shared" si="7"/>
        <v>27250000</v>
      </c>
      <c r="Z44" s="433" t="e">
        <f>+W$25*Y44+X44</f>
        <v>#REF!</v>
      </c>
      <c r="AA44" s="447">
        <f>+AC43</f>
        <v>18809523.80952381</v>
      </c>
      <c r="AB44" s="444">
        <f>+AA$28</f>
        <v>571428.57142857148</v>
      </c>
      <c r="AC44" s="444">
        <f t="shared" si="8"/>
        <v>18238095.238095239</v>
      </c>
      <c r="AD44" s="433" t="e">
        <f>+AA$25*AC44+AB44</f>
        <v>#REF!</v>
      </c>
      <c r="AE44" s="447">
        <f>+AG43</f>
        <v>28400000</v>
      </c>
      <c r="AF44" s="444">
        <f>+AE$28</f>
        <v>1200000</v>
      </c>
      <c r="AG44" s="444">
        <f t="shared" si="9"/>
        <v>27200000</v>
      </c>
      <c r="AH44" s="433" t="e">
        <f>+AE$25*AG44+AF44</f>
        <v>#REF!</v>
      </c>
      <c r="AI44" s="447">
        <f>+AK43</f>
        <v>19166666.666666664</v>
      </c>
      <c r="AJ44" s="444">
        <f>+AI$28</f>
        <v>666666.66666666663</v>
      </c>
      <c r="AK44" s="444">
        <f t="shared" si="10"/>
        <v>18499999.999999996</v>
      </c>
      <c r="AL44" s="433" t="e">
        <f>+AI$25*AK44+AJ44</f>
        <v>#REF!</v>
      </c>
      <c r="AM44" s="463" t="e">
        <f t="shared" si="1"/>
        <v>#REF!</v>
      </c>
      <c r="AN44" s="188"/>
      <c r="AO44" s="445" t="e">
        <f>+AM44</f>
        <v>#REF!</v>
      </c>
    </row>
    <row r="45" spans="1:41" ht="13">
      <c r="A45" s="374" t="s">
        <v>286</v>
      </c>
      <c r="B45" s="443">
        <f t="shared" si="4"/>
        <v>2011</v>
      </c>
      <c r="C45" s="444">
        <f>+C44</f>
        <v>16333333.33333333</v>
      </c>
      <c r="D45" s="444">
        <f>+D44</f>
        <v>666666.66666666663</v>
      </c>
      <c r="E45" s="444">
        <f t="shared" si="0"/>
        <v>15666666.666666664</v>
      </c>
      <c r="F45" s="433" t="e">
        <f>+C$26*E45+D45</f>
        <v>#REF!</v>
      </c>
      <c r="G45" s="444">
        <f>+G44</f>
        <v>25928571.428571425</v>
      </c>
      <c r="H45" s="444">
        <f>+H44</f>
        <v>857142.85714285716</v>
      </c>
      <c r="I45" s="444">
        <f t="shared" si="2"/>
        <v>25071428.571428567</v>
      </c>
      <c r="J45" s="433" t="e">
        <f>+G$26*I45+H45</f>
        <v>#REF!</v>
      </c>
      <c r="K45" s="447">
        <f>+K44</f>
        <v>17875000</v>
      </c>
      <c r="L45" s="444">
        <f>+L44</f>
        <v>500000</v>
      </c>
      <c r="M45" s="444">
        <f t="shared" si="3"/>
        <v>17375000</v>
      </c>
      <c r="N45" s="433" t="e">
        <f>+K$26*M45+L45</f>
        <v>#REF!</v>
      </c>
      <c r="O45" s="447">
        <f>+O44</f>
        <v>27625000</v>
      </c>
      <c r="P45" s="444">
        <f>+P44</f>
        <v>750000</v>
      </c>
      <c r="Q45" s="444">
        <f t="shared" si="5"/>
        <v>26875000</v>
      </c>
      <c r="R45" s="433" t="e">
        <f>+O$26*Q45+P45</f>
        <v>#REF!</v>
      </c>
      <c r="S45" s="447">
        <f>+S44</f>
        <v>18083333.333333332</v>
      </c>
      <c r="T45" s="444">
        <f>+T44</f>
        <v>500000</v>
      </c>
      <c r="U45" s="444">
        <f t="shared" si="6"/>
        <v>17583333.333333332</v>
      </c>
      <c r="V45" s="433" t="e">
        <f>+S$26*U45+T45</f>
        <v>#REF!</v>
      </c>
      <c r="W45" s="447">
        <f>+W44</f>
        <v>28000000</v>
      </c>
      <c r="X45" s="444">
        <f>+X44</f>
        <v>750000</v>
      </c>
      <c r="Y45" s="444">
        <f t="shared" si="7"/>
        <v>27250000</v>
      </c>
      <c r="Z45" s="433" t="e">
        <f>+W$26*Y45+X45</f>
        <v>#REF!</v>
      </c>
      <c r="AA45" s="447">
        <f>+AA44</f>
        <v>18809523.80952381</v>
      </c>
      <c r="AB45" s="444">
        <f>+AB44</f>
        <v>571428.57142857148</v>
      </c>
      <c r="AC45" s="444">
        <f t="shared" si="8"/>
        <v>18238095.238095239</v>
      </c>
      <c r="AD45" s="433" t="e">
        <f>+AA$26*AC45+AB45</f>
        <v>#REF!</v>
      </c>
      <c r="AE45" s="447">
        <f>+AE44</f>
        <v>28400000</v>
      </c>
      <c r="AF45" s="444">
        <f>+AF44</f>
        <v>1200000</v>
      </c>
      <c r="AG45" s="444">
        <f t="shared" si="9"/>
        <v>27200000</v>
      </c>
      <c r="AH45" s="433" t="e">
        <f>+AE$26*AG45+AF45</f>
        <v>#REF!</v>
      </c>
      <c r="AI45" s="447">
        <f>+AI44</f>
        <v>19166666.666666664</v>
      </c>
      <c r="AJ45" s="444">
        <f>+AJ44</f>
        <v>666666.66666666663</v>
      </c>
      <c r="AK45" s="444">
        <f t="shared" si="10"/>
        <v>18499999.999999996</v>
      </c>
      <c r="AL45" s="433" t="e">
        <f>+AI$26*AK45+AJ45</f>
        <v>#REF!</v>
      </c>
      <c r="AM45" s="463" t="e">
        <f t="shared" si="1"/>
        <v>#REF!</v>
      </c>
      <c r="AN45" s="446" t="e">
        <f>+AM45</f>
        <v>#REF!</v>
      </c>
      <c r="AO45" s="372"/>
    </row>
    <row r="46" spans="1:41" ht="13">
      <c r="A46" s="374" t="s">
        <v>313</v>
      </c>
      <c r="B46" s="443">
        <f t="shared" si="4"/>
        <v>2012</v>
      </c>
      <c r="C46" s="444">
        <f>+E45</f>
        <v>15666666.666666664</v>
      </c>
      <c r="D46" s="444">
        <f>+C$28</f>
        <v>666666.66666666663</v>
      </c>
      <c r="E46" s="444">
        <f t="shared" si="0"/>
        <v>14999999.999999998</v>
      </c>
      <c r="F46" s="433" t="e">
        <f>+C$25*E46+D46</f>
        <v>#REF!</v>
      </c>
      <c r="G46" s="444">
        <f>+I45</f>
        <v>25071428.571428567</v>
      </c>
      <c r="H46" s="444">
        <f>+G$28</f>
        <v>857142.85714285716</v>
      </c>
      <c r="I46" s="444">
        <f t="shared" si="2"/>
        <v>24214285.714285709</v>
      </c>
      <c r="J46" s="433" t="e">
        <f>+G$25*I46+H46</f>
        <v>#REF!</v>
      </c>
      <c r="K46" s="447">
        <f>+M45</f>
        <v>17375000</v>
      </c>
      <c r="L46" s="444">
        <f>+K$28</f>
        <v>500000</v>
      </c>
      <c r="M46" s="444">
        <f t="shared" si="3"/>
        <v>16875000</v>
      </c>
      <c r="N46" s="433" t="e">
        <f>+K$25*M46+L46</f>
        <v>#REF!</v>
      </c>
      <c r="O46" s="447">
        <f>+Q45</f>
        <v>26875000</v>
      </c>
      <c r="P46" s="444">
        <f>+O$28</f>
        <v>750000</v>
      </c>
      <c r="Q46" s="444">
        <f t="shared" si="5"/>
        <v>26125000</v>
      </c>
      <c r="R46" s="433" t="e">
        <f>+O$25*Q46+P46</f>
        <v>#REF!</v>
      </c>
      <c r="S46" s="447">
        <f>+U45</f>
        <v>17583333.333333332</v>
      </c>
      <c r="T46" s="444">
        <f>+S$28</f>
        <v>500000</v>
      </c>
      <c r="U46" s="444">
        <f t="shared" si="6"/>
        <v>17083333.333333332</v>
      </c>
      <c r="V46" s="433" t="e">
        <f>+S$25*U46+T46</f>
        <v>#REF!</v>
      </c>
      <c r="W46" s="447">
        <f>+Y45</f>
        <v>27250000</v>
      </c>
      <c r="X46" s="444">
        <f>+W$28</f>
        <v>750000</v>
      </c>
      <c r="Y46" s="444">
        <f t="shared" si="7"/>
        <v>26500000</v>
      </c>
      <c r="Z46" s="433" t="e">
        <f>+W$25*Y46+X46</f>
        <v>#REF!</v>
      </c>
      <c r="AA46" s="447">
        <f>+AC45</f>
        <v>18238095.238095239</v>
      </c>
      <c r="AB46" s="444">
        <f>+AA$28</f>
        <v>571428.57142857148</v>
      </c>
      <c r="AC46" s="444">
        <f t="shared" si="8"/>
        <v>17666666.666666668</v>
      </c>
      <c r="AD46" s="433" t="e">
        <f>+AA$25*AC46+AB46</f>
        <v>#REF!</v>
      </c>
      <c r="AE46" s="447">
        <f>+AG45</f>
        <v>27200000</v>
      </c>
      <c r="AF46" s="444">
        <f>+AE$28</f>
        <v>1200000</v>
      </c>
      <c r="AG46" s="444">
        <f t="shared" si="9"/>
        <v>26000000</v>
      </c>
      <c r="AH46" s="433" t="e">
        <f>+AE$25*AG46+AF46</f>
        <v>#REF!</v>
      </c>
      <c r="AI46" s="447">
        <f>+AK45</f>
        <v>18499999.999999996</v>
      </c>
      <c r="AJ46" s="444">
        <f>+AI$28</f>
        <v>666666.66666666663</v>
      </c>
      <c r="AK46" s="444">
        <f t="shared" si="10"/>
        <v>17833333.333333328</v>
      </c>
      <c r="AL46" s="433" t="e">
        <f>+AI$25*AK46+AJ46</f>
        <v>#REF!</v>
      </c>
      <c r="AM46" s="463" t="e">
        <f t="shared" si="1"/>
        <v>#REF!</v>
      </c>
      <c r="AN46" s="188"/>
      <c r="AO46" s="445" t="e">
        <f>+AM46</f>
        <v>#REF!</v>
      </c>
    </row>
    <row r="47" spans="1:41" ht="13">
      <c r="A47" s="374" t="s">
        <v>286</v>
      </c>
      <c r="B47" s="443">
        <f t="shared" si="4"/>
        <v>2012</v>
      </c>
      <c r="C47" s="444">
        <f>+C46</f>
        <v>15666666.666666664</v>
      </c>
      <c r="D47" s="444">
        <f>+D46</f>
        <v>666666.66666666663</v>
      </c>
      <c r="E47" s="444">
        <f t="shared" si="0"/>
        <v>14999999.999999998</v>
      </c>
      <c r="F47" s="433" t="e">
        <f>+C$26*E47+D47</f>
        <v>#REF!</v>
      </c>
      <c r="G47" s="444">
        <f>+G46</f>
        <v>25071428.571428567</v>
      </c>
      <c r="H47" s="444">
        <f>+H46</f>
        <v>857142.85714285716</v>
      </c>
      <c r="I47" s="444">
        <f t="shared" si="2"/>
        <v>24214285.714285709</v>
      </c>
      <c r="J47" s="433" t="e">
        <f>+G$26*I47+H47</f>
        <v>#REF!</v>
      </c>
      <c r="K47" s="447">
        <f>+K46</f>
        <v>17375000</v>
      </c>
      <c r="L47" s="444">
        <f>+L46</f>
        <v>500000</v>
      </c>
      <c r="M47" s="444">
        <f t="shared" si="3"/>
        <v>16875000</v>
      </c>
      <c r="N47" s="433" t="e">
        <f>+K$26*M47+L47</f>
        <v>#REF!</v>
      </c>
      <c r="O47" s="447">
        <f>+O46</f>
        <v>26875000</v>
      </c>
      <c r="P47" s="444">
        <f>+P46</f>
        <v>750000</v>
      </c>
      <c r="Q47" s="444">
        <f t="shared" si="5"/>
        <v>26125000</v>
      </c>
      <c r="R47" s="433" t="e">
        <f>+O$26*Q47+P47</f>
        <v>#REF!</v>
      </c>
      <c r="S47" s="447">
        <f>+S46</f>
        <v>17583333.333333332</v>
      </c>
      <c r="T47" s="444">
        <f>+T46</f>
        <v>500000</v>
      </c>
      <c r="U47" s="444">
        <f t="shared" si="6"/>
        <v>17083333.333333332</v>
      </c>
      <c r="V47" s="433" t="e">
        <f>+S$26*U47+T47</f>
        <v>#REF!</v>
      </c>
      <c r="W47" s="447">
        <f>+W46</f>
        <v>27250000</v>
      </c>
      <c r="X47" s="444">
        <f>+X46</f>
        <v>750000</v>
      </c>
      <c r="Y47" s="444">
        <f t="shared" si="7"/>
        <v>26500000</v>
      </c>
      <c r="Z47" s="433" t="e">
        <f>+W$26*Y47+X47</f>
        <v>#REF!</v>
      </c>
      <c r="AA47" s="447">
        <f>+AA46</f>
        <v>18238095.238095239</v>
      </c>
      <c r="AB47" s="444">
        <f>+AB46</f>
        <v>571428.57142857148</v>
      </c>
      <c r="AC47" s="444">
        <f t="shared" si="8"/>
        <v>17666666.666666668</v>
      </c>
      <c r="AD47" s="433" t="e">
        <f>+AA$26*AC47+AB47</f>
        <v>#REF!</v>
      </c>
      <c r="AE47" s="447">
        <f>+AE46</f>
        <v>27200000</v>
      </c>
      <c r="AF47" s="444">
        <f>+AF46</f>
        <v>1200000</v>
      </c>
      <c r="AG47" s="444">
        <f t="shared" si="9"/>
        <v>26000000</v>
      </c>
      <c r="AH47" s="433" t="e">
        <f>+AE$26*AG47+AF47</f>
        <v>#REF!</v>
      </c>
      <c r="AI47" s="447">
        <f>+AI46</f>
        <v>18499999.999999996</v>
      </c>
      <c r="AJ47" s="444">
        <f>+AJ46</f>
        <v>666666.66666666663</v>
      </c>
      <c r="AK47" s="444">
        <f t="shared" si="10"/>
        <v>17833333.333333328</v>
      </c>
      <c r="AL47" s="433" t="e">
        <f>+AI$26*AK47+AJ47</f>
        <v>#REF!</v>
      </c>
      <c r="AM47" s="463" t="e">
        <f t="shared" si="1"/>
        <v>#REF!</v>
      </c>
      <c r="AN47" s="446" t="e">
        <f>+AM47</f>
        <v>#REF!</v>
      </c>
      <c r="AO47" s="372"/>
    </row>
    <row r="48" spans="1:41" ht="13">
      <c r="A48" s="374" t="s">
        <v>313</v>
      </c>
      <c r="B48" s="443">
        <f t="shared" si="4"/>
        <v>2013</v>
      </c>
      <c r="C48" s="444">
        <f>+E47</f>
        <v>14999999.999999998</v>
      </c>
      <c r="D48" s="444">
        <f>+C$28</f>
        <v>666666.66666666663</v>
      </c>
      <c r="E48" s="444">
        <f t="shared" si="0"/>
        <v>14333333.333333332</v>
      </c>
      <c r="F48" s="433" t="e">
        <f>+C$25*E48+D48</f>
        <v>#REF!</v>
      </c>
      <c r="G48" s="444">
        <f>+I47</f>
        <v>24214285.714285709</v>
      </c>
      <c r="H48" s="444">
        <f>+G$28</f>
        <v>857142.85714285716</v>
      </c>
      <c r="I48" s="444">
        <f t="shared" si="2"/>
        <v>23357142.857142851</v>
      </c>
      <c r="J48" s="433" t="e">
        <f>+G$25*I48+H48</f>
        <v>#REF!</v>
      </c>
      <c r="K48" s="447">
        <f>+M47</f>
        <v>16875000</v>
      </c>
      <c r="L48" s="444">
        <f>+K$28</f>
        <v>500000</v>
      </c>
      <c r="M48" s="444">
        <f t="shared" si="3"/>
        <v>16375000</v>
      </c>
      <c r="N48" s="433" t="e">
        <f>+K$25*M48+L48</f>
        <v>#REF!</v>
      </c>
      <c r="O48" s="447">
        <f>+Q47</f>
        <v>26125000</v>
      </c>
      <c r="P48" s="444">
        <f>+O$28</f>
        <v>750000</v>
      </c>
      <c r="Q48" s="444">
        <f t="shared" si="5"/>
        <v>25375000</v>
      </c>
      <c r="R48" s="433" t="e">
        <f>+O$25*Q48+P48</f>
        <v>#REF!</v>
      </c>
      <c r="S48" s="447">
        <f>+U47</f>
        <v>17083333.333333332</v>
      </c>
      <c r="T48" s="444">
        <f>+S$28</f>
        <v>500000</v>
      </c>
      <c r="U48" s="444">
        <f t="shared" si="6"/>
        <v>16583333.333333332</v>
      </c>
      <c r="V48" s="433" t="e">
        <f>+S$25*U48+T48</f>
        <v>#REF!</v>
      </c>
      <c r="W48" s="447">
        <f>+Y47</f>
        <v>26500000</v>
      </c>
      <c r="X48" s="444">
        <f>+W$28</f>
        <v>750000</v>
      </c>
      <c r="Y48" s="444">
        <f t="shared" si="7"/>
        <v>25750000</v>
      </c>
      <c r="Z48" s="433" t="e">
        <f>+W$25*Y48+X48</f>
        <v>#REF!</v>
      </c>
      <c r="AA48" s="447">
        <f>+AC47</f>
        <v>17666666.666666668</v>
      </c>
      <c r="AB48" s="444">
        <f>+AA$28</f>
        <v>571428.57142857148</v>
      </c>
      <c r="AC48" s="444">
        <f t="shared" si="8"/>
        <v>17095238.095238097</v>
      </c>
      <c r="AD48" s="433" t="e">
        <f>+AA$25*AC48+AB48</f>
        <v>#REF!</v>
      </c>
      <c r="AE48" s="447">
        <f>+AG47</f>
        <v>26000000</v>
      </c>
      <c r="AF48" s="444">
        <f>+AE$28</f>
        <v>1200000</v>
      </c>
      <c r="AG48" s="444">
        <f t="shared" si="9"/>
        <v>24800000</v>
      </c>
      <c r="AH48" s="433" t="e">
        <f>+AE$25*AG48+AF48</f>
        <v>#REF!</v>
      </c>
      <c r="AI48" s="447">
        <f>+AK47</f>
        <v>17833333.333333328</v>
      </c>
      <c r="AJ48" s="444">
        <f>+AI$28</f>
        <v>666666.66666666663</v>
      </c>
      <c r="AK48" s="444">
        <f t="shared" si="10"/>
        <v>17166666.66666666</v>
      </c>
      <c r="AL48" s="433" t="e">
        <f>+AI$25*AK48+AJ48</f>
        <v>#REF!</v>
      </c>
      <c r="AM48" s="463" t="e">
        <f t="shared" si="1"/>
        <v>#REF!</v>
      </c>
      <c r="AN48" s="188"/>
      <c r="AO48" s="445" t="e">
        <f>+AM48</f>
        <v>#REF!</v>
      </c>
    </row>
    <row r="49" spans="1:41" ht="13">
      <c r="A49" s="374" t="s">
        <v>286</v>
      </c>
      <c r="B49" s="443">
        <f t="shared" si="4"/>
        <v>2013</v>
      </c>
      <c r="C49" s="444">
        <f>+C48</f>
        <v>14999999.999999998</v>
      </c>
      <c r="D49" s="444">
        <f>+D48</f>
        <v>666666.66666666663</v>
      </c>
      <c r="E49" s="444">
        <f t="shared" si="0"/>
        <v>14333333.333333332</v>
      </c>
      <c r="F49" s="433" t="e">
        <f>+C$26*E49+D49</f>
        <v>#REF!</v>
      </c>
      <c r="G49" s="444">
        <f>+G48</f>
        <v>24214285.714285709</v>
      </c>
      <c r="H49" s="444">
        <f>+H48</f>
        <v>857142.85714285716</v>
      </c>
      <c r="I49" s="444">
        <f t="shared" si="2"/>
        <v>23357142.857142851</v>
      </c>
      <c r="J49" s="433" t="e">
        <f>+G$26*I49+H49</f>
        <v>#REF!</v>
      </c>
      <c r="K49" s="447">
        <f>+K48</f>
        <v>16875000</v>
      </c>
      <c r="L49" s="444">
        <f>+L48</f>
        <v>500000</v>
      </c>
      <c r="M49" s="444">
        <f t="shared" si="3"/>
        <v>16375000</v>
      </c>
      <c r="N49" s="433" t="e">
        <f>+K$26*M49+L49</f>
        <v>#REF!</v>
      </c>
      <c r="O49" s="447">
        <f>+O48</f>
        <v>26125000</v>
      </c>
      <c r="P49" s="444">
        <f>+P48</f>
        <v>750000</v>
      </c>
      <c r="Q49" s="444">
        <f t="shared" si="5"/>
        <v>25375000</v>
      </c>
      <c r="R49" s="433" t="e">
        <f>+O$26*Q49+P49</f>
        <v>#REF!</v>
      </c>
      <c r="S49" s="447">
        <f>+S48</f>
        <v>17083333.333333332</v>
      </c>
      <c r="T49" s="444">
        <f>+T48</f>
        <v>500000</v>
      </c>
      <c r="U49" s="444">
        <f t="shared" si="6"/>
        <v>16583333.333333332</v>
      </c>
      <c r="V49" s="433" t="e">
        <f>+S$26*U49+T49</f>
        <v>#REF!</v>
      </c>
      <c r="W49" s="447">
        <f>+W48</f>
        <v>26500000</v>
      </c>
      <c r="X49" s="444">
        <f>+X48</f>
        <v>750000</v>
      </c>
      <c r="Y49" s="444">
        <f t="shared" si="7"/>
        <v>25750000</v>
      </c>
      <c r="Z49" s="433" t="e">
        <f>+W$26*Y49+X49</f>
        <v>#REF!</v>
      </c>
      <c r="AA49" s="447">
        <f>+AA48</f>
        <v>17666666.666666668</v>
      </c>
      <c r="AB49" s="444">
        <f>+AB48</f>
        <v>571428.57142857148</v>
      </c>
      <c r="AC49" s="444">
        <f t="shared" si="8"/>
        <v>17095238.095238097</v>
      </c>
      <c r="AD49" s="433" t="e">
        <f>+AA$26*AC49+AB49</f>
        <v>#REF!</v>
      </c>
      <c r="AE49" s="447">
        <f>+AE48</f>
        <v>26000000</v>
      </c>
      <c r="AF49" s="444">
        <f>+AF48</f>
        <v>1200000</v>
      </c>
      <c r="AG49" s="444">
        <f t="shared" si="9"/>
        <v>24800000</v>
      </c>
      <c r="AH49" s="433" t="e">
        <f>+AE$26*AG49+AF49</f>
        <v>#REF!</v>
      </c>
      <c r="AI49" s="447">
        <f>+AI48</f>
        <v>17833333.333333328</v>
      </c>
      <c r="AJ49" s="444">
        <f>+AJ48</f>
        <v>666666.66666666663</v>
      </c>
      <c r="AK49" s="444">
        <f t="shared" si="10"/>
        <v>17166666.66666666</v>
      </c>
      <c r="AL49" s="433" t="e">
        <f>+AI$26*AK49+AJ49</f>
        <v>#REF!</v>
      </c>
      <c r="AM49" s="463" t="e">
        <f t="shared" si="1"/>
        <v>#REF!</v>
      </c>
      <c r="AN49" s="446" t="e">
        <f>+AM49</f>
        <v>#REF!</v>
      </c>
      <c r="AO49" s="372"/>
    </row>
    <row r="50" spans="1:41" ht="13">
      <c r="A50" s="374" t="s">
        <v>313</v>
      </c>
      <c r="B50" s="443">
        <f t="shared" si="4"/>
        <v>2014</v>
      </c>
      <c r="C50" s="444">
        <f>+E49</f>
        <v>14333333.333333332</v>
      </c>
      <c r="D50" s="444">
        <f>+C$28</f>
        <v>666666.66666666663</v>
      </c>
      <c r="E50" s="444">
        <f t="shared" si="0"/>
        <v>13666666.666666666</v>
      </c>
      <c r="F50" s="433" t="e">
        <f>+C$25*E50+D50</f>
        <v>#REF!</v>
      </c>
      <c r="G50" s="444">
        <f>+I49</f>
        <v>23357142.857142851</v>
      </c>
      <c r="H50" s="444">
        <f>+G$28</f>
        <v>857142.85714285716</v>
      </c>
      <c r="I50" s="444">
        <f t="shared" si="2"/>
        <v>22499999.999999993</v>
      </c>
      <c r="J50" s="433" t="e">
        <f>+G$25*I50+H50</f>
        <v>#REF!</v>
      </c>
      <c r="K50" s="447">
        <f>+M49</f>
        <v>16375000</v>
      </c>
      <c r="L50" s="444">
        <f>+K$28</f>
        <v>500000</v>
      </c>
      <c r="M50" s="444">
        <f t="shared" si="3"/>
        <v>15875000</v>
      </c>
      <c r="N50" s="433" t="e">
        <f>+K$25*M50+L50</f>
        <v>#REF!</v>
      </c>
      <c r="O50" s="447">
        <f>+Q49</f>
        <v>25375000</v>
      </c>
      <c r="P50" s="444">
        <f>+O$28</f>
        <v>750000</v>
      </c>
      <c r="Q50" s="444">
        <f t="shared" si="5"/>
        <v>24625000</v>
      </c>
      <c r="R50" s="433" t="e">
        <f>+O$25*Q50+P50</f>
        <v>#REF!</v>
      </c>
      <c r="S50" s="447">
        <f>+U49</f>
        <v>16583333.333333332</v>
      </c>
      <c r="T50" s="444">
        <f>+S$28</f>
        <v>500000</v>
      </c>
      <c r="U50" s="444">
        <f t="shared" si="6"/>
        <v>16083333.333333332</v>
      </c>
      <c r="V50" s="433" t="e">
        <f>+S$25*U50+T50</f>
        <v>#REF!</v>
      </c>
      <c r="W50" s="447">
        <f>+Y49</f>
        <v>25750000</v>
      </c>
      <c r="X50" s="444">
        <f>+W$28</f>
        <v>750000</v>
      </c>
      <c r="Y50" s="444">
        <f t="shared" si="7"/>
        <v>25000000</v>
      </c>
      <c r="Z50" s="433" t="e">
        <f>+W$25*Y50+X50</f>
        <v>#REF!</v>
      </c>
      <c r="AA50" s="447">
        <f>+AC49</f>
        <v>17095238.095238097</v>
      </c>
      <c r="AB50" s="444">
        <f>+AA$28</f>
        <v>571428.57142857148</v>
      </c>
      <c r="AC50" s="444">
        <f t="shared" si="8"/>
        <v>16523809.523809526</v>
      </c>
      <c r="AD50" s="433" t="e">
        <f>+AA$25*AC50+AB50</f>
        <v>#REF!</v>
      </c>
      <c r="AE50" s="447">
        <f>+AG49</f>
        <v>24800000</v>
      </c>
      <c r="AF50" s="444">
        <f>+AE$28</f>
        <v>1200000</v>
      </c>
      <c r="AG50" s="444">
        <f t="shared" si="9"/>
        <v>23600000</v>
      </c>
      <c r="AH50" s="433" t="e">
        <f>+AE$25*AG50+AF50</f>
        <v>#REF!</v>
      </c>
      <c r="AI50" s="447">
        <f>+AK49</f>
        <v>17166666.66666666</v>
      </c>
      <c r="AJ50" s="444">
        <f>+AI$28</f>
        <v>666666.66666666663</v>
      </c>
      <c r="AK50" s="444">
        <f t="shared" si="10"/>
        <v>16499999.999999994</v>
      </c>
      <c r="AL50" s="433" t="e">
        <f>+AI$25*AK50+AJ50</f>
        <v>#REF!</v>
      </c>
      <c r="AM50" s="463" t="e">
        <f t="shared" si="1"/>
        <v>#REF!</v>
      </c>
      <c r="AN50" s="188"/>
      <c r="AO50" s="445" t="e">
        <f>+AM50</f>
        <v>#REF!</v>
      </c>
    </row>
    <row r="51" spans="1:41" ht="13">
      <c r="A51" s="374" t="s">
        <v>286</v>
      </c>
      <c r="B51" s="443">
        <f t="shared" si="4"/>
        <v>2014</v>
      </c>
      <c r="C51" s="444">
        <f>+C50</f>
        <v>14333333.333333332</v>
      </c>
      <c r="D51" s="444">
        <f>+D50</f>
        <v>666666.66666666663</v>
      </c>
      <c r="E51" s="444">
        <f t="shared" si="0"/>
        <v>13666666.666666666</v>
      </c>
      <c r="F51" s="433" t="e">
        <f>+C$26*E51+D51</f>
        <v>#REF!</v>
      </c>
      <c r="G51" s="444">
        <f>+G50</f>
        <v>23357142.857142851</v>
      </c>
      <c r="H51" s="444">
        <f>+H50</f>
        <v>857142.85714285716</v>
      </c>
      <c r="I51" s="444">
        <f t="shared" si="2"/>
        <v>22499999.999999993</v>
      </c>
      <c r="J51" s="433" t="e">
        <f>+G$26*I51+H51</f>
        <v>#REF!</v>
      </c>
      <c r="K51" s="447">
        <f>+K50</f>
        <v>16375000</v>
      </c>
      <c r="L51" s="444">
        <f>+L50</f>
        <v>500000</v>
      </c>
      <c r="M51" s="444">
        <f t="shared" si="3"/>
        <v>15875000</v>
      </c>
      <c r="N51" s="433" t="e">
        <f>+K$26*M51+L51</f>
        <v>#REF!</v>
      </c>
      <c r="O51" s="447">
        <f>+O50</f>
        <v>25375000</v>
      </c>
      <c r="P51" s="444">
        <f>+P50</f>
        <v>750000</v>
      </c>
      <c r="Q51" s="444">
        <f t="shared" si="5"/>
        <v>24625000</v>
      </c>
      <c r="R51" s="433" t="e">
        <f>+O$26*Q51+P51</f>
        <v>#REF!</v>
      </c>
      <c r="S51" s="447">
        <f>+S50</f>
        <v>16583333.333333332</v>
      </c>
      <c r="T51" s="444">
        <f>+T50</f>
        <v>500000</v>
      </c>
      <c r="U51" s="444">
        <f t="shared" si="6"/>
        <v>16083333.333333332</v>
      </c>
      <c r="V51" s="433" t="e">
        <f>+S$26*U51+T51</f>
        <v>#REF!</v>
      </c>
      <c r="W51" s="447">
        <f>+W50</f>
        <v>25750000</v>
      </c>
      <c r="X51" s="444">
        <f>+X50</f>
        <v>750000</v>
      </c>
      <c r="Y51" s="444">
        <f t="shared" si="7"/>
        <v>25000000</v>
      </c>
      <c r="Z51" s="433" t="e">
        <f>+W$26*Y51+X51</f>
        <v>#REF!</v>
      </c>
      <c r="AA51" s="447">
        <f>+AA50</f>
        <v>17095238.095238097</v>
      </c>
      <c r="AB51" s="444">
        <f>+AB50</f>
        <v>571428.57142857148</v>
      </c>
      <c r="AC51" s="444">
        <f t="shared" si="8"/>
        <v>16523809.523809526</v>
      </c>
      <c r="AD51" s="433" t="e">
        <f>+AA$26*AC51+AB51</f>
        <v>#REF!</v>
      </c>
      <c r="AE51" s="447">
        <f>+AE50</f>
        <v>24800000</v>
      </c>
      <c r="AF51" s="444">
        <f>+AF50</f>
        <v>1200000</v>
      </c>
      <c r="AG51" s="444">
        <f t="shared" si="9"/>
        <v>23600000</v>
      </c>
      <c r="AH51" s="433" t="e">
        <f>+AE$26*AG51+AF51</f>
        <v>#REF!</v>
      </c>
      <c r="AI51" s="447">
        <f>+AI50</f>
        <v>17166666.66666666</v>
      </c>
      <c r="AJ51" s="444">
        <f>+AJ50</f>
        <v>666666.66666666663</v>
      </c>
      <c r="AK51" s="444">
        <f t="shared" si="10"/>
        <v>16499999.999999994</v>
      </c>
      <c r="AL51" s="433" t="e">
        <f>+AI$26*AK51+AJ51</f>
        <v>#REF!</v>
      </c>
      <c r="AM51" s="463" t="e">
        <f t="shared" si="1"/>
        <v>#REF!</v>
      </c>
      <c r="AN51" s="446" t="e">
        <f>+AM51</f>
        <v>#REF!</v>
      </c>
      <c r="AO51" s="372"/>
    </row>
    <row r="52" spans="1:41" ht="13">
      <c r="A52" s="374" t="s">
        <v>313</v>
      </c>
      <c r="B52" s="443">
        <f t="shared" si="4"/>
        <v>2015</v>
      </c>
      <c r="C52" s="444">
        <f>+E51</f>
        <v>13666666.666666666</v>
      </c>
      <c r="D52" s="444">
        <f>+C$28</f>
        <v>666666.66666666663</v>
      </c>
      <c r="E52" s="444">
        <f t="shared" si="0"/>
        <v>13000000</v>
      </c>
      <c r="F52" s="433" t="e">
        <f>+C$25*E52+D52</f>
        <v>#REF!</v>
      </c>
      <c r="G52" s="444">
        <f>+I51</f>
        <v>22499999.999999993</v>
      </c>
      <c r="H52" s="444">
        <f>+G$28</f>
        <v>857142.85714285716</v>
      </c>
      <c r="I52" s="444">
        <f t="shared" si="2"/>
        <v>21642857.142857134</v>
      </c>
      <c r="J52" s="433" t="e">
        <f>+G$25*I52+H52</f>
        <v>#REF!</v>
      </c>
      <c r="K52" s="447">
        <f>+M51</f>
        <v>15875000</v>
      </c>
      <c r="L52" s="444">
        <f>+K$28</f>
        <v>500000</v>
      </c>
      <c r="M52" s="444">
        <f t="shared" si="3"/>
        <v>15375000</v>
      </c>
      <c r="N52" s="433" t="e">
        <f>+K$25*M52+L52</f>
        <v>#REF!</v>
      </c>
      <c r="O52" s="447">
        <f>+Q51</f>
        <v>24625000</v>
      </c>
      <c r="P52" s="444">
        <f>+O$28</f>
        <v>750000</v>
      </c>
      <c r="Q52" s="444">
        <f t="shared" si="5"/>
        <v>23875000</v>
      </c>
      <c r="R52" s="433" t="e">
        <f>+O$25*Q52+P52</f>
        <v>#REF!</v>
      </c>
      <c r="S52" s="447">
        <f>+U51</f>
        <v>16083333.333333332</v>
      </c>
      <c r="T52" s="444">
        <f>+S$28</f>
        <v>500000</v>
      </c>
      <c r="U52" s="444">
        <f t="shared" si="6"/>
        <v>15583333.333333332</v>
      </c>
      <c r="V52" s="433" t="e">
        <f>+S$25*U52+T52</f>
        <v>#REF!</v>
      </c>
      <c r="W52" s="447">
        <f>+Y51</f>
        <v>25000000</v>
      </c>
      <c r="X52" s="444">
        <f>+W$28</f>
        <v>750000</v>
      </c>
      <c r="Y52" s="444">
        <f t="shared" si="7"/>
        <v>24250000</v>
      </c>
      <c r="Z52" s="433" t="e">
        <f>+W$25*Y52+X52</f>
        <v>#REF!</v>
      </c>
      <c r="AA52" s="447">
        <f>+AC51</f>
        <v>16523809.523809526</v>
      </c>
      <c r="AB52" s="444">
        <f>+AA$28</f>
        <v>571428.57142857148</v>
      </c>
      <c r="AC52" s="444">
        <f t="shared" si="8"/>
        <v>15952380.952380955</v>
      </c>
      <c r="AD52" s="433" t="e">
        <f>+AA$25*AC52+AB52</f>
        <v>#REF!</v>
      </c>
      <c r="AE52" s="447">
        <f>+AG51</f>
        <v>23600000</v>
      </c>
      <c r="AF52" s="444">
        <f>+AE$28</f>
        <v>1200000</v>
      </c>
      <c r="AG52" s="444">
        <f t="shared" si="9"/>
        <v>22400000</v>
      </c>
      <c r="AH52" s="433" t="e">
        <f>+AE$25*AG52+AF52</f>
        <v>#REF!</v>
      </c>
      <c r="AI52" s="447">
        <f>+AK51</f>
        <v>16499999.999999994</v>
      </c>
      <c r="AJ52" s="444">
        <f>+AI$28</f>
        <v>666666.66666666663</v>
      </c>
      <c r="AK52" s="444">
        <f t="shared" si="10"/>
        <v>15833333.333333328</v>
      </c>
      <c r="AL52" s="433" t="e">
        <f>+AI$25*AK52+AJ52</f>
        <v>#REF!</v>
      </c>
      <c r="AM52" s="463" t="e">
        <f t="shared" si="1"/>
        <v>#REF!</v>
      </c>
      <c r="AN52" s="188"/>
      <c r="AO52" s="445" t="e">
        <f>+AM52</f>
        <v>#REF!</v>
      </c>
    </row>
    <row r="53" spans="1:41" ht="13">
      <c r="A53" s="374" t="s">
        <v>286</v>
      </c>
      <c r="B53" s="443">
        <f t="shared" si="4"/>
        <v>2015</v>
      </c>
      <c r="C53" s="444">
        <f>+C52</f>
        <v>13666666.666666666</v>
      </c>
      <c r="D53" s="444">
        <f>+D52</f>
        <v>666666.66666666663</v>
      </c>
      <c r="E53" s="444">
        <f t="shared" si="0"/>
        <v>13000000</v>
      </c>
      <c r="F53" s="433" t="e">
        <f>+C$26*E53+D53</f>
        <v>#REF!</v>
      </c>
      <c r="G53" s="444">
        <f>+G52</f>
        <v>22499999.999999993</v>
      </c>
      <c r="H53" s="444">
        <f>+H52</f>
        <v>857142.85714285716</v>
      </c>
      <c r="I53" s="444">
        <f t="shared" si="2"/>
        <v>21642857.142857134</v>
      </c>
      <c r="J53" s="433" t="e">
        <f>+G$26*I53+H53</f>
        <v>#REF!</v>
      </c>
      <c r="K53" s="447">
        <f>+K52</f>
        <v>15875000</v>
      </c>
      <c r="L53" s="444">
        <f>+L52</f>
        <v>500000</v>
      </c>
      <c r="M53" s="444">
        <f t="shared" si="3"/>
        <v>15375000</v>
      </c>
      <c r="N53" s="433" t="e">
        <f>+K$26*M53+L53</f>
        <v>#REF!</v>
      </c>
      <c r="O53" s="447">
        <f>+O52</f>
        <v>24625000</v>
      </c>
      <c r="P53" s="444">
        <f>+P52</f>
        <v>750000</v>
      </c>
      <c r="Q53" s="444">
        <f t="shared" si="5"/>
        <v>23875000</v>
      </c>
      <c r="R53" s="433" t="e">
        <f>+O$26*Q53+P53</f>
        <v>#REF!</v>
      </c>
      <c r="S53" s="447">
        <f>+S52</f>
        <v>16083333.333333332</v>
      </c>
      <c r="T53" s="444">
        <f>+T52</f>
        <v>500000</v>
      </c>
      <c r="U53" s="444">
        <f t="shared" si="6"/>
        <v>15583333.333333332</v>
      </c>
      <c r="V53" s="433" t="e">
        <f>+S$26*U53+T53</f>
        <v>#REF!</v>
      </c>
      <c r="W53" s="447">
        <f>+W52</f>
        <v>25000000</v>
      </c>
      <c r="X53" s="444">
        <f>+X52</f>
        <v>750000</v>
      </c>
      <c r="Y53" s="444">
        <f t="shared" si="7"/>
        <v>24250000</v>
      </c>
      <c r="Z53" s="433" t="e">
        <f>+W$26*Y53+X53</f>
        <v>#REF!</v>
      </c>
      <c r="AA53" s="447">
        <f>+AA52</f>
        <v>16523809.523809526</v>
      </c>
      <c r="AB53" s="444">
        <f>+AB52</f>
        <v>571428.57142857148</v>
      </c>
      <c r="AC53" s="444">
        <f t="shared" si="8"/>
        <v>15952380.952380955</v>
      </c>
      <c r="AD53" s="433" t="e">
        <f>+AA$26*AC53+AB53</f>
        <v>#REF!</v>
      </c>
      <c r="AE53" s="447">
        <f>+AE52</f>
        <v>23600000</v>
      </c>
      <c r="AF53" s="444">
        <f>+AF52</f>
        <v>1200000</v>
      </c>
      <c r="AG53" s="444">
        <f t="shared" si="9"/>
        <v>22400000</v>
      </c>
      <c r="AH53" s="433" t="e">
        <f>+AE$26*AG53+AF53</f>
        <v>#REF!</v>
      </c>
      <c r="AI53" s="447">
        <f>+AI52</f>
        <v>16499999.999999994</v>
      </c>
      <c r="AJ53" s="444">
        <f>+AJ52</f>
        <v>666666.66666666663</v>
      </c>
      <c r="AK53" s="444">
        <f t="shared" si="10"/>
        <v>15833333.333333328</v>
      </c>
      <c r="AL53" s="433" t="e">
        <f>+AI$26*AK53+AJ53</f>
        <v>#REF!</v>
      </c>
      <c r="AM53" s="463" t="e">
        <f t="shared" si="1"/>
        <v>#REF!</v>
      </c>
      <c r="AN53" s="446" t="e">
        <f>+AM53</f>
        <v>#REF!</v>
      </c>
      <c r="AO53" s="372"/>
    </row>
    <row r="54" spans="1:41" ht="13">
      <c r="A54" s="374" t="s">
        <v>313</v>
      </c>
      <c r="B54" s="443">
        <f t="shared" si="4"/>
        <v>2016</v>
      </c>
      <c r="C54" s="444">
        <f>+E53</f>
        <v>13000000</v>
      </c>
      <c r="D54" s="444">
        <f>+C$28</f>
        <v>666666.66666666663</v>
      </c>
      <c r="E54" s="444">
        <f t="shared" si="0"/>
        <v>12333333.333333334</v>
      </c>
      <c r="F54" s="433" t="e">
        <f>+C$25*E54+D54</f>
        <v>#REF!</v>
      </c>
      <c r="G54" s="444">
        <f>+I53</f>
        <v>21642857.142857134</v>
      </c>
      <c r="H54" s="444">
        <f>+G$28</f>
        <v>857142.85714285716</v>
      </c>
      <c r="I54" s="444">
        <f t="shared" si="2"/>
        <v>20785714.285714276</v>
      </c>
      <c r="J54" s="433" t="e">
        <f>+G$25*I54+H54</f>
        <v>#REF!</v>
      </c>
      <c r="K54" s="447">
        <f>+M53</f>
        <v>15375000</v>
      </c>
      <c r="L54" s="444">
        <f>+K$28</f>
        <v>500000</v>
      </c>
      <c r="M54" s="444">
        <f t="shared" si="3"/>
        <v>14875000</v>
      </c>
      <c r="N54" s="433" t="e">
        <f>+K$25*M54+L54</f>
        <v>#REF!</v>
      </c>
      <c r="O54" s="447">
        <f>+Q53</f>
        <v>23875000</v>
      </c>
      <c r="P54" s="444">
        <f>+O$28</f>
        <v>750000</v>
      </c>
      <c r="Q54" s="444">
        <f t="shared" si="5"/>
        <v>23125000</v>
      </c>
      <c r="R54" s="433" t="e">
        <f>+O$25*Q54+P54</f>
        <v>#REF!</v>
      </c>
      <c r="S54" s="447">
        <f>+U53</f>
        <v>15583333.333333332</v>
      </c>
      <c r="T54" s="444">
        <f>+S$28</f>
        <v>500000</v>
      </c>
      <c r="U54" s="444">
        <f t="shared" si="6"/>
        <v>15083333.333333332</v>
      </c>
      <c r="V54" s="433" t="e">
        <f>+S$25*U54+T54</f>
        <v>#REF!</v>
      </c>
      <c r="W54" s="447">
        <f>+Y53</f>
        <v>24250000</v>
      </c>
      <c r="X54" s="444">
        <f>+W$28</f>
        <v>750000</v>
      </c>
      <c r="Y54" s="444">
        <f t="shared" si="7"/>
        <v>23500000</v>
      </c>
      <c r="Z54" s="433" t="e">
        <f>+W$25*Y54+X54</f>
        <v>#REF!</v>
      </c>
      <c r="AA54" s="447">
        <f>+AC53</f>
        <v>15952380.952380955</v>
      </c>
      <c r="AB54" s="444">
        <f>+AA$28</f>
        <v>571428.57142857148</v>
      </c>
      <c r="AC54" s="444">
        <f t="shared" si="8"/>
        <v>15380952.380952384</v>
      </c>
      <c r="AD54" s="433" t="e">
        <f>+AA$25*AC54+AB54</f>
        <v>#REF!</v>
      </c>
      <c r="AE54" s="447">
        <f>+AG53</f>
        <v>22400000</v>
      </c>
      <c r="AF54" s="444">
        <f>+AE$28</f>
        <v>1200000</v>
      </c>
      <c r="AG54" s="444">
        <f t="shared" si="9"/>
        <v>21200000</v>
      </c>
      <c r="AH54" s="433" t="e">
        <f>+AE$25*AG54+AF54</f>
        <v>#REF!</v>
      </c>
      <c r="AI54" s="447">
        <f>+AK53</f>
        <v>15833333.333333328</v>
      </c>
      <c r="AJ54" s="444">
        <f>+AI$28</f>
        <v>666666.66666666663</v>
      </c>
      <c r="AK54" s="444">
        <f t="shared" si="10"/>
        <v>15166666.666666662</v>
      </c>
      <c r="AL54" s="433" t="e">
        <f>+AI$25*AK54+AJ54</f>
        <v>#REF!</v>
      </c>
      <c r="AM54" s="463" t="e">
        <f t="shared" si="1"/>
        <v>#REF!</v>
      </c>
      <c r="AN54" s="188"/>
      <c r="AO54" s="445" t="e">
        <f>+AM54</f>
        <v>#REF!</v>
      </c>
    </row>
    <row r="55" spans="1:41" ht="13">
      <c r="A55" s="374" t="s">
        <v>286</v>
      </c>
      <c r="B55" s="443">
        <f t="shared" si="4"/>
        <v>2016</v>
      </c>
      <c r="C55" s="444">
        <f>+C54</f>
        <v>13000000</v>
      </c>
      <c r="D55" s="444">
        <f>+D54</f>
        <v>666666.66666666663</v>
      </c>
      <c r="E55" s="444">
        <f t="shared" si="0"/>
        <v>12333333.333333334</v>
      </c>
      <c r="F55" s="433" t="e">
        <f>+C$26*E55+D55</f>
        <v>#REF!</v>
      </c>
      <c r="G55" s="444">
        <f>+G54</f>
        <v>21642857.142857134</v>
      </c>
      <c r="H55" s="444">
        <f>+H54</f>
        <v>857142.85714285716</v>
      </c>
      <c r="I55" s="444">
        <f t="shared" si="2"/>
        <v>20785714.285714276</v>
      </c>
      <c r="J55" s="433" t="e">
        <f>+G$26*I55+H55</f>
        <v>#REF!</v>
      </c>
      <c r="K55" s="447">
        <f>+K54</f>
        <v>15375000</v>
      </c>
      <c r="L55" s="444">
        <f>+L54</f>
        <v>500000</v>
      </c>
      <c r="M55" s="444">
        <f t="shared" si="3"/>
        <v>14875000</v>
      </c>
      <c r="N55" s="433" t="e">
        <f>+K$26*M55+L55</f>
        <v>#REF!</v>
      </c>
      <c r="O55" s="447">
        <f>+O54</f>
        <v>23875000</v>
      </c>
      <c r="P55" s="444">
        <f>+P54</f>
        <v>750000</v>
      </c>
      <c r="Q55" s="444">
        <f t="shared" si="5"/>
        <v>23125000</v>
      </c>
      <c r="R55" s="433" t="e">
        <f>+O$26*Q55+P55</f>
        <v>#REF!</v>
      </c>
      <c r="S55" s="447">
        <f>+S54</f>
        <v>15583333.333333332</v>
      </c>
      <c r="T55" s="444">
        <f>+T54</f>
        <v>500000</v>
      </c>
      <c r="U55" s="444">
        <f t="shared" si="6"/>
        <v>15083333.333333332</v>
      </c>
      <c r="V55" s="433" t="e">
        <f>+S$26*U55+T55</f>
        <v>#REF!</v>
      </c>
      <c r="W55" s="447">
        <f>+W54</f>
        <v>24250000</v>
      </c>
      <c r="X55" s="444">
        <f>+X54</f>
        <v>750000</v>
      </c>
      <c r="Y55" s="444">
        <f t="shared" si="7"/>
        <v>23500000</v>
      </c>
      <c r="Z55" s="433" t="e">
        <f>+W$26*Y55+X55</f>
        <v>#REF!</v>
      </c>
      <c r="AA55" s="447">
        <f>+AA54</f>
        <v>15952380.952380955</v>
      </c>
      <c r="AB55" s="444">
        <f>+AB54</f>
        <v>571428.57142857148</v>
      </c>
      <c r="AC55" s="444">
        <f t="shared" si="8"/>
        <v>15380952.380952384</v>
      </c>
      <c r="AD55" s="433" t="e">
        <f>+AA$26*AC55+AB55</f>
        <v>#REF!</v>
      </c>
      <c r="AE55" s="447">
        <f>+AE54</f>
        <v>22400000</v>
      </c>
      <c r="AF55" s="444">
        <f>+AF54</f>
        <v>1200000</v>
      </c>
      <c r="AG55" s="444">
        <f t="shared" si="9"/>
        <v>21200000</v>
      </c>
      <c r="AH55" s="433" t="e">
        <f>+AE$26*AG55+AF55</f>
        <v>#REF!</v>
      </c>
      <c r="AI55" s="447">
        <f>+AI54</f>
        <v>15833333.333333328</v>
      </c>
      <c r="AJ55" s="444">
        <f>+AJ54</f>
        <v>666666.66666666663</v>
      </c>
      <c r="AK55" s="444">
        <f t="shared" si="10"/>
        <v>15166666.666666662</v>
      </c>
      <c r="AL55" s="433" t="e">
        <f>+AI$26*AK55+AJ55</f>
        <v>#REF!</v>
      </c>
      <c r="AM55" s="463" t="e">
        <f t="shared" si="1"/>
        <v>#REF!</v>
      </c>
      <c r="AN55" s="446" t="e">
        <f>+AM55</f>
        <v>#REF!</v>
      </c>
      <c r="AO55" s="372"/>
    </row>
    <row r="56" spans="1:41" ht="13">
      <c r="A56" s="374" t="s">
        <v>313</v>
      </c>
      <c r="B56" s="443">
        <f t="shared" si="4"/>
        <v>2017</v>
      </c>
      <c r="C56" s="444">
        <f>+E55</f>
        <v>12333333.333333334</v>
      </c>
      <c r="D56" s="444">
        <f>+C$28</f>
        <v>666666.66666666663</v>
      </c>
      <c r="E56" s="444">
        <f t="shared" si="0"/>
        <v>11666666.666666668</v>
      </c>
      <c r="F56" s="433" t="e">
        <f>+C$25*E56+D56</f>
        <v>#REF!</v>
      </c>
      <c r="G56" s="444">
        <f>+I55</f>
        <v>20785714.285714276</v>
      </c>
      <c r="H56" s="444">
        <f>+G$28</f>
        <v>857142.85714285716</v>
      </c>
      <c r="I56" s="444">
        <f t="shared" si="2"/>
        <v>19928571.428571418</v>
      </c>
      <c r="J56" s="433" t="e">
        <f>+G$25*I56+H56</f>
        <v>#REF!</v>
      </c>
      <c r="K56" s="447">
        <f>+M55</f>
        <v>14875000</v>
      </c>
      <c r="L56" s="444">
        <f>+K$28</f>
        <v>500000</v>
      </c>
      <c r="M56" s="444">
        <f t="shared" si="3"/>
        <v>14375000</v>
      </c>
      <c r="N56" s="433" t="e">
        <f>+K$25*M56+L56</f>
        <v>#REF!</v>
      </c>
      <c r="O56" s="447">
        <f>+Q55</f>
        <v>23125000</v>
      </c>
      <c r="P56" s="444">
        <f>+O$28</f>
        <v>750000</v>
      </c>
      <c r="Q56" s="444">
        <f t="shared" si="5"/>
        <v>22375000</v>
      </c>
      <c r="R56" s="433" t="e">
        <f>+O$25*Q56+P56</f>
        <v>#REF!</v>
      </c>
      <c r="S56" s="447">
        <f>+U55</f>
        <v>15083333.333333332</v>
      </c>
      <c r="T56" s="444">
        <f>+S$28</f>
        <v>500000</v>
      </c>
      <c r="U56" s="444">
        <f t="shared" si="6"/>
        <v>14583333.333333332</v>
      </c>
      <c r="V56" s="433" t="e">
        <f>+S$25*U56+T56</f>
        <v>#REF!</v>
      </c>
      <c r="W56" s="447">
        <f>+Y55</f>
        <v>23500000</v>
      </c>
      <c r="X56" s="444">
        <f>+W$28</f>
        <v>750000</v>
      </c>
      <c r="Y56" s="444">
        <f t="shared" si="7"/>
        <v>22750000</v>
      </c>
      <c r="Z56" s="433" t="e">
        <f>+W$25*Y56+X56</f>
        <v>#REF!</v>
      </c>
      <c r="AA56" s="447">
        <f>+AC55</f>
        <v>15380952.380952384</v>
      </c>
      <c r="AB56" s="444">
        <f>+AA$28</f>
        <v>571428.57142857148</v>
      </c>
      <c r="AC56" s="444">
        <f t="shared" si="8"/>
        <v>14809523.809523813</v>
      </c>
      <c r="AD56" s="433" t="e">
        <f>+AA$25*AC56+AB56</f>
        <v>#REF!</v>
      </c>
      <c r="AE56" s="447">
        <f>+AG55</f>
        <v>21200000</v>
      </c>
      <c r="AF56" s="444">
        <f>+AE$28</f>
        <v>1200000</v>
      </c>
      <c r="AG56" s="444">
        <f t="shared" si="9"/>
        <v>20000000</v>
      </c>
      <c r="AH56" s="433" t="e">
        <f>+AE$25*AG56+AF56</f>
        <v>#REF!</v>
      </c>
      <c r="AI56" s="447">
        <f>+AK55</f>
        <v>15166666.666666662</v>
      </c>
      <c r="AJ56" s="444">
        <f>+AI$28</f>
        <v>666666.66666666663</v>
      </c>
      <c r="AK56" s="444">
        <f t="shared" si="10"/>
        <v>14499999.999999996</v>
      </c>
      <c r="AL56" s="433" t="e">
        <f>+AI$25*AK56+AJ56</f>
        <v>#REF!</v>
      </c>
      <c r="AM56" s="463" t="e">
        <f t="shared" si="1"/>
        <v>#REF!</v>
      </c>
      <c r="AN56" s="188"/>
      <c r="AO56" s="445" t="e">
        <f>+AM56</f>
        <v>#REF!</v>
      </c>
    </row>
    <row r="57" spans="1:41" ht="13">
      <c r="A57" s="374" t="s">
        <v>286</v>
      </c>
      <c r="B57" s="443">
        <f t="shared" si="4"/>
        <v>2017</v>
      </c>
      <c r="C57" s="444">
        <f>+C56</f>
        <v>12333333.333333334</v>
      </c>
      <c r="D57" s="444">
        <f>+D56</f>
        <v>666666.66666666663</v>
      </c>
      <c r="E57" s="444">
        <f t="shared" si="0"/>
        <v>11666666.666666668</v>
      </c>
      <c r="F57" s="433" t="e">
        <f>+C$26*E57+D57</f>
        <v>#REF!</v>
      </c>
      <c r="G57" s="444">
        <f>+G56</f>
        <v>20785714.285714276</v>
      </c>
      <c r="H57" s="444">
        <f>+H56</f>
        <v>857142.85714285716</v>
      </c>
      <c r="I57" s="444">
        <f t="shared" si="2"/>
        <v>19928571.428571418</v>
      </c>
      <c r="J57" s="433" t="e">
        <f>+G$26*I57+H57</f>
        <v>#REF!</v>
      </c>
      <c r="K57" s="447">
        <f>+K56</f>
        <v>14875000</v>
      </c>
      <c r="L57" s="444">
        <f>+L56</f>
        <v>500000</v>
      </c>
      <c r="M57" s="444">
        <f t="shared" si="3"/>
        <v>14375000</v>
      </c>
      <c r="N57" s="433" t="e">
        <f>+K$26*M57+L57</f>
        <v>#REF!</v>
      </c>
      <c r="O57" s="447">
        <f>+O56</f>
        <v>23125000</v>
      </c>
      <c r="P57" s="444">
        <f>+P56</f>
        <v>750000</v>
      </c>
      <c r="Q57" s="444">
        <f t="shared" si="5"/>
        <v>22375000</v>
      </c>
      <c r="R57" s="433" t="e">
        <f>+O$26*Q57+P57</f>
        <v>#REF!</v>
      </c>
      <c r="S57" s="447">
        <f>+S56</f>
        <v>15083333.333333332</v>
      </c>
      <c r="T57" s="444">
        <f>+T56</f>
        <v>500000</v>
      </c>
      <c r="U57" s="444">
        <f t="shared" si="6"/>
        <v>14583333.333333332</v>
      </c>
      <c r="V57" s="433" t="e">
        <f>+S$26*U57+T57</f>
        <v>#REF!</v>
      </c>
      <c r="W57" s="447">
        <f>+W56</f>
        <v>23500000</v>
      </c>
      <c r="X57" s="444">
        <f>+X56</f>
        <v>750000</v>
      </c>
      <c r="Y57" s="444">
        <f t="shared" si="7"/>
        <v>22750000</v>
      </c>
      <c r="Z57" s="433" t="e">
        <f>+W$26*Y57+X57</f>
        <v>#REF!</v>
      </c>
      <c r="AA57" s="447">
        <f>+AA56</f>
        <v>15380952.380952384</v>
      </c>
      <c r="AB57" s="444">
        <f>+AB56</f>
        <v>571428.57142857148</v>
      </c>
      <c r="AC57" s="444">
        <f t="shared" si="8"/>
        <v>14809523.809523813</v>
      </c>
      <c r="AD57" s="433" t="e">
        <f>+AA$26*AC57+AB57</f>
        <v>#REF!</v>
      </c>
      <c r="AE57" s="447">
        <f>+AE56</f>
        <v>21200000</v>
      </c>
      <c r="AF57" s="444">
        <f>+AF56</f>
        <v>1200000</v>
      </c>
      <c r="AG57" s="444">
        <f t="shared" si="9"/>
        <v>20000000</v>
      </c>
      <c r="AH57" s="433" t="e">
        <f>+AE$26*AG57+AF57</f>
        <v>#REF!</v>
      </c>
      <c r="AI57" s="447">
        <f>+AI56</f>
        <v>15166666.666666662</v>
      </c>
      <c r="AJ57" s="444">
        <f>+AJ56</f>
        <v>666666.66666666663</v>
      </c>
      <c r="AK57" s="444">
        <f t="shared" si="10"/>
        <v>14499999.999999996</v>
      </c>
      <c r="AL57" s="433" t="e">
        <f>+AI$26*AK57+AJ57</f>
        <v>#REF!</v>
      </c>
      <c r="AM57" s="463" t="e">
        <f t="shared" si="1"/>
        <v>#REF!</v>
      </c>
      <c r="AN57" s="446" t="e">
        <f>+AM57</f>
        <v>#REF!</v>
      </c>
      <c r="AO57" s="372"/>
    </row>
    <row r="58" spans="1:41" ht="13">
      <c r="A58" s="374" t="s">
        <v>313</v>
      </c>
      <c r="B58" s="443">
        <f t="shared" si="4"/>
        <v>2018</v>
      </c>
      <c r="C58" s="444">
        <f>+E57</f>
        <v>11666666.666666668</v>
      </c>
      <c r="D58" s="444">
        <f>+C$28</f>
        <v>666666.66666666663</v>
      </c>
      <c r="E58" s="444">
        <f t="shared" si="0"/>
        <v>11000000.000000002</v>
      </c>
      <c r="F58" s="433" t="e">
        <f>+C$25*E58+D58</f>
        <v>#REF!</v>
      </c>
      <c r="G58" s="444">
        <f>+I57</f>
        <v>19928571.428571418</v>
      </c>
      <c r="H58" s="444">
        <f>+G$28</f>
        <v>857142.85714285716</v>
      </c>
      <c r="I58" s="444">
        <f t="shared" si="2"/>
        <v>19071428.57142856</v>
      </c>
      <c r="J58" s="433" t="e">
        <f>+G$25*I58+H58</f>
        <v>#REF!</v>
      </c>
      <c r="K58" s="447">
        <f>+M57</f>
        <v>14375000</v>
      </c>
      <c r="L58" s="444">
        <f>+K$28</f>
        <v>500000</v>
      </c>
      <c r="M58" s="444">
        <f t="shared" si="3"/>
        <v>13875000</v>
      </c>
      <c r="N58" s="433" t="e">
        <f>+K$25*M58+L58</f>
        <v>#REF!</v>
      </c>
      <c r="O58" s="447">
        <f>+Q57</f>
        <v>22375000</v>
      </c>
      <c r="P58" s="444">
        <f>+O$28</f>
        <v>750000</v>
      </c>
      <c r="Q58" s="444">
        <f t="shared" si="5"/>
        <v>21625000</v>
      </c>
      <c r="R58" s="433" t="e">
        <f>+O$25*Q58+P58</f>
        <v>#REF!</v>
      </c>
      <c r="S58" s="447">
        <f>+U57</f>
        <v>14583333.333333332</v>
      </c>
      <c r="T58" s="444">
        <f>+S$28</f>
        <v>500000</v>
      </c>
      <c r="U58" s="444">
        <f t="shared" si="6"/>
        <v>14083333.333333332</v>
      </c>
      <c r="V58" s="433" t="e">
        <f>+S$25*U58+T58</f>
        <v>#REF!</v>
      </c>
      <c r="W58" s="447">
        <f>+Y57</f>
        <v>22750000</v>
      </c>
      <c r="X58" s="444">
        <f>+W$28</f>
        <v>750000</v>
      </c>
      <c r="Y58" s="444">
        <f t="shared" si="7"/>
        <v>22000000</v>
      </c>
      <c r="Z58" s="433" t="e">
        <f>+W$25*Y58+X58</f>
        <v>#REF!</v>
      </c>
      <c r="AA58" s="447">
        <f>+AC57</f>
        <v>14809523.809523813</v>
      </c>
      <c r="AB58" s="444">
        <f>+AA$28</f>
        <v>571428.57142857148</v>
      </c>
      <c r="AC58" s="444">
        <f t="shared" si="8"/>
        <v>14238095.238095243</v>
      </c>
      <c r="AD58" s="433" t="e">
        <f>+AA$25*AC58+AB58</f>
        <v>#REF!</v>
      </c>
      <c r="AE58" s="447">
        <f>+AG57</f>
        <v>20000000</v>
      </c>
      <c r="AF58" s="444">
        <f>+AE$28</f>
        <v>1200000</v>
      </c>
      <c r="AG58" s="444">
        <f t="shared" si="9"/>
        <v>18800000</v>
      </c>
      <c r="AH58" s="433" t="e">
        <f>+AE$25*AG58+AF58</f>
        <v>#REF!</v>
      </c>
      <c r="AI58" s="447">
        <f>+AK57</f>
        <v>14499999.999999996</v>
      </c>
      <c r="AJ58" s="444">
        <f>+AI$28</f>
        <v>666666.66666666663</v>
      </c>
      <c r="AK58" s="444">
        <f t="shared" si="10"/>
        <v>13833333.33333333</v>
      </c>
      <c r="AL58" s="433" t="e">
        <f>+AI$25*AK58+AJ58</f>
        <v>#REF!</v>
      </c>
      <c r="AM58" s="463" t="e">
        <f t="shared" si="1"/>
        <v>#REF!</v>
      </c>
      <c r="AN58" s="188"/>
      <c r="AO58" s="445" t="e">
        <f>+AM58</f>
        <v>#REF!</v>
      </c>
    </row>
    <row r="59" spans="1:41" ht="13">
      <c r="A59" s="374" t="s">
        <v>286</v>
      </c>
      <c r="B59" s="443">
        <f t="shared" si="4"/>
        <v>2018</v>
      </c>
      <c r="C59" s="444">
        <f>+C58</f>
        <v>11666666.666666668</v>
      </c>
      <c r="D59" s="444">
        <f>+D58</f>
        <v>666666.66666666663</v>
      </c>
      <c r="E59" s="444">
        <f t="shared" si="0"/>
        <v>11000000.000000002</v>
      </c>
      <c r="F59" s="433" t="e">
        <f>+C$26*E59+D59</f>
        <v>#REF!</v>
      </c>
      <c r="G59" s="444">
        <f>+G58</f>
        <v>19928571.428571418</v>
      </c>
      <c r="H59" s="444">
        <f>+H58</f>
        <v>857142.85714285716</v>
      </c>
      <c r="I59" s="444">
        <f t="shared" si="2"/>
        <v>19071428.57142856</v>
      </c>
      <c r="J59" s="433" t="e">
        <f>+G$26*I59+H59</f>
        <v>#REF!</v>
      </c>
      <c r="K59" s="447">
        <f>+K58</f>
        <v>14375000</v>
      </c>
      <c r="L59" s="444">
        <f>+L58</f>
        <v>500000</v>
      </c>
      <c r="M59" s="444">
        <f t="shared" si="3"/>
        <v>13875000</v>
      </c>
      <c r="N59" s="433" t="e">
        <f>+K$26*M59+L59</f>
        <v>#REF!</v>
      </c>
      <c r="O59" s="447">
        <f>+O58</f>
        <v>22375000</v>
      </c>
      <c r="P59" s="444">
        <f>+P58</f>
        <v>750000</v>
      </c>
      <c r="Q59" s="444">
        <f t="shared" si="5"/>
        <v>21625000</v>
      </c>
      <c r="R59" s="433" t="e">
        <f>+O$26*Q59+P59</f>
        <v>#REF!</v>
      </c>
      <c r="S59" s="447">
        <f>+S58</f>
        <v>14583333.333333332</v>
      </c>
      <c r="T59" s="444">
        <f>+T58</f>
        <v>500000</v>
      </c>
      <c r="U59" s="444">
        <f t="shared" si="6"/>
        <v>14083333.333333332</v>
      </c>
      <c r="V59" s="433" t="e">
        <f>+S$26*U59+T59</f>
        <v>#REF!</v>
      </c>
      <c r="W59" s="447">
        <f>+W58</f>
        <v>22750000</v>
      </c>
      <c r="X59" s="444">
        <f>+X58</f>
        <v>750000</v>
      </c>
      <c r="Y59" s="444">
        <f t="shared" si="7"/>
        <v>22000000</v>
      </c>
      <c r="Z59" s="433" t="e">
        <f>+W$26*Y59+X59</f>
        <v>#REF!</v>
      </c>
      <c r="AA59" s="447">
        <f>+AA58</f>
        <v>14809523.809523813</v>
      </c>
      <c r="AB59" s="444">
        <f>+AB58</f>
        <v>571428.57142857148</v>
      </c>
      <c r="AC59" s="444">
        <f t="shared" si="8"/>
        <v>14238095.238095243</v>
      </c>
      <c r="AD59" s="433" t="e">
        <f>+AA$26*AC59+AB59</f>
        <v>#REF!</v>
      </c>
      <c r="AE59" s="447">
        <f>+AE58</f>
        <v>20000000</v>
      </c>
      <c r="AF59" s="444">
        <f>+AF58</f>
        <v>1200000</v>
      </c>
      <c r="AG59" s="444">
        <f t="shared" si="9"/>
        <v>18800000</v>
      </c>
      <c r="AH59" s="433" t="e">
        <f>+AE$26*AG59+AF59</f>
        <v>#REF!</v>
      </c>
      <c r="AI59" s="447">
        <f>+AI58</f>
        <v>14499999.999999996</v>
      </c>
      <c r="AJ59" s="444">
        <f>+AJ58</f>
        <v>666666.66666666663</v>
      </c>
      <c r="AK59" s="444">
        <f t="shared" si="10"/>
        <v>13833333.33333333</v>
      </c>
      <c r="AL59" s="433" t="e">
        <f>+AI$26*AK59+AJ59</f>
        <v>#REF!</v>
      </c>
      <c r="AM59" s="463" t="e">
        <f t="shared" si="1"/>
        <v>#REF!</v>
      </c>
      <c r="AN59" s="446" t="e">
        <f>+AM59</f>
        <v>#REF!</v>
      </c>
      <c r="AO59" s="372"/>
    </row>
    <row r="60" spans="1:41" ht="13">
      <c r="A60" s="374" t="s">
        <v>313</v>
      </c>
      <c r="B60" s="443">
        <f t="shared" si="4"/>
        <v>2019</v>
      </c>
      <c r="C60" s="444">
        <f>+E59</f>
        <v>11000000.000000002</v>
      </c>
      <c r="D60" s="444">
        <f>+C$28</f>
        <v>666666.66666666663</v>
      </c>
      <c r="E60" s="444">
        <f t="shared" si="0"/>
        <v>10333333.333333336</v>
      </c>
      <c r="F60" s="433" t="e">
        <f>+C$25*E60+D60</f>
        <v>#REF!</v>
      </c>
      <c r="G60" s="444">
        <f>+I59</f>
        <v>19071428.57142856</v>
      </c>
      <c r="H60" s="444">
        <f>+G$28</f>
        <v>857142.85714285716</v>
      </c>
      <c r="I60" s="444">
        <f t="shared" si="2"/>
        <v>18214285.714285702</v>
      </c>
      <c r="J60" s="433" t="e">
        <f>+G$25*I60+H60</f>
        <v>#REF!</v>
      </c>
      <c r="K60" s="447">
        <f>+M59</f>
        <v>13875000</v>
      </c>
      <c r="L60" s="444">
        <f>+K$28</f>
        <v>500000</v>
      </c>
      <c r="M60" s="444">
        <f t="shared" si="3"/>
        <v>13375000</v>
      </c>
      <c r="N60" s="433" t="e">
        <f>+K$25*M60+L60</f>
        <v>#REF!</v>
      </c>
      <c r="O60" s="447">
        <f>+Q59</f>
        <v>21625000</v>
      </c>
      <c r="P60" s="444">
        <f>+O$28</f>
        <v>750000</v>
      </c>
      <c r="Q60" s="444">
        <f t="shared" si="5"/>
        <v>20875000</v>
      </c>
      <c r="R60" s="433" t="e">
        <f>+O$25*Q60+P60</f>
        <v>#REF!</v>
      </c>
      <c r="S60" s="447">
        <f>+U59</f>
        <v>14083333.333333332</v>
      </c>
      <c r="T60" s="444">
        <f>+S$28</f>
        <v>500000</v>
      </c>
      <c r="U60" s="444">
        <f t="shared" si="6"/>
        <v>13583333.333333332</v>
      </c>
      <c r="V60" s="433" t="e">
        <f>+S$25*U60+T60</f>
        <v>#REF!</v>
      </c>
      <c r="W60" s="447">
        <f>+Y59</f>
        <v>22000000</v>
      </c>
      <c r="X60" s="444">
        <f>+W$28</f>
        <v>750000</v>
      </c>
      <c r="Y60" s="444">
        <f t="shared" si="7"/>
        <v>21250000</v>
      </c>
      <c r="Z60" s="433" t="e">
        <f>+W$25*Y60+X60</f>
        <v>#REF!</v>
      </c>
      <c r="AA60" s="447">
        <f>+AC59</f>
        <v>14238095.238095243</v>
      </c>
      <c r="AB60" s="444">
        <f>+AA$28</f>
        <v>571428.57142857148</v>
      </c>
      <c r="AC60" s="444">
        <f t="shared" si="8"/>
        <v>13666666.666666672</v>
      </c>
      <c r="AD60" s="433" t="e">
        <f>+AA$25*AC60+AB60</f>
        <v>#REF!</v>
      </c>
      <c r="AE60" s="447">
        <f>+AG59</f>
        <v>18800000</v>
      </c>
      <c r="AF60" s="444">
        <f>+AE$28</f>
        <v>1200000</v>
      </c>
      <c r="AG60" s="444">
        <f t="shared" si="9"/>
        <v>17600000</v>
      </c>
      <c r="AH60" s="433" t="e">
        <f>+AE$25*AG60+AF60</f>
        <v>#REF!</v>
      </c>
      <c r="AI60" s="447">
        <f>+AK59</f>
        <v>13833333.33333333</v>
      </c>
      <c r="AJ60" s="444">
        <f>+AI$28</f>
        <v>666666.66666666663</v>
      </c>
      <c r="AK60" s="444">
        <f t="shared" si="10"/>
        <v>13166666.666666664</v>
      </c>
      <c r="AL60" s="433" t="e">
        <f>+AI$25*AK60+AJ60</f>
        <v>#REF!</v>
      </c>
      <c r="AM60" s="463" t="e">
        <f t="shared" si="1"/>
        <v>#REF!</v>
      </c>
      <c r="AN60" s="188"/>
      <c r="AO60" s="445" t="e">
        <f>+AM60</f>
        <v>#REF!</v>
      </c>
    </row>
    <row r="61" spans="1:41" ht="13">
      <c r="A61" s="374" t="s">
        <v>286</v>
      </c>
      <c r="B61" s="443">
        <f t="shared" si="4"/>
        <v>2019</v>
      </c>
      <c r="C61" s="444">
        <f>+C60</f>
        <v>11000000.000000002</v>
      </c>
      <c r="D61" s="444">
        <f>+D60</f>
        <v>666666.66666666663</v>
      </c>
      <c r="E61" s="444">
        <f t="shared" si="0"/>
        <v>10333333.333333336</v>
      </c>
      <c r="F61" s="433" t="e">
        <f>+C$26*E61+D61</f>
        <v>#REF!</v>
      </c>
      <c r="G61" s="444">
        <f>+G60</f>
        <v>19071428.57142856</v>
      </c>
      <c r="H61" s="444">
        <f>+H60</f>
        <v>857142.85714285716</v>
      </c>
      <c r="I61" s="444">
        <f t="shared" si="2"/>
        <v>18214285.714285702</v>
      </c>
      <c r="J61" s="433" t="e">
        <f>+G$26*I61+H61</f>
        <v>#REF!</v>
      </c>
      <c r="K61" s="447">
        <f>+K60</f>
        <v>13875000</v>
      </c>
      <c r="L61" s="444">
        <f>+L60</f>
        <v>500000</v>
      </c>
      <c r="M61" s="444">
        <f t="shared" si="3"/>
        <v>13375000</v>
      </c>
      <c r="N61" s="433" t="e">
        <f>+K$26*M61+L61</f>
        <v>#REF!</v>
      </c>
      <c r="O61" s="447">
        <f>+O60</f>
        <v>21625000</v>
      </c>
      <c r="P61" s="444">
        <f>+P60</f>
        <v>750000</v>
      </c>
      <c r="Q61" s="444">
        <f t="shared" si="5"/>
        <v>20875000</v>
      </c>
      <c r="R61" s="433" t="e">
        <f>+O$26*Q61+P61</f>
        <v>#REF!</v>
      </c>
      <c r="S61" s="447">
        <f>+S60</f>
        <v>14083333.333333332</v>
      </c>
      <c r="T61" s="444">
        <f>+T60</f>
        <v>500000</v>
      </c>
      <c r="U61" s="444">
        <f t="shared" si="6"/>
        <v>13583333.333333332</v>
      </c>
      <c r="V61" s="433" t="e">
        <f>+S$26*U61+T61</f>
        <v>#REF!</v>
      </c>
      <c r="W61" s="447">
        <f>+W60</f>
        <v>22000000</v>
      </c>
      <c r="X61" s="444">
        <f>+X60</f>
        <v>750000</v>
      </c>
      <c r="Y61" s="444">
        <f t="shared" si="7"/>
        <v>21250000</v>
      </c>
      <c r="Z61" s="433" t="e">
        <f>+W$26*Y61+X61</f>
        <v>#REF!</v>
      </c>
      <c r="AA61" s="447">
        <f>+AA60</f>
        <v>14238095.238095243</v>
      </c>
      <c r="AB61" s="444">
        <f>+AB60</f>
        <v>571428.57142857148</v>
      </c>
      <c r="AC61" s="444">
        <f t="shared" si="8"/>
        <v>13666666.666666672</v>
      </c>
      <c r="AD61" s="433" t="e">
        <f>+AA$26*AC61+AB61</f>
        <v>#REF!</v>
      </c>
      <c r="AE61" s="447">
        <f>+AE60</f>
        <v>18800000</v>
      </c>
      <c r="AF61" s="444">
        <f>+AF60</f>
        <v>1200000</v>
      </c>
      <c r="AG61" s="444">
        <f t="shared" si="9"/>
        <v>17600000</v>
      </c>
      <c r="AH61" s="433" t="e">
        <f>+AE$26*AG61+AF61</f>
        <v>#REF!</v>
      </c>
      <c r="AI61" s="447">
        <f>+AI60</f>
        <v>13833333.33333333</v>
      </c>
      <c r="AJ61" s="444">
        <f>+AJ60</f>
        <v>666666.66666666663</v>
      </c>
      <c r="AK61" s="444">
        <f t="shared" si="10"/>
        <v>13166666.666666664</v>
      </c>
      <c r="AL61" s="433" t="e">
        <f>+AI$26*AK61+AJ61</f>
        <v>#REF!</v>
      </c>
      <c r="AM61" s="463" t="e">
        <f t="shared" si="1"/>
        <v>#REF!</v>
      </c>
      <c r="AN61" s="446" t="e">
        <f>+AM61</f>
        <v>#REF!</v>
      </c>
      <c r="AO61" s="372"/>
    </row>
    <row r="62" spans="1:41" ht="13">
      <c r="A62" s="374" t="s">
        <v>313</v>
      </c>
      <c r="B62" s="443">
        <f t="shared" si="4"/>
        <v>2020</v>
      </c>
      <c r="C62" s="444">
        <f>+E61</f>
        <v>10333333.333333336</v>
      </c>
      <c r="D62" s="444">
        <f>+C$28</f>
        <v>666666.66666666663</v>
      </c>
      <c r="E62" s="444">
        <f t="shared" si="0"/>
        <v>9666666.6666666698</v>
      </c>
      <c r="F62" s="433" t="e">
        <f>+C$25*E62+D62</f>
        <v>#REF!</v>
      </c>
      <c r="G62" s="444">
        <f>+I61</f>
        <v>18214285.714285702</v>
      </c>
      <c r="H62" s="444">
        <f>+G$28</f>
        <v>857142.85714285716</v>
      </c>
      <c r="I62" s="444">
        <f t="shared" si="2"/>
        <v>17357142.857142843</v>
      </c>
      <c r="J62" s="433" t="e">
        <f>+G$25*I62+H62</f>
        <v>#REF!</v>
      </c>
      <c r="K62" s="447">
        <f>+M61</f>
        <v>13375000</v>
      </c>
      <c r="L62" s="444">
        <f>+K$28</f>
        <v>500000</v>
      </c>
      <c r="M62" s="444">
        <f t="shared" si="3"/>
        <v>12875000</v>
      </c>
      <c r="N62" s="433" t="e">
        <f>+K$25*M62+L62</f>
        <v>#REF!</v>
      </c>
      <c r="O62" s="447">
        <f>+Q61</f>
        <v>20875000</v>
      </c>
      <c r="P62" s="444">
        <f>+O$28</f>
        <v>750000</v>
      </c>
      <c r="Q62" s="444">
        <f t="shared" si="5"/>
        <v>20125000</v>
      </c>
      <c r="R62" s="433" t="e">
        <f>+O$25*Q62+P62</f>
        <v>#REF!</v>
      </c>
      <c r="S62" s="447">
        <f>+U61</f>
        <v>13583333.333333332</v>
      </c>
      <c r="T62" s="444">
        <f>+S$28</f>
        <v>500000</v>
      </c>
      <c r="U62" s="444">
        <f t="shared" si="6"/>
        <v>13083333.333333332</v>
      </c>
      <c r="V62" s="433" t="e">
        <f>+S$25*U62+T62</f>
        <v>#REF!</v>
      </c>
      <c r="W62" s="447">
        <f>+Y61</f>
        <v>21250000</v>
      </c>
      <c r="X62" s="444">
        <f>+W$28</f>
        <v>750000</v>
      </c>
      <c r="Y62" s="444">
        <f t="shared" si="7"/>
        <v>20500000</v>
      </c>
      <c r="Z62" s="433" t="e">
        <f>+W$25*Y62+X62</f>
        <v>#REF!</v>
      </c>
      <c r="AA62" s="447">
        <f>+AC61</f>
        <v>13666666.666666672</v>
      </c>
      <c r="AB62" s="444">
        <f>+AA$28</f>
        <v>571428.57142857148</v>
      </c>
      <c r="AC62" s="444">
        <f t="shared" si="8"/>
        <v>13095238.095238101</v>
      </c>
      <c r="AD62" s="433" t="e">
        <f>+AA$25*AC62+AB62</f>
        <v>#REF!</v>
      </c>
      <c r="AE62" s="447">
        <f>+AG61</f>
        <v>17600000</v>
      </c>
      <c r="AF62" s="444">
        <f>+AE$28</f>
        <v>1200000</v>
      </c>
      <c r="AG62" s="444">
        <f t="shared" si="9"/>
        <v>16400000</v>
      </c>
      <c r="AH62" s="433" t="e">
        <f>+AE$25*AG62+AF62</f>
        <v>#REF!</v>
      </c>
      <c r="AI62" s="447">
        <f>+AK61</f>
        <v>13166666.666666664</v>
      </c>
      <c r="AJ62" s="444">
        <f>+AI$28</f>
        <v>666666.66666666663</v>
      </c>
      <c r="AK62" s="444">
        <f t="shared" si="10"/>
        <v>12499999.999999998</v>
      </c>
      <c r="AL62" s="433" t="e">
        <f>+AI$25*AK62+AJ62</f>
        <v>#REF!</v>
      </c>
      <c r="AM62" s="463" t="e">
        <f t="shared" si="1"/>
        <v>#REF!</v>
      </c>
      <c r="AN62" s="188"/>
      <c r="AO62" s="445" t="e">
        <f>+AM62</f>
        <v>#REF!</v>
      </c>
    </row>
    <row r="63" spans="1:41" ht="13">
      <c r="A63" s="374" t="s">
        <v>286</v>
      </c>
      <c r="B63" s="443">
        <f t="shared" si="4"/>
        <v>2020</v>
      </c>
      <c r="C63" s="444">
        <f>+C62</f>
        <v>10333333.333333336</v>
      </c>
      <c r="D63" s="444">
        <f>+D62</f>
        <v>666666.66666666663</v>
      </c>
      <c r="E63" s="444">
        <f t="shared" si="0"/>
        <v>9666666.6666666698</v>
      </c>
      <c r="F63" s="433" t="e">
        <f>+C$26*E63+D63</f>
        <v>#REF!</v>
      </c>
      <c r="G63" s="444">
        <f>+G62</f>
        <v>18214285.714285702</v>
      </c>
      <c r="H63" s="444">
        <f>+H62</f>
        <v>857142.85714285716</v>
      </c>
      <c r="I63" s="444">
        <f t="shared" si="2"/>
        <v>17357142.857142843</v>
      </c>
      <c r="J63" s="433" t="e">
        <f>+G$26*I63+H63</f>
        <v>#REF!</v>
      </c>
      <c r="K63" s="447">
        <f>+K62</f>
        <v>13375000</v>
      </c>
      <c r="L63" s="444">
        <f>+L62</f>
        <v>500000</v>
      </c>
      <c r="M63" s="444">
        <f t="shared" si="3"/>
        <v>12875000</v>
      </c>
      <c r="N63" s="433" t="e">
        <f>+K$26*M63+L63</f>
        <v>#REF!</v>
      </c>
      <c r="O63" s="447">
        <f>+O62</f>
        <v>20875000</v>
      </c>
      <c r="P63" s="444">
        <f>+P62</f>
        <v>750000</v>
      </c>
      <c r="Q63" s="444">
        <f t="shared" si="5"/>
        <v>20125000</v>
      </c>
      <c r="R63" s="433" t="e">
        <f>+O$26*Q63+P63</f>
        <v>#REF!</v>
      </c>
      <c r="S63" s="447">
        <f>+S62</f>
        <v>13583333.333333332</v>
      </c>
      <c r="T63" s="444">
        <f>+T62</f>
        <v>500000</v>
      </c>
      <c r="U63" s="444">
        <f t="shared" si="6"/>
        <v>13083333.333333332</v>
      </c>
      <c r="V63" s="433" t="e">
        <f>+S$26*U63+T63</f>
        <v>#REF!</v>
      </c>
      <c r="W63" s="447">
        <f>+W62</f>
        <v>21250000</v>
      </c>
      <c r="X63" s="444">
        <f>+X62</f>
        <v>750000</v>
      </c>
      <c r="Y63" s="444">
        <f t="shared" si="7"/>
        <v>20500000</v>
      </c>
      <c r="Z63" s="433" t="e">
        <f>+W$26*Y63+X63</f>
        <v>#REF!</v>
      </c>
      <c r="AA63" s="447">
        <f>+AA62</f>
        <v>13666666.666666672</v>
      </c>
      <c r="AB63" s="444">
        <f>+AB62</f>
        <v>571428.57142857148</v>
      </c>
      <c r="AC63" s="444">
        <f t="shared" si="8"/>
        <v>13095238.095238101</v>
      </c>
      <c r="AD63" s="433" t="e">
        <f>+AA$26*AC63+AB63</f>
        <v>#REF!</v>
      </c>
      <c r="AE63" s="447">
        <f>+AE62</f>
        <v>17600000</v>
      </c>
      <c r="AF63" s="444">
        <f>+AF62</f>
        <v>1200000</v>
      </c>
      <c r="AG63" s="444">
        <f t="shared" si="9"/>
        <v>16400000</v>
      </c>
      <c r="AH63" s="433" t="e">
        <f>+AE$26*AG63+AF63</f>
        <v>#REF!</v>
      </c>
      <c r="AI63" s="447">
        <f>+AI62</f>
        <v>13166666.666666664</v>
      </c>
      <c r="AJ63" s="444">
        <f>+AJ62</f>
        <v>666666.66666666663</v>
      </c>
      <c r="AK63" s="444">
        <f t="shared" si="10"/>
        <v>12499999.999999998</v>
      </c>
      <c r="AL63" s="433" t="e">
        <f>+AI$26*AK63+AJ63</f>
        <v>#REF!</v>
      </c>
      <c r="AM63" s="463" t="e">
        <f t="shared" si="1"/>
        <v>#REF!</v>
      </c>
      <c r="AN63" s="446" t="e">
        <f>+AM63</f>
        <v>#REF!</v>
      </c>
      <c r="AO63" s="372"/>
    </row>
    <row r="64" spans="1:41" ht="13">
      <c r="A64" s="374" t="s">
        <v>313</v>
      </c>
      <c r="B64" s="443">
        <f t="shared" si="4"/>
        <v>2021</v>
      </c>
      <c r="C64" s="444">
        <f>+E63</f>
        <v>9666666.6666666698</v>
      </c>
      <c r="D64" s="444">
        <f>+C$28</f>
        <v>666666.66666666663</v>
      </c>
      <c r="E64" s="444">
        <f t="shared" si="11" ref="E64:E71">=+C64-D64</f>
        <v>9000000.0000000037</v>
      </c>
      <c r="F64" s="433" t="e">
        <f>+C$25*E64+D64</f>
        <v>#REF!</v>
      </c>
      <c r="G64" s="444">
        <f>+I63</f>
        <v>17357142.857142843</v>
      </c>
      <c r="H64" s="444">
        <f>+G$28</f>
        <v>857142.85714285716</v>
      </c>
      <c r="I64" s="444">
        <f t="shared" si="2"/>
        <v>16499999.999999987</v>
      </c>
      <c r="J64" s="433" t="e">
        <f>+G$25*I64+H64</f>
        <v>#REF!</v>
      </c>
      <c r="K64" s="447">
        <f>+M63</f>
        <v>12875000</v>
      </c>
      <c r="L64" s="444">
        <f>+K$28</f>
        <v>500000</v>
      </c>
      <c r="M64" s="444">
        <f t="shared" si="3"/>
        <v>12375000</v>
      </c>
      <c r="N64" s="433" t="e">
        <f>+K$25*M64+L64</f>
        <v>#REF!</v>
      </c>
      <c r="O64" s="447">
        <f>+Q63</f>
        <v>20125000</v>
      </c>
      <c r="P64" s="444">
        <f>+O$28</f>
        <v>750000</v>
      </c>
      <c r="Q64" s="444">
        <f t="shared" si="5"/>
        <v>19375000</v>
      </c>
      <c r="R64" s="433" t="e">
        <f>+O$25*Q64+P64</f>
        <v>#REF!</v>
      </c>
      <c r="S64" s="447">
        <f>+U63</f>
        <v>13083333.333333332</v>
      </c>
      <c r="T64" s="444">
        <f>+S$28</f>
        <v>500000</v>
      </c>
      <c r="U64" s="444">
        <f t="shared" si="6"/>
        <v>12583333.333333332</v>
      </c>
      <c r="V64" s="433" t="e">
        <f>+S$25*U64+T64</f>
        <v>#REF!</v>
      </c>
      <c r="W64" s="447">
        <f>+Y63</f>
        <v>20500000</v>
      </c>
      <c r="X64" s="444">
        <f>+W$28</f>
        <v>750000</v>
      </c>
      <c r="Y64" s="444">
        <f t="shared" si="7"/>
        <v>19750000</v>
      </c>
      <c r="Z64" s="433" t="e">
        <f>+W$25*Y64+X64</f>
        <v>#REF!</v>
      </c>
      <c r="AA64" s="447">
        <f>+AC63</f>
        <v>13095238.095238101</v>
      </c>
      <c r="AB64" s="444">
        <f>+AA$28</f>
        <v>571428.57142857148</v>
      </c>
      <c r="AC64" s="444">
        <f t="shared" si="8"/>
        <v>12523809.52380953</v>
      </c>
      <c r="AD64" s="433" t="e">
        <f>+AA$25*AC64+AB64</f>
        <v>#REF!</v>
      </c>
      <c r="AE64" s="447">
        <f>+AG63</f>
        <v>16400000</v>
      </c>
      <c r="AF64" s="444">
        <f>+AE$28</f>
        <v>1200000</v>
      </c>
      <c r="AG64" s="444">
        <f t="shared" si="9"/>
        <v>15200000</v>
      </c>
      <c r="AH64" s="433" t="e">
        <f>+AE$25*AG64+AF64</f>
        <v>#REF!</v>
      </c>
      <c r="AI64" s="447">
        <f>+AK63</f>
        <v>12499999.999999998</v>
      </c>
      <c r="AJ64" s="444">
        <f>+AI$28</f>
        <v>666666.66666666663</v>
      </c>
      <c r="AK64" s="444">
        <f t="shared" si="10"/>
        <v>11833333.333333332</v>
      </c>
      <c r="AL64" s="433" t="e">
        <f>+AI$25*AK64+AJ64</f>
        <v>#REF!</v>
      </c>
      <c r="AM64" s="463" t="e">
        <f t="shared" si="1"/>
        <v>#REF!</v>
      </c>
      <c r="AN64" s="188"/>
      <c r="AO64" s="445" t="e">
        <f>+AM64</f>
        <v>#REF!</v>
      </c>
    </row>
    <row r="65" spans="1:41" ht="13">
      <c r="A65" s="374" t="s">
        <v>286</v>
      </c>
      <c r="B65" s="443">
        <f t="shared" si="4"/>
        <v>2021</v>
      </c>
      <c r="C65" s="444">
        <f>+C64</f>
        <v>9666666.6666666698</v>
      </c>
      <c r="D65" s="444">
        <f>+D64</f>
        <v>666666.66666666663</v>
      </c>
      <c r="E65" s="444">
        <f t="shared" si="11"/>
        <v>9000000.0000000037</v>
      </c>
      <c r="F65" s="433" t="e">
        <f>+C$26*E65+D65</f>
        <v>#REF!</v>
      </c>
      <c r="G65" s="444">
        <f>+G64</f>
        <v>17357142.857142843</v>
      </c>
      <c r="H65" s="444">
        <f>+H64</f>
        <v>857142.85714285716</v>
      </c>
      <c r="I65" s="444">
        <f t="shared" si="2"/>
        <v>16499999.999999987</v>
      </c>
      <c r="J65" s="433" t="e">
        <f>+G$26*I65+H65</f>
        <v>#REF!</v>
      </c>
      <c r="K65" s="447">
        <f>+K64</f>
        <v>12875000</v>
      </c>
      <c r="L65" s="444">
        <f>+L64</f>
        <v>500000</v>
      </c>
      <c r="M65" s="444">
        <f t="shared" si="3"/>
        <v>12375000</v>
      </c>
      <c r="N65" s="433" t="e">
        <f>+K$26*M65+L65</f>
        <v>#REF!</v>
      </c>
      <c r="O65" s="447">
        <f>+O64</f>
        <v>20125000</v>
      </c>
      <c r="P65" s="444">
        <f>+P64</f>
        <v>750000</v>
      </c>
      <c r="Q65" s="444">
        <f t="shared" si="5"/>
        <v>19375000</v>
      </c>
      <c r="R65" s="433" t="e">
        <f>+O$26*Q65+P65</f>
        <v>#REF!</v>
      </c>
      <c r="S65" s="447">
        <f>+S64</f>
        <v>13083333.333333332</v>
      </c>
      <c r="T65" s="444">
        <f>+T64</f>
        <v>500000</v>
      </c>
      <c r="U65" s="444">
        <f t="shared" si="6"/>
        <v>12583333.333333332</v>
      </c>
      <c r="V65" s="433" t="e">
        <f>+S$26*U65+T65</f>
        <v>#REF!</v>
      </c>
      <c r="W65" s="447">
        <f>+W64</f>
        <v>20500000</v>
      </c>
      <c r="X65" s="444">
        <f>+X64</f>
        <v>750000</v>
      </c>
      <c r="Y65" s="444">
        <f t="shared" si="7"/>
        <v>19750000</v>
      </c>
      <c r="Z65" s="433" t="e">
        <f>+W$26*Y65+X65</f>
        <v>#REF!</v>
      </c>
      <c r="AA65" s="447">
        <f>+AA64</f>
        <v>13095238.095238101</v>
      </c>
      <c r="AB65" s="444">
        <f>+AB64</f>
        <v>571428.57142857148</v>
      </c>
      <c r="AC65" s="444">
        <f t="shared" si="8"/>
        <v>12523809.52380953</v>
      </c>
      <c r="AD65" s="433" t="e">
        <f>+AA$26*AC65+AB65</f>
        <v>#REF!</v>
      </c>
      <c r="AE65" s="447">
        <f>+AE64</f>
        <v>16400000</v>
      </c>
      <c r="AF65" s="444">
        <f>+AF64</f>
        <v>1200000</v>
      </c>
      <c r="AG65" s="444">
        <f t="shared" si="9"/>
        <v>15200000</v>
      </c>
      <c r="AH65" s="433" t="e">
        <f>+AE$26*AG65+AF65</f>
        <v>#REF!</v>
      </c>
      <c r="AI65" s="447">
        <f>+AI64</f>
        <v>12499999.999999998</v>
      </c>
      <c r="AJ65" s="444">
        <f>+AJ64</f>
        <v>666666.66666666663</v>
      </c>
      <c r="AK65" s="444">
        <f t="shared" si="10"/>
        <v>11833333.333333332</v>
      </c>
      <c r="AL65" s="433" t="e">
        <f>+AI$26*AK65+AJ65</f>
        <v>#REF!</v>
      </c>
      <c r="AM65" s="463" t="e">
        <f t="shared" si="1"/>
        <v>#REF!</v>
      </c>
      <c r="AN65" s="446" t="e">
        <f>+AM65</f>
        <v>#REF!</v>
      </c>
      <c r="AO65" s="372"/>
    </row>
    <row r="66" spans="1:41" ht="13">
      <c r="A66" s="374" t="s">
        <v>313</v>
      </c>
      <c r="B66" s="443">
        <f t="shared" si="4"/>
        <v>2022</v>
      </c>
      <c r="C66" s="444">
        <f>+E65</f>
        <v>9000000.0000000037</v>
      </c>
      <c r="D66" s="444">
        <f>+C$28</f>
        <v>666666.66666666663</v>
      </c>
      <c r="E66" s="444">
        <f t="shared" si="11"/>
        <v>8333333.3333333367</v>
      </c>
      <c r="F66" s="433" t="e">
        <f>+C$25*E66+D66</f>
        <v>#REF!</v>
      </c>
      <c r="G66" s="444">
        <f>+I65</f>
        <v>16499999.999999987</v>
      </c>
      <c r="H66" s="444">
        <f>+G$28</f>
        <v>857142.85714285716</v>
      </c>
      <c r="I66" s="444">
        <f t="shared" si="12" ref="I66:I71">=+G66-H66</f>
        <v>15642857.142857131</v>
      </c>
      <c r="J66" s="433" t="e">
        <f>+G$25*I66+H66</f>
        <v>#REF!</v>
      </c>
      <c r="K66" s="447">
        <f>+M65</f>
        <v>12375000</v>
      </c>
      <c r="L66" s="444">
        <f>+K$28</f>
        <v>500000</v>
      </c>
      <c r="M66" s="444">
        <f t="shared" si="13" ref="M66:M71">=+K66-L66</f>
        <v>11875000</v>
      </c>
      <c r="N66" s="433" t="e">
        <f>+K$25*M66+L66</f>
        <v>#REF!</v>
      </c>
      <c r="O66" s="447">
        <f>+Q65</f>
        <v>19375000</v>
      </c>
      <c r="P66" s="444">
        <f>+O$28</f>
        <v>750000</v>
      </c>
      <c r="Q66" s="444">
        <f t="shared" si="5"/>
        <v>18625000</v>
      </c>
      <c r="R66" s="433" t="e">
        <f>+O$25*Q66+P66</f>
        <v>#REF!</v>
      </c>
      <c r="S66" s="447">
        <f>+U65</f>
        <v>12583333.333333332</v>
      </c>
      <c r="T66" s="444">
        <f>+S$28</f>
        <v>500000</v>
      </c>
      <c r="U66" s="444">
        <f t="shared" si="6"/>
        <v>12083333.333333332</v>
      </c>
      <c r="V66" s="433" t="e">
        <f>+S$25*U66+T66</f>
        <v>#REF!</v>
      </c>
      <c r="W66" s="447">
        <f>+Y65</f>
        <v>19750000</v>
      </c>
      <c r="X66" s="444">
        <f>+W$28</f>
        <v>750000</v>
      </c>
      <c r="Y66" s="444">
        <f t="shared" si="7"/>
        <v>19000000</v>
      </c>
      <c r="Z66" s="433" t="e">
        <f>+W$25*Y66+X66</f>
        <v>#REF!</v>
      </c>
      <c r="AA66" s="447">
        <f>+AC65</f>
        <v>12523809.52380953</v>
      </c>
      <c r="AB66" s="444">
        <f>+AA$28</f>
        <v>571428.57142857148</v>
      </c>
      <c r="AC66" s="444">
        <f t="shared" si="8"/>
        <v>11952380.952380959</v>
      </c>
      <c r="AD66" s="433" t="e">
        <f>+AA$25*AC66+AB66</f>
        <v>#REF!</v>
      </c>
      <c r="AE66" s="447">
        <f>+AG65</f>
        <v>15200000</v>
      </c>
      <c r="AF66" s="444">
        <f>+AE$28</f>
        <v>1200000</v>
      </c>
      <c r="AG66" s="444">
        <f t="shared" si="9"/>
        <v>14000000</v>
      </c>
      <c r="AH66" s="433" t="e">
        <f>+AE$25*AG66+AF66</f>
        <v>#REF!</v>
      </c>
      <c r="AI66" s="447">
        <f>+AK65</f>
        <v>11833333.333333332</v>
      </c>
      <c r="AJ66" s="444">
        <f>+AI$28</f>
        <v>666666.66666666663</v>
      </c>
      <c r="AK66" s="444">
        <f t="shared" si="10"/>
        <v>11166666.666666666</v>
      </c>
      <c r="AL66" s="433" t="e">
        <f>+AI$25*AK66+AJ66</f>
        <v>#REF!</v>
      </c>
      <c r="AM66" s="463" t="e">
        <f t="shared" si="1"/>
        <v>#REF!</v>
      </c>
      <c r="AN66" s="188"/>
      <c r="AO66" s="445" t="e">
        <f>+AM66</f>
        <v>#REF!</v>
      </c>
    </row>
    <row r="67" spans="1:41" ht="13">
      <c r="A67" s="374" t="s">
        <v>286</v>
      </c>
      <c r="B67" s="443">
        <f t="shared" si="4"/>
        <v>2022</v>
      </c>
      <c r="C67" s="444">
        <f>+C66</f>
        <v>9000000.0000000037</v>
      </c>
      <c r="D67" s="444">
        <f>+D66</f>
        <v>666666.66666666663</v>
      </c>
      <c r="E67" s="444">
        <f t="shared" si="11"/>
        <v>8333333.3333333367</v>
      </c>
      <c r="F67" s="433" t="e">
        <f>+C$26*E67+D67</f>
        <v>#REF!</v>
      </c>
      <c r="G67" s="444">
        <f>+G66</f>
        <v>16499999.999999987</v>
      </c>
      <c r="H67" s="444">
        <f>+H66</f>
        <v>857142.85714285716</v>
      </c>
      <c r="I67" s="444">
        <f t="shared" si="12"/>
        <v>15642857.142857131</v>
      </c>
      <c r="J67" s="433" t="e">
        <f>+G$26*I67+H67</f>
        <v>#REF!</v>
      </c>
      <c r="K67" s="447">
        <f>+K66</f>
        <v>12375000</v>
      </c>
      <c r="L67" s="444">
        <f>+L66</f>
        <v>500000</v>
      </c>
      <c r="M67" s="444">
        <f t="shared" si="13"/>
        <v>11875000</v>
      </c>
      <c r="N67" s="433" t="e">
        <f>+K$26*M67+L67</f>
        <v>#REF!</v>
      </c>
      <c r="O67" s="447">
        <f>+O66</f>
        <v>19375000</v>
      </c>
      <c r="P67" s="444">
        <f>+P66</f>
        <v>750000</v>
      </c>
      <c r="Q67" s="444">
        <f t="shared" si="5"/>
        <v>18625000</v>
      </c>
      <c r="R67" s="433" t="e">
        <f>+O$26*Q67+P67</f>
        <v>#REF!</v>
      </c>
      <c r="S67" s="447">
        <f>+S66</f>
        <v>12583333.333333332</v>
      </c>
      <c r="T67" s="444">
        <f>+T66</f>
        <v>500000</v>
      </c>
      <c r="U67" s="444">
        <f t="shared" si="6"/>
        <v>12083333.333333332</v>
      </c>
      <c r="V67" s="433" t="e">
        <f>+S$26*U67+T67</f>
        <v>#REF!</v>
      </c>
      <c r="W67" s="447">
        <f>+W66</f>
        <v>19750000</v>
      </c>
      <c r="X67" s="444">
        <f>+X66</f>
        <v>750000</v>
      </c>
      <c r="Y67" s="444">
        <f t="shared" si="7"/>
        <v>19000000</v>
      </c>
      <c r="Z67" s="433" t="e">
        <f>+W$26*Y67+X67</f>
        <v>#REF!</v>
      </c>
      <c r="AA67" s="447">
        <f>+AA66</f>
        <v>12523809.52380953</v>
      </c>
      <c r="AB67" s="444">
        <f>+AB66</f>
        <v>571428.57142857148</v>
      </c>
      <c r="AC67" s="444">
        <f t="shared" si="8"/>
        <v>11952380.952380959</v>
      </c>
      <c r="AD67" s="433" t="e">
        <f>+AA$26*AC67+AB67</f>
        <v>#REF!</v>
      </c>
      <c r="AE67" s="447">
        <f>+AE66</f>
        <v>15200000</v>
      </c>
      <c r="AF67" s="444">
        <f>+AF66</f>
        <v>1200000</v>
      </c>
      <c r="AG67" s="444">
        <f t="shared" si="9"/>
        <v>14000000</v>
      </c>
      <c r="AH67" s="433" t="e">
        <f>+AE$26*AG67+AF67</f>
        <v>#REF!</v>
      </c>
      <c r="AI67" s="447">
        <f>+AI66</f>
        <v>11833333.333333332</v>
      </c>
      <c r="AJ67" s="444">
        <f>+AJ66</f>
        <v>666666.66666666663</v>
      </c>
      <c r="AK67" s="444">
        <f t="shared" si="10"/>
        <v>11166666.666666666</v>
      </c>
      <c r="AL67" s="433" t="e">
        <f>+AI$26*AK67+AJ67</f>
        <v>#REF!</v>
      </c>
      <c r="AM67" s="463" t="e">
        <f t="shared" si="1"/>
        <v>#REF!</v>
      </c>
      <c r="AN67" s="446" t="e">
        <f>+AM67</f>
        <v>#REF!</v>
      </c>
      <c r="AO67" s="372"/>
    </row>
    <row r="68" spans="1:41" ht="13">
      <c r="A68" s="374" t="s">
        <v>313</v>
      </c>
      <c r="B68" s="443">
        <f t="shared" si="4"/>
        <v>2023</v>
      </c>
      <c r="C68" s="444">
        <f>+E67</f>
        <v>8333333.3333333367</v>
      </c>
      <c r="D68" s="444">
        <f>+C$28</f>
        <v>666666.66666666663</v>
      </c>
      <c r="E68" s="444">
        <f t="shared" si="11"/>
        <v>7666666.6666666698</v>
      </c>
      <c r="F68" s="433" t="e">
        <f>+C$25*E68+D68</f>
        <v>#REF!</v>
      </c>
      <c r="G68" s="444">
        <f>+I67</f>
        <v>15642857.142857131</v>
      </c>
      <c r="H68" s="444">
        <f>+G$28</f>
        <v>857142.85714285716</v>
      </c>
      <c r="I68" s="444">
        <f t="shared" si="12"/>
        <v>14785714.285714274</v>
      </c>
      <c r="J68" s="433" t="e">
        <f>+G$25*I68+H68</f>
        <v>#REF!</v>
      </c>
      <c r="K68" s="447">
        <f>+M67</f>
        <v>11875000</v>
      </c>
      <c r="L68" s="444">
        <f>+K$28</f>
        <v>500000</v>
      </c>
      <c r="M68" s="444">
        <f t="shared" si="13"/>
        <v>11375000</v>
      </c>
      <c r="N68" s="433" t="e">
        <f>+K$25*M68+L68</f>
        <v>#REF!</v>
      </c>
      <c r="O68" s="447">
        <f>+Q67</f>
        <v>18625000</v>
      </c>
      <c r="P68" s="444">
        <f>+O$28</f>
        <v>750000</v>
      </c>
      <c r="Q68" s="444">
        <f>+O68-P68</f>
        <v>17875000</v>
      </c>
      <c r="R68" s="433" t="e">
        <f>+O$25*Q68+P68</f>
        <v>#REF!</v>
      </c>
      <c r="S68" s="447">
        <f>+U67</f>
        <v>12083333.333333332</v>
      </c>
      <c r="T68" s="444">
        <f>+S$28</f>
        <v>500000</v>
      </c>
      <c r="U68" s="444">
        <f>+S68-T68</f>
        <v>11583333.333333332</v>
      </c>
      <c r="V68" s="433" t="e">
        <f>+S$25*U68+T68</f>
        <v>#REF!</v>
      </c>
      <c r="W68" s="447">
        <f>+Y67</f>
        <v>19000000</v>
      </c>
      <c r="X68" s="444">
        <f>+W$28</f>
        <v>750000</v>
      </c>
      <c r="Y68" s="444">
        <f t="shared" si="7"/>
        <v>18250000</v>
      </c>
      <c r="Z68" s="433" t="e">
        <f>+W$25*Y68+X68</f>
        <v>#REF!</v>
      </c>
      <c r="AA68" s="447">
        <f>+AC67</f>
        <v>11952380.952380959</v>
      </c>
      <c r="AB68" s="444">
        <f>+AA$28</f>
        <v>571428.57142857148</v>
      </c>
      <c r="AC68" s="444">
        <f t="shared" si="8"/>
        <v>11380952.380952388</v>
      </c>
      <c r="AD68" s="433" t="e">
        <f>+AA$25*AC68+AB68</f>
        <v>#REF!</v>
      </c>
      <c r="AE68" s="447">
        <f>+AG67</f>
        <v>14000000</v>
      </c>
      <c r="AF68" s="444">
        <f>+AE$28</f>
        <v>1200000</v>
      </c>
      <c r="AG68" s="444">
        <f t="shared" si="9"/>
        <v>12800000</v>
      </c>
      <c r="AH68" s="433" t="e">
        <f>+AE$25*AG68+AF68</f>
        <v>#REF!</v>
      </c>
      <c r="AI68" s="447">
        <f>+AK67</f>
        <v>11166666.666666666</v>
      </c>
      <c r="AJ68" s="444">
        <f>+AI$28</f>
        <v>666666.66666666663</v>
      </c>
      <c r="AK68" s="444">
        <f t="shared" si="10"/>
        <v>10500000</v>
      </c>
      <c r="AL68" s="433" t="e">
        <f>+AI$25*AK68+AJ68</f>
        <v>#REF!</v>
      </c>
      <c r="AM68" s="463" t="e">
        <f t="shared" si="1"/>
        <v>#REF!</v>
      </c>
      <c r="AN68" s="188"/>
      <c r="AO68" s="445" t="e">
        <f>+AM68</f>
        <v>#REF!</v>
      </c>
    </row>
    <row r="69" spans="1:41" ht="13">
      <c r="A69" s="374" t="s">
        <v>286</v>
      </c>
      <c r="B69" s="443">
        <f t="shared" si="4"/>
        <v>2023</v>
      </c>
      <c r="C69" s="444">
        <f>+C68</f>
        <v>8333333.3333333367</v>
      </c>
      <c r="D69" s="444">
        <f>+D68</f>
        <v>666666.66666666663</v>
      </c>
      <c r="E69" s="444">
        <f t="shared" si="11"/>
        <v>7666666.6666666698</v>
      </c>
      <c r="F69" s="433" t="e">
        <f>+C$26*E69+D69</f>
        <v>#REF!</v>
      </c>
      <c r="G69" s="444">
        <f>+G68</f>
        <v>15642857.142857131</v>
      </c>
      <c r="H69" s="444">
        <f>+H68</f>
        <v>857142.85714285716</v>
      </c>
      <c r="I69" s="444">
        <f t="shared" si="12"/>
        <v>14785714.285714274</v>
      </c>
      <c r="J69" s="433" t="e">
        <f>+G$26*I69+H69</f>
        <v>#REF!</v>
      </c>
      <c r="K69" s="447">
        <f>+K68</f>
        <v>11875000</v>
      </c>
      <c r="L69" s="444">
        <f>+L68</f>
        <v>500000</v>
      </c>
      <c r="M69" s="444">
        <f t="shared" si="13"/>
        <v>11375000</v>
      </c>
      <c r="N69" s="433" t="e">
        <f>+K$26*M69+L69</f>
        <v>#REF!</v>
      </c>
      <c r="O69" s="447">
        <f>+O68</f>
        <v>18625000</v>
      </c>
      <c r="P69" s="444">
        <f>+P68</f>
        <v>750000</v>
      </c>
      <c r="Q69" s="444">
        <f>+O69-P69</f>
        <v>17875000</v>
      </c>
      <c r="R69" s="433" t="e">
        <f>+O$26*Q69+P69</f>
        <v>#REF!</v>
      </c>
      <c r="S69" s="447">
        <f>+S68</f>
        <v>12083333.333333332</v>
      </c>
      <c r="T69" s="444">
        <f>+T68</f>
        <v>500000</v>
      </c>
      <c r="U69" s="444">
        <f>+S69-T69</f>
        <v>11583333.333333332</v>
      </c>
      <c r="V69" s="433" t="e">
        <f>+S$26*U69+T69</f>
        <v>#REF!</v>
      </c>
      <c r="W69" s="447">
        <f>+W68</f>
        <v>19000000</v>
      </c>
      <c r="X69" s="444">
        <f>+X68</f>
        <v>750000</v>
      </c>
      <c r="Y69" s="444">
        <f t="shared" si="7"/>
        <v>18250000</v>
      </c>
      <c r="Z69" s="433" t="e">
        <f>+W$26*Y69+X69</f>
        <v>#REF!</v>
      </c>
      <c r="AA69" s="447">
        <f>+AA68</f>
        <v>11952380.952380959</v>
      </c>
      <c r="AB69" s="444">
        <f>+AB68</f>
        <v>571428.57142857148</v>
      </c>
      <c r="AC69" s="444">
        <f t="shared" si="8"/>
        <v>11380952.380952388</v>
      </c>
      <c r="AD69" s="433" t="e">
        <f>+AA$26*AC69+AB69</f>
        <v>#REF!</v>
      </c>
      <c r="AE69" s="447">
        <f>+AE68</f>
        <v>14000000</v>
      </c>
      <c r="AF69" s="444">
        <f>+AF68</f>
        <v>1200000</v>
      </c>
      <c r="AG69" s="444">
        <f t="shared" si="9"/>
        <v>12800000</v>
      </c>
      <c r="AH69" s="433" t="e">
        <f>+AE$26*AG69+AF69</f>
        <v>#REF!</v>
      </c>
      <c r="AI69" s="447">
        <f>+AI68</f>
        <v>11166666.666666666</v>
      </c>
      <c r="AJ69" s="444">
        <f>+AJ68</f>
        <v>666666.66666666663</v>
      </c>
      <c r="AK69" s="444">
        <f t="shared" si="10"/>
        <v>10500000</v>
      </c>
      <c r="AL69" s="433" t="e">
        <f>+AI$26*AK69+AJ69</f>
        <v>#REF!</v>
      </c>
      <c r="AM69" s="463" t="e">
        <f t="shared" si="1"/>
        <v>#REF!</v>
      </c>
      <c r="AN69" s="446" t="e">
        <f>+AM69</f>
        <v>#REF!</v>
      </c>
      <c r="AO69" s="372"/>
    </row>
    <row r="70" spans="1:41" ht="13">
      <c r="A70" s="374" t="s">
        <v>313</v>
      </c>
      <c r="B70" s="443">
        <f t="shared" si="4"/>
        <v>2024</v>
      </c>
      <c r="C70" s="444">
        <f>+E69</f>
        <v>7666666.6666666698</v>
      </c>
      <c r="D70" s="444">
        <f>+C$28</f>
        <v>666666.66666666663</v>
      </c>
      <c r="E70" s="444">
        <f t="shared" si="11"/>
        <v>7000000.0000000028</v>
      </c>
      <c r="F70" s="433" t="e">
        <f>+C$25*E70+D70</f>
        <v>#REF!</v>
      </c>
      <c r="G70" s="444">
        <f>+I69</f>
        <v>14785714.285714274</v>
      </c>
      <c r="H70" s="444">
        <f>+G$28</f>
        <v>857142.85714285716</v>
      </c>
      <c r="I70" s="444">
        <f t="shared" si="12"/>
        <v>13928571.428571418</v>
      </c>
      <c r="J70" s="433" t="e">
        <f>+G$25*I70+H70</f>
        <v>#REF!</v>
      </c>
      <c r="K70" s="447">
        <f>+M69</f>
        <v>11375000</v>
      </c>
      <c r="L70" s="444">
        <f>+K$28</f>
        <v>500000</v>
      </c>
      <c r="M70" s="444">
        <f t="shared" si="13"/>
        <v>10875000</v>
      </c>
      <c r="N70" s="433" t="e">
        <f>+K$25*M70+L70</f>
        <v>#REF!</v>
      </c>
      <c r="O70" s="447">
        <f>+Q69</f>
        <v>17875000</v>
      </c>
      <c r="P70" s="444">
        <f>+O$28</f>
        <v>750000</v>
      </c>
      <c r="Q70" s="444">
        <f>+O70-P70</f>
        <v>17125000</v>
      </c>
      <c r="R70" s="433" t="e">
        <f>+O$25*Q70+P70</f>
        <v>#REF!</v>
      </c>
      <c r="S70" s="447">
        <f>+U69</f>
        <v>11583333.333333332</v>
      </c>
      <c r="T70" s="444">
        <f>+S$28</f>
        <v>500000</v>
      </c>
      <c r="U70" s="444">
        <f>+S70-T70</f>
        <v>11083333.333333332</v>
      </c>
      <c r="V70" s="433" t="e">
        <f>+S$25*U70+T70</f>
        <v>#REF!</v>
      </c>
      <c r="W70" s="447">
        <f>+Y69</f>
        <v>18250000</v>
      </c>
      <c r="X70" s="444">
        <f>+W$28</f>
        <v>750000</v>
      </c>
      <c r="Y70" s="444">
        <f>+W70-X70</f>
        <v>17500000</v>
      </c>
      <c r="Z70" s="433" t="e">
        <f>+W$25*Y70+X70</f>
        <v>#REF!</v>
      </c>
      <c r="AA70" s="447">
        <f>+AC69</f>
        <v>11380952.380952388</v>
      </c>
      <c r="AB70" s="444">
        <f>+AA$28</f>
        <v>571428.57142857148</v>
      </c>
      <c r="AC70" s="444">
        <f>+AA70-AB70</f>
        <v>10809523.809523817</v>
      </c>
      <c r="AD70" s="433" t="e">
        <f>+AA$25*AC70+AB70</f>
        <v>#REF!</v>
      </c>
      <c r="AE70" s="447">
        <f>+AG69</f>
        <v>12800000</v>
      </c>
      <c r="AF70" s="444">
        <f>+AE$28</f>
        <v>1200000</v>
      </c>
      <c r="AG70" s="444">
        <f t="shared" si="9"/>
        <v>11600000</v>
      </c>
      <c r="AH70" s="433" t="e">
        <f>+AE$25*AG70+AF70</f>
        <v>#REF!</v>
      </c>
      <c r="AI70" s="447">
        <f>+AK69</f>
        <v>10500000</v>
      </c>
      <c r="AJ70" s="444">
        <f>+AI$28</f>
        <v>666666.66666666663</v>
      </c>
      <c r="AK70" s="444">
        <f t="shared" si="10"/>
        <v>9833333.333333334</v>
      </c>
      <c r="AL70" s="433" t="e">
        <f>+AI$25*AK70+AJ70</f>
        <v>#REF!</v>
      </c>
      <c r="AM70" s="463" t="e">
        <f t="shared" si="1"/>
        <v>#REF!</v>
      </c>
      <c r="AN70" s="188"/>
      <c r="AO70" s="445" t="e">
        <f>+AM70</f>
        <v>#REF!</v>
      </c>
    </row>
    <row r="71" spans="1:41" ht="13">
      <c r="A71" s="374" t="s">
        <v>286</v>
      </c>
      <c r="B71" s="443">
        <f t="shared" si="4"/>
        <v>2024</v>
      </c>
      <c r="C71" s="444"/>
      <c r="D71" s="444">
        <f>+D70</f>
        <v>666666.66666666663</v>
      </c>
      <c r="E71" s="444">
        <f t="shared" si="11"/>
        <v>-666666.66666666663</v>
      </c>
      <c r="F71" s="433" t="e">
        <f>+C$26*E71+D71</f>
        <v>#REF!</v>
      </c>
      <c r="G71" s="444">
        <f>+G70</f>
        <v>14785714.285714274</v>
      </c>
      <c r="H71" s="444">
        <f>+H70</f>
        <v>857142.85714285716</v>
      </c>
      <c r="I71" s="444">
        <f t="shared" si="12"/>
        <v>13928571.428571418</v>
      </c>
      <c r="J71" s="433" t="e">
        <f>+G$26*I71+H71</f>
        <v>#REF!</v>
      </c>
      <c r="K71" s="447">
        <f>+K70</f>
        <v>11375000</v>
      </c>
      <c r="L71" s="444">
        <f>+L70</f>
        <v>500000</v>
      </c>
      <c r="M71" s="444">
        <f t="shared" si="13"/>
        <v>10875000</v>
      </c>
      <c r="N71" s="433" t="e">
        <f>+K$26*M71+L71</f>
        <v>#REF!</v>
      </c>
      <c r="O71" s="447">
        <f>+O70</f>
        <v>17875000</v>
      </c>
      <c r="P71" s="444">
        <f>+P70</f>
        <v>750000</v>
      </c>
      <c r="Q71" s="444">
        <f>+O71-P71</f>
        <v>17125000</v>
      </c>
      <c r="R71" s="433" t="e">
        <f>+O$26*Q71+P71</f>
        <v>#REF!</v>
      </c>
      <c r="S71" s="447">
        <f>+S70</f>
        <v>11583333.333333332</v>
      </c>
      <c r="T71" s="444">
        <f>+T70</f>
        <v>500000</v>
      </c>
      <c r="U71" s="444">
        <f>+S71-T71</f>
        <v>11083333.333333332</v>
      </c>
      <c r="V71" s="433" t="e">
        <f>+S$26*U71+T71</f>
        <v>#REF!</v>
      </c>
      <c r="W71" s="447">
        <f>+W70</f>
        <v>18250000</v>
      </c>
      <c r="X71" s="444">
        <f>+X70</f>
        <v>750000</v>
      </c>
      <c r="Y71" s="444">
        <f>+W71-X71</f>
        <v>17500000</v>
      </c>
      <c r="Z71" s="433" t="e">
        <f>+W$26*Y71+X71</f>
        <v>#REF!</v>
      </c>
      <c r="AA71" s="447">
        <f>+AA70</f>
        <v>11380952.380952388</v>
      </c>
      <c r="AB71" s="444">
        <f>+AB70</f>
        <v>571428.57142857148</v>
      </c>
      <c r="AC71" s="444">
        <f>+AA71-AB71</f>
        <v>10809523.809523817</v>
      </c>
      <c r="AD71" s="433" t="e">
        <f>+AA$26*AC71+AB71</f>
        <v>#REF!</v>
      </c>
      <c r="AE71" s="447">
        <f>+AE70</f>
        <v>12800000</v>
      </c>
      <c r="AF71" s="444">
        <f>+AF70</f>
        <v>1200000</v>
      </c>
      <c r="AG71" s="444">
        <f t="shared" si="9"/>
        <v>11600000</v>
      </c>
      <c r="AH71" s="433" t="e">
        <f>+AE$26*AG71+AF71</f>
        <v>#REF!</v>
      </c>
      <c r="AI71" s="447">
        <f>+AI70</f>
        <v>10500000</v>
      </c>
      <c r="AJ71" s="444">
        <f>+AJ70</f>
        <v>666666.66666666663</v>
      </c>
      <c r="AK71" s="444">
        <f t="shared" si="10"/>
        <v>9833333.333333334</v>
      </c>
      <c r="AL71" s="433" t="e">
        <f>+AI$26*AK71+AJ71</f>
        <v>#REF!</v>
      </c>
      <c r="AM71" s="463" t="e">
        <f t="shared" si="1"/>
        <v>#REF!</v>
      </c>
      <c r="AN71" s="446" t="e">
        <f>+AM71</f>
        <v>#REF!</v>
      </c>
      <c r="AO71" s="372"/>
    </row>
    <row r="72" spans="1:41" ht="13">
      <c r="A72" s="448" t="s">
        <v>306</v>
      </c>
      <c r="B72" s="449" t="s">
        <v>306</v>
      </c>
      <c r="C72" s="450"/>
      <c r="D72" s="450" t="s">
        <v>306</v>
      </c>
      <c r="E72" s="450" t="s">
        <v>307</v>
      </c>
      <c r="F72" s="451" t="s">
        <v>306</v>
      </c>
      <c r="G72" s="450" t="s">
        <v>306</v>
      </c>
      <c r="H72" s="450" t="s">
        <v>306</v>
      </c>
      <c r="I72" s="450" t="s">
        <v>307</v>
      </c>
      <c r="J72" s="451" t="s">
        <v>306</v>
      </c>
      <c r="K72" s="450" t="s">
        <v>306</v>
      </c>
      <c r="L72" s="450" t="s">
        <v>306</v>
      </c>
      <c r="M72" s="450" t="s">
        <v>307</v>
      </c>
      <c r="N72" s="451" t="s">
        <v>306</v>
      </c>
      <c r="O72" s="450" t="s">
        <v>306</v>
      </c>
      <c r="P72" s="450" t="s">
        <v>306</v>
      </c>
      <c r="Q72" s="450" t="s">
        <v>307</v>
      </c>
      <c r="R72" s="451" t="s">
        <v>306</v>
      </c>
      <c r="S72" s="450" t="s">
        <v>306</v>
      </c>
      <c r="T72" s="450" t="s">
        <v>306</v>
      </c>
      <c r="U72" s="450" t="s">
        <v>307</v>
      </c>
      <c r="V72" s="451" t="s">
        <v>306</v>
      </c>
      <c r="W72" s="450" t="s">
        <v>306</v>
      </c>
      <c r="X72" s="450" t="s">
        <v>306</v>
      </c>
      <c r="Y72" s="450" t="s">
        <v>307</v>
      </c>
      <c r="Z72" s="451" t="s">
        <v>306</v>
      </c>
      <c r="AA72" s="450" t="s">
        <v>306</v>
      </c>
      <c r="AB72" s="450" t="s">
        <v>306</v>
      </c>
      <c r="AC72" s="450" t="s">
        <v>307</v>
      </c>
      <c r="AD72" s="451" t="s">
        <v>306</v>
      </c>
      <c r="AE72" s="450" t="s">
        <v>306</v>
      </c>
      <c r="AF72" s="450" t="s">
        <v>306</v>
      </c>
      <c r="AG72" s="450" t="s">
        <v>307</v>
      </c>
      <c r="AH72" s="451" t="s">
        <v>306</v>
      </c>
      <c r="AI72" s="450" t="s">
        <v>306</v>
      </c>
      <c r="AJ72" s="450" t="s">
        <v>306</v>
      </c>
      <c r="AK72" s="450" t="s">
        <v>307</v>
      </c>
      <c r="AL72" s="451" t="s">
        <v>306</v>
      </c>
      <c r="AM72" s="463"/>
      <c r="AN72" s="188"/>
      <c r="AO72" s="445">
        <f>+AM72</f>
        <v>0</v>
      </c>
    </row>
    <row r="73" spans="1:41" ht="13.5" thickBot="1">
      <c r="A73" s="452" t="s">
        <v>306</v>
      </c>
      <c r="B73" s="453" t="s">
        <v>306</v>
      </c>
      <c r="C73" s="454" t="s">
        <v>306</v>
      </c>
      <c r="D73" s="454" t="s">
        <v>307</v>
      </c>
      <c r="E73" s="454" t="s">
        <v>307</v>
      </c>
      <c r="F73" s="455" t="s">
        <v>306</v>
      </c>
      <c r="G73" s="454" t="s">
        <v>306</v>
      </c>
      <c r="H73" s="454" t="s">
        <v>307</v>
      </c>
      <c r="I73" s="454" t="s">
        <v>307</v>
      </c>
      <c r="J73" s="455" t="s">
        <v>306</v>
      </c>
      <c r="K73" s="454" t="s">
        <v>306</v>
      </c>
      <c r="L73" s="454" t="s">
        <v>307</v>
      </c>
      <c r="M73" s="454" t="s">
        <v>307</v>
      </c>
      <c r="N73" s="455" t="s">
        <v>306</v>
      </c>
      <c r="O73" s="454" t="s">
        <v>306</v>
      </c>
      <c r="P73" s="454" t="s">
        <v>307</v>
      </c>
      <c r="Q73" s="454" t="s">
        <v>307</v>
      </c>
      <c r="R73" s="455" t="s">
        <v>306</v>
      </c>
      <c r="S73" s="454" t="s">
        <v>306</v>
      </c>
      <c r="T73" s="454" t="s">
        <v>307</v>
      </c>
      <c r="U73" s="454" t="s">
        <v>307</v>
      </c>
      <c r="V73" s="455" t="s">
        <v>306</v>
      </c>
      <c r="W73" s="454" t="s">
        <v>306</v>
      </c>
      <c r="X73" s="454" t="s">
        <v>307</v>
      </c>
      <c r="Y73" s="454" t="s">
        <v>307</v>
      </c>
      <c r="Z73" s="455" t="s">
        <v>306</v>
      </c>
      <c r="AA73" s="454" t="s">
        <v>306</v>
      </c>
      <c r="AB73" s="454" t="s">
        <v>307</v>
      </c>
      <c r="AC73" s="454" t="s">
        <v>307</v>
      </c>
      <c r="AD73" s="455" t="s">
        <v>306</v>
      </c>
      <c r="AE73" s="454" t="s">
        <v>306</v>
      </c>
      <c r="AF73" s="454" t="s">
        <v>307</v>
      </c>
      <c r="AG73" s="454" t="s">
        <v>307</v>
      </c>
      <c r="AH73" s="455" t="s">
        <v>306</v>
      </c>
      <c r="AI73" s="454" t="s">
        <v>306</v>
      </c>
      <c r="AJ73" s="454" t="s">
        <v>307</v>
      </c>
      <c r="AK73" s="454" t="s">
        <v>307</v>
      </c>
      <c r="AL73" s="455" t="s">
        <v>306</v>
      </c>
      <c r="AM73" s="464"/>
      <c r="AN73" s="456">
        <f>+AM73</f>
        <v>0</v>
      </c>
      <c r="AO73" s="379"/>
    </row>
    <row r="74" spans="1:41" ht="13">
      <c r="A74" s="186"/>
      <c r="B74" s="457"/>
      <c r="C74" s="186"/>
      <c r="D74" s="186"/>
      <c r="E74" s="186"/>
      <c r="F74" s="458"/>
      <c r="G74" s="186"/>
      <c r="H74" s="186"/>
      <c r="I74" s="186"/>
      <c r="J74" s="458"/>
      <c r="K74" s="186"/>
      <c r="L74" s="186"/>
      <c r="M74" s="186"/>
      <c r="N74" s="186"/>
      <c r="O74" s="186"/>
      <c r="P74" s="186"/>
      <c r="Q74" s="186"/>
      <c r="R74" s="186"/>
      <c r="S74" s="186"/>
      <c r="T74" s="186"/>
      <c r="U74" s="186"/>
      <c r="V74" s="186"/>
      <c r="W74" s="186"/>
      <c r="X74" s="186"/>
      <c r="Y74" s="186"/>
      <c r="Z74" s="186"/>
      <c r="AA74" s="186"/>
      <c r="AB74" s="186"/>
      <c r="AC74" s="186"/>
      <c r="AD74" s="186"/>
      <c r="AE74" s="186"/>
      <c r="AF74" s="186"/>
      <c r="AG74" s="186"/>
      <c r="AH74" s="186"/>
      <c r="AI74" s="186"/>
      <c r="AJ74" s="186"/>
      <c r="AK74" s="186"/>
      <c r="AL74" s="186"/>
      <c r="AM74" s="186"/>
      <c r="AN74" s="459" t="e">
        <f>SUM(AN32:AN71)</f>
        <v>#REF!</v>
      </c>
      <c r="AO74" s="459" t="e">
        <f>SUM(AO32:AO71)</f>
        <v>#REF!</v>
      </c>
    </row>
    <row r="75" ht="12.5"/>
    <row r="76" spans="40:40" ht="12.5">
      <c r="AN76" s="216"/>
    </row>
    <row r="77" ht="12.5"/>
    <row r="78" ht="12.5"/>
    <row r="79" ht="12.5"/>
    <row r="80" ht="12.5"/>
    <row r="81" ht="12.5"/>
    <row r="82" ht="12.5"/>
    <row r="83" ht="12.5"/>
    <row r="84" ht="12.5"/>
    <row r="85" ht="12.5"/>
    <row r="86" ht="12.5"/>
    <row r="87" ht="12.5"/>
    <row r="88" ht="12.5"/>
    <row r="89" ht="12.5"/>
    <row r="90" ht="12.5"/>
    <row r="91" ht="12.5"/>
    <row r="92" ht="12.5"/>
    <row r="93" ht="12.5"/>
    <row r="94" ht="12.5"/>
    <row r="95" ht="12.5"/>
    <row r="96" ht="12.5"/>
    <row r="97" ht="12.5"/>
    <row r="98" ht="12.5"/>
    <row r="99" ht="12.5"/>
    <row r="100" ht="12.5"/>
    <row r="101" ht="12.5"/>
    <row r="102" ht="12.5"/>
    <row r="103" ht="12.5"/>
    <row r="104" ht="12.5"/>
    <row r="105" ht="12.5"/>
    <row r="106" ht="12.5"/>
    <row r="107" ht="12.5"/>
    <row r="108" ht="12.5"/>
    <row r="109" ht="12.5"/>
    <row r="110" ht="12.5"/>
    <row r="111" ht="12.5"/>
    <row r="112" ht="12.5"/>
    <row r="113" ht="12.5"/>
    <row r="114" ht="12.5"/>
    <row r="115" ht="12.5"/>
    <row r="116" ht="12.5"/>
    <row r="117" ht="12.5"/>
    <row r="118" ht="12.5"/>
    <row r="119" ht="12.5"/>
    <row r="120" ht="12.5"/>
    <row r="121" ht="12.5"/>
    <row r="122" ht="12.5"/>
    <row r="123" ht="12.5"/>
    <row r="124" ht="12.5"/>
    <row r="125" ht="12.5"/>
    <row r="126" ht="12.5"/>
    <row r="127" ht="12.5"/>
    <row r="128" ht="12.5"/>
    <row r="129" ht="12.5"/>
    <row r="130" ht="12.5"/>
    <row r="131" ht="12.5"/>
    <row r="132" ht="12.5"/>
    <row r="133" ht="12.5"/>
    <row r="134" ht="12.5"/>
    <row r="135" ht="12.5"/>
    <row r="136" ht="12.5"/>
    <row r="137" ht="12.5"/>
    <row r="138" ht="12.5"/>
    <row r="139" ht="12.5"/>
    <row r="140" ht="12.5"/>
    <row r="141" ht="12.5"/>
    <row r="142" ht="12.5"/>
    <row r="143" ht="12.5"/>
    <row r="144" ht="12.5"/>
    <row r="145" ht="12.5"/>
    <row r="146" ht="12.5"/>
    <row r="147" ht="12.5"/>
    <row r="148" ht="12.5"/>
    <row r="149" ht="12.5"/>
    <row r="150" ht="12.5"/>
    <row r="151" ht="12.5"/>
    <row r="152" ht="12.5"/>
    <row r="153" ht="12.5"/>
    <row r="154" ht="12.5"/>
    <row r="155" ht="12.5"/>
    <row r="156" ht="12.5"/>
    <row r="157" ht="12.5"/>
    <row r="158" ht="12.5"/>
    <row r="159" ht="12.5"/>
    <row r="160" ht="12.5"/>
    <row r="161" ht="12.5"/>
    <row r="162" ht="12.5"/>
    <row r="163" ht="12.5"/>
    <row r="164" ht="12.5"/>
    <row r="165" ht="12.5"/>
    <row r="166" ht="12.5"/>
    <row r="167" ht="12.5"/>
    <row r="168" ht="12.5"/>
    <row r="169" ht="12.5"/>
    <row r="170" ht="12.5"/>
    <row r="171" ht="12.5"/>
    <row r="172" ht="12.5"/>
    <row r="173" ht="12.5"/>
    <row r="174" ht="12.5"/>
    <row r="175" ht="12.5"/>
    <row r="176" ht="12.5"/>
    <row r="177" ht="12.5"/>
    <row r="178" ht="12.5"/>
    <row r="179" ht="12.5"/>
    <row r="180" ht="12.5"/>
    <row r="181" ht="12.5"/>
    <row r="182" ht="12.5"/>
    <row r="183" ht="12.5"/>
    <row r="184" ht="12.5"/>
    <row r="185" ht="12.5"/>
    <row r="186" ht="12.5"/>
    <row r="187" ht="12.5"/>
    <row r="188" ht="12.5"/>
    <row r="189" ht="12.5"/>
    <row r="190" ht="12.5"/>
    <row r="191" ht="12.5"/>
    <row r="192" ht="12.5"/>
    <row r="193" ht="12.5"/>
    <row r="194" ht="12.5"/>
    <row r="195" ht="12.5"/>
    <row r="196" ht="12.5"/>
    <row r="197" ht="12.5"/>
    <row r="198" ht="12.5"/>
    <row r="199" ht="12.5"/>
    <row r="200" ht="12.5"/>
    <row r="201" ht="12.5"/>
    <row r="202" ht="12.5"/>
    <row r="203" ht="12.5"/>
    <row r="204" ht="12.5"/>
    <row r="205" ht="12.5"/>
    <row r="206" ht="12.5"/>
    <row r="207" ht="12.5"/>
    <row r="208" ht="12.5"/>
    <row r="209" ht="12.5"/>
    <row r="210" ht="12.5"/>
    <row r="211" ht="12.5"/>
    <row r="212" ht="12.5"/>
    <row r="213" ht="12.5"/>
    <row r="214" ht="12.5"/>
    <row r="215" ht="12.5"/>
    <row r="216" ht="12.5"/>
    <row r="217" ht="12.5"/>
    <row r="218" ht="12.5"/>
    <row r="219" ht="12.5"/>
    <row r="220" ht="12.5"/>
    <row r="221" ht="12.5"/>
    <row r="222" ht="12.5"/>
    <row r="223" ht="12.5"/>
    <row r="224" ht="12.5"/>
    <row r="225" ht="12.5"/>
    <row r="226" ht="12.5"/>
    <row r="227" ht="12.5"/>
    <row r="228" ht="12.5"/>
    <row r="229" ht="12.5"/>
    <row r="230" ht="12.5"/>
    <row r="231" ht="12.5"/>
    <row r="232" ht="12.5"/>
    <row r="233" ht="12.5"/>
    <row r="234" ht="12.5"/>
    <row r="235" ht="12.5"/>
    <row r="236" ht="12.5"/>
    <row r="237" ht="12.5"/>
    <row r="238" ht="12.5"/>
    <row r="239" ht="12.5"/>
    <row r="240" ht="12.5"/>
    <row r="241" ht="12.5"/>
    <row r="242" ht="12.5"/>
    <row r="243" ht="12.5"/>
    <row r="244" ht="12.5"/>
    <row r="245" ht="12.5"/>
    <row r="246" ht="12.5"/>
    <row r="247" ht="12.5"/>
    <row r="248" ht="12.5"/>
    <row r="249" ht="12.5"/>
    <row r="250" ht="12.5"/>
    <row r="251" ht="12.5"/>
    <row r="252" ht="12.5"/>
    <row r="253" ht="12.5"/>
    <row r="254" ht="12.5"/>
    <row r="255" ht="12.5"/>
    <row r="256" ht="12.5"/>
    <row r="257" ht="12.5"/>
    <row r="258" ht="12.5"/>
    <row r="259" ht="12.5"/>
    <row r="260" ht="12.5"/>
    <row r="261" ht="12.5"/>
    <row r="262" ht="12.5"/>
    <row r="263" ht="12.5"/>
    <row r="264" ht="12.5"/>
    <row r="265" ht="12.5"/>
    <row r="266" ht="12.5"/>
    <row r="267" ht="12.5"/>
    <row r="268" ht="12.5"/>
    <row r="269" ht="12.5"/>
    <row r="270" ht="12.5"/>
    <row r="271" ht="12.5"/>
    <row r="272" ht="12.5"/>
    <row r="273" ht="12.5"/>
    <row r="274" ht="12.5"/>
    <row r="275" ht="12.5"/>
    <row r="276" ht="12.5"/>
    <row r="277" ht="12.5"/>
    <row r="278" ht="12.5"/>
    <row r="279" ht="12.5"/>
    <row r="280" ht="12.5"/>
    <row r="281" ht="12.5"/>
    <row r="282" ht="12.5"/>
    <row r="283" ht="12.5"/>
    <row r="284" ht="12.5"/>
    <row r="285" ht="12.5"/>
    <row r="286" ht="12.5"/>
    <row r="287" ht="12.5"/>
    <row r="288" ht="12.5"/>
    <row r="289" ht="12.5"/>
    <row r="290" ht="12.5"/>
    <row r="291" ht="12.5"/>
    <row r="292" ht="12.5"/>
    <row r="293" ht="12.5"/>
    <row r="294" ht="12.5"/>
    <row r="295" ht="12.5"/>
    <row r="296" ht="12.5"/>
    <row r="297" ht="12.5"/>
    <row r="298" ht="12.5"/>
    <row r="299" ht="12.5"/>
    <row r="300" ht="12.5"/>
    <row r="301" ht="12.5"/>
    <row r="302" ht="12.5"/>
    <row r="303" ht="12.5"/>
    <row r="304" ht="12.5"/>
    <row r="305" ht="12.5"/>
    <row r="306" spans="1:6" ht="12.5">
      <c r="A306" s="472"/>
      <c r="B306" s="471"/>
      <c r="C306" s="472"/>
      <c r="D306" s="472"/>
      <c r="E306" s="472"/>
      <c r="F306" s="473"/>
    </row>
    <row r="307" spans="1:6" ht="12.5">
      <c r="A307" s="472"/>
      <c r="B307" s="471"/>
      <c r="C307" s="472"/>
      <c r="D307" s="472"/>
      <c r="E307" s="472"/>
      <c r="F307" s="473"/>
    </row>
    <row r="308" spans="1:6" ht="12.5">
      <c r="A308" s="472"/>
      <c r="B308" s="471"/>
      <c r="C308" s="472"/>
      <c r="D308" s="472"/>
      <c r="E308" s="472"/>
      <c r="F308" s="473"/>
    </row>
    <row r="309" spans="1:6" ht="12.5">
      <c r="A309" s="472"/>
      <c r="B309" s="471"/>
      <c r="C309" s="472"/>
      <c r="D309" s="472"/>
      <c r="E309" s="472"/>
      <c r="F309" s="473"/>
    </row>
    <row r="310" spans="1:6" ht="12.5">
      <c r="A310" s="472"/>
      <c r="B310" s="471"/>
      <c r="C310" s="472"/>
      <c r="D310" s="472"/>
      <c r="E310" s="472"/>
      <c r="F310" s="473"/>
    </row>
    <row r="311" spans="1:6" ht="12.5">
      <c r="A311" s="472"/>
      <c r="B311" s="471"/>
      <c r="C311" s="472"/>
      <c r="D311" s="472"/>
      <c r="E311" s="472"/>
      <c r="F311" s="473"/>
    </row>
    <row r="312" spans="1:6" ht="12.5">
      <c r="A312" s="472"/>
      <c r="B312" s="471"/>
      <c r="C312" s="472"/>
      <c r="D312" s="472"/>
      <c r="E312" s="472"/>
      <c r="F312" s="473"/>
    </row>
    <row r="313" spans="1:6" ht="12.5">
      <c r="A313" s="472"/>
      <c r="B313" s="471"/>
      <c r="C313" s="472"/>
      <c r="D313" s="472"/>
      <c r="E313" s="472"/>
      <c r="F313" s="473"/>
    </row>
    <row r="314" spans="1:6" ht="12.5">
      <c r="A314" s="472"/>
      <c r="B314" s="471"/>
      <c r="C314" s="472"/>
      <c r="D314" s="472"/>
      <c r="E314" s="472"/>
      <c r="F314" s="473"/>
    </row>
  </sheetData>
  <mergeCells count="1">
    <mergeCell ref="A1:AO1"/>
  </mergeCells>
  <printOptions horizontalCentered="1"/>
  <pageMargins left="0.25" right="0.25" top="0.25" bottom="0.25" header="0.5" footer="0.5"/>
  <pageSetup orientation="landscape" scale="59" r:id="rId1"/>
  <headerFooter alignWithMargins="0">
    <oddFooter>&amp;CPage &amp;P of &amp;N</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R763"/>
  <sheetViews>
    <sheetView zoomScale="55" zoomScaleNormal="55" workbookViewId="0" topLeftCell="A111">
      <selection pane="topLeft" activeCell="B143" sqref="B143"/>
    </sheetView>
  </sheetViews>
  <sheetFormatPr defaultRowHeight="13"/>
  <cols>
    <col min="1" max="1" width="8" style="529" customWidth="1"/>
    <col min="2" max="2" width="71.1428571428571" customWidth="1"/>
    <col min="3" max="3" width="12" customWidth="1"/>
    <col min="4" max="4" width="14.8571428571429" customWidth="1"/>
    <col min="5" max="5" width="14.4285714285714" customWidth="1"/>
    <col min="6" max="6" width="13.4285714285714" customWidth="1"/>
    <col min="7" max="7" width="14.7142857142857" customWidth="1"/>
    <col min="8" max="8" width="9.14285714285714" customWidth="1"/>
    <col min="9" max="9" width="14.4285714285714" customWidth="1"/>
    <col min="10" max="10" width="14.8571428571429" customWidth="1"/>
    <col min="11" max="11" width="14.4285714285714" customWidth="1"/>
    <col min="12" max="12" width="13.4285714285714" customWidth="1"/>
    <col min="13" max="13" width="14.7142857142857" customWidth="1"/>
    <col min="14" max="15" width="9.14285714285714" customWidth="1"/>
    <col min="16" max="16" width="70.5714285714286" customWidth="1"/>
    <col min="18" max="18" width="9.14285714285714" style="916"/>
  </cols>
  <sheetData>
    <row r="1" spans="1:8" ht="23">
      <c r="A1" s="957" t="str">
        <f>+'ATT H'!A4</f>
        <v>UGI Utilities, Inc.</v>
      </c>
      <c r="B1" s="958"/>
      <c r="C1" s="958"/>
      <c r="D1" s="958"/>
      <c r="E1" s="958"/>
      <c r="F1" s="958"/>
      <c r="G1" s="958"/>
      <c r="H1" s="749"/>
    </row>
    <row r="2" spans="1:2" ht="13">
      <c r="A2" s="199"/>
      <c r="B2" s="108"/>
    </row>
    <row r="3" spans="2:7" ht="15.5">
      <c r="B3" s="959" t="s">
        <v>500</v>
      </c>
      <c r="C3" s="959"/>
      <c r="D3" s="959"/>
      <c r="E3" s="959"/>
      <c r="F3" s="959"/>
      <c r="G3" s="959"/>
    </row>
    <row r="4" spans="7:7" ht="13">
      <c r="G4" s="169" t="s">
        <v>570</v>
      </c>
    </row>
    <row r="5" spans="4:7" ht="13">
      <c r="D5" s="180" t="s">
        <v>245</v>
      </c>
      <c r="E5" s="180"/>
      <c r="G5" s="180"/>
    </row>
    <row r="6" spans="4:7" ht="13">
      <c r="D6" s="180" t="s">
        <v>226</v>
      </c>
      <c r="E6" s="180" t="s">
        <v>240</v>
      </c>
      <c r="F6" s="180" t="s">
        <v>242</v>
      </c>
      <c r="G6" s="180" t="s">
        <v>173</v>
      </c>
    </row>
    <row r="7" spans="1:7" ht="13">
      <c r="A7" s="171"/>
      <c r="D7" s="180" t="s">
        <v>241</v>
      </c>
      <c r="E7" s="180" t="s">
        <v>241</v>
      </c>
      <c r="F7" s="180" t="s">
        <v>241</v>
      </c>
      <c r="G7" s="180" t="s">
        <v>257</v>
      </c>
    </row>
    <row r="8" spans="1:1" ht="13">
      <c r="A8" s="171"/>
    </row>
    <row r="9" spans="1:1" ht="13">
      <c r="A9" s="171"/>
    </row>
    <row r="10" spans="1:16" ht="13">
      <c r="A10" s="171">
        <v>1</v>
      </c>
      <c r="B10" s="169" t="s">
        <v>230</v>
      </c>
      <c r="D10" s="516">
        <f>+E141</f>
        <v>-1302922.46</v>
      </c>
      <c r="E10" s="516">
        <f>+F141</f>
        <v>-33424567.64860519</v>
      </c>
      <c r="F10" s="516">
        <f>+G141</f>
        <v>0</v>
      </c>
      <c r="G10" s="516">
        <f>SUM(D10:F10)</f>
        <v>-34727490.108605191</v>
      </c>
      <c r="P10" s="516"/>
    </row>
    <row r="11" spans="1:7" ht="13">
      <c r="A11" s="171">
        <f>A10+1</f>
        <v>2</v>
      </c>
      <c r="B11" s="169" t="s">
        <v>231</v>
      </c>
      <c r="D11" s="516">
        <f>+E204</f>
        <v>0</v>
      </c>
      <c r="E11" s="516">
        <f>+F204</f>
        <v>0</v>
      </c>
      <c r="F11" s="516">
        <f>+G204</f>
        <v>0</v>
      </c>
      <c r="G11" s="516">
        <f t="shared" si="0" ref="G11:G12">=SUM(D11:F11)</f>
        <v>0</v>
      </c>
    </row>
    <row r="12" spans="1:7" ht="13">
      <c r="A12" s="171">
        <f t="shared" si="1" ref="A12:A106">=A11+1</f>
        <v>3</v>
      </c>
      <c r="B12" s="169" t="s">
        <v>227</v>
      </c>
      <c r="D12" s="516">
        <f>E110</f>
        <v>0</v>
      </c>
      <c r="E12" s="516">
        <f>F110</f>
        <v>0</v>
      </c>
      <c r="F12" s="516">
        <f>+G110</f>
        <v>367238.35702829994</v>
      </c>
      <c r="G12" s="516">
        <f t="shared" si="0"/>
        <v>367238.35702829994</v>
      </c>
    </row>
    <row r="13" spans="1:7" ht="13">
      <c r="A13" s="171">
        <f t="shared" si="1"/>
        <v>4</v>
      </c>
      <c r="B13" s="169" t="s">
        <v>202</v>
      </c>
      <c r="D13" s="516">
        <f>SUM(D10:D12)</f>
        <v>-1302922.46</v>
      </c>
      <c r="E13" s="516">
        <f>SUM(E10:E12)</f>
        <v>-33424567.64860519</v>
      </c>
      <c r="F13" s="516">
        <f>SUM(F10:F12)</f>
        <v>367238.35702829994</v>
      </c>
      <c r="G13" s="516">
        <f>SUM(D13:F13)</f>
        <v>-34360251.751576893</v>
      </c>
    </row>
    <row r="14" spans="1:6" ht="13">
      <c r="A14" s="171">
        <f t="shared" si="1"/>
        <v>5</v>
      </c>
      <c r="B14" s="169" t="s">
        <v>151</v>
      </c>
      <c r="F14" s="517">
        <f>+'ATT H'!H16</f>
        <v>0.24391163764331447</v>
      </c>
    </row>
    <row r="15" spans="1:5" ht="13">
      <c r="A15" s="171">
        <f t="shared" si="1"/>
        <v>6</v>
      </c>
      <c r="B15" s="169" t="s">
        <v>53</v>
      </c>
      <c r="E15" s="517">
        <f>+'ATT H'!H32</f>
        <v>0.26255691286191535</v>
      </c>
    </row>
    <row r="16" spans="1:7" ht="13">
      <c r="A16" s="171">
        <f t="shared" si="1"/>
        <v>7</v>
      </c>
      <c r="B16" s="169" t="s">
        <v>257</v>
      </c>
      <c r="D16" s="516">
        <f>D13</f>
        <v>-1302922.46</v>
      </c>
      <c r="E16" s="516">
        <f>+E15*E13</f>
        <v>-8775851.295562027</v>
      </c>
      <c r="F16" s="516">
        <f>+F14*F13</f>
        <v>89573.709068212847</v>
      </c>
      <c r="G16" s="516">
        <f>SUM(D16:F16)</f>
        <v>-9989200.0464938134</v>
      </c>
    </row>
    <row r="17" spans="1:1" ht="13">
      <c r="A17" s="171">
        <f t="shared" si="1"/>
        <v>8</v>
      </c>
    </row>
    <row r="18" spans="1:7" ht="13">
      <c r="A18" s="171">
        <f t="shared" si="1"/>
        <v>9</v>
      </c>
      <c r="G18" s="516"/>
    </row>
    <row r="19" spans="1:7" ht="13">
      <c r="A19" s="872">
        <f t="shared" si="1"/>
        <v>10</v>
      </c>
      <c r="G19" s="169"/>
    </row>
    <row r="20" spans="1:1" ht="13">
      <c r="A20" s="171">
        <f t="shared" si="1"/>
        <v>11</v>
      </c>
    </row>
    <row r="21" spans="1:7" ht="13">
      <c r="A21" s="171">
        <f t="shared" si="1"/>
        <v>12</v>
      </c>
      <c r="B21" s="169" t="s">
        <v>227</v>
      </c>
      <c r="D21" s="180" t="s">
        <v>243</v>
      </c>
      <c r="E21" s="180" t="s">
        <v>245</v>
      </c>
      <c r="F21" s="180"/>
      <c r="G21" s="180"/>
    </row>
    <row r="22" spans="1:18" ht="13">
      <c r="A22" s="171">
        <f t="shared" si="1"/>
        <v>13</v>
      </c>
      <c r="D22" s="180" t="s">
        <v>244</v>
      </c>
      <c r="E22" s="180" t="s">
        <v>226</v>
      </c>
      <c r="F22" s="180" t="s">
        <v>240</v>
      </c>
      <c r="G22" s="180" t="s">
        <v>242</v>
      </c>
      <c r="R22"/>
    </row>
    <row r="23" spans="1:18" ht="13">
      <c r="A23" s="171">
        <f t="shared" si="1"/>
        <v>14</v>
      </c>
      <c r="D23" s="180" t="s">
        <v>241</v>
      </c>
      <c r="E23" s="180" t="s">
        <v>241</v>
      </c>
      <c r="F23" s="180" t="s">
        <v>241</v>
      </c>
      <c r="G23" s="180" t="s">
        <v>241</v>
      </c>
      <c r="R23"/>
    </row>
    <row r="24" spans="1:18" ht="13">
      <c r="A24" s="171">
        <f t="shared" si="1"/>
        <v>15</v>
      </c>
      <c r="B24" s="186"/>
      <c r="R24"/>
    </row>
    <row r="25" spans="1:18" ht="13">
      <c r="A25" s="171">
        <f t="shared" si="1"/>
        <v>16</v>
      </c>
      <c r="B25" s="189" t="s">
        <v>542</v>
      </c>
      <c r="D25" s="838">
        <v>371556.41581029253</v>
      </c>
      <c r="E25" s="844"/>
      <c r="F25" s="844"/>
      <c r="G25" s="844"/>
      <c r="R25"/>
    </row>
    <row r="26" spans="1:18" ht="13">
      <c r="A26" s="171">
        <f t="shared" si="1"/>
        <v>17</v>
      </c>
      <c r="B26" s="189" t="s">
        <v>543</v>
      </c>
      <c r="D26" s="838">
        <v>196372.28635679753</v>
      </c>
      <c r="E26" s="844"/>
      <c r="F26" s="844"/>
      <c r="G26" s="844"/>
      <c r="R26"/>
    </row>
    <row r="27" spans="1:18" ht="13">
      <c r="A27" s="885">
        <f t="shared" si="1"/>
        <v>18</v>
      </c>
      <c r="B27" s="189" t="s">
        <v>769</v>
      </c>
      <c r="D27" s="838"/>
      <c r="E27" s="844"/>
      <c r="F27" s="844"/>
      <c r="G27" s="844"/>
      <c r="R27"/>
    </row>
    <row r="28" spans="1:18" ht="13">
      <c r="A28" s="885">
        <f t="shared" si="1"/>
        <v>19</v>
      </c>
      <c r="B28" s="189" t="s">
        <v>770</v>
      </c>
      <c r="D28" s="838"/>
      <c r="E28" s="844"/>
      <c r="F28" s="844"/>
      <c r="G28" s="844"/>
      <c r="R28"/>
    </row>
    <row r="29" spans="1:18" ht="13">
      <c r="A29" s="885">
        <f t="shared" si="1"/>
        <v>20</v>
      </c>
      <c r="B29" s="189" t="s">
        <v>645</v>
      </c>
      <c r="D29" s="844"/>
      <c r="E29" s="838"/>
      <c r="F29" s="844"/>
      <c r="G29" s="844"/>
      <c r="R29"/>
    </row>
    <row r="30" spans="1:18" ht="13">
      <c r="A30" s="171">
        <f t="shared" si="1"/>
        <v>21</v>
      </c>
      <c r="B30" s="189" t="s">
        <v>646</v>
      </c>
      <c r="D30" s="844"/>
      <c r="E30" s="838"/>
      <c r="F30" s="844"/>
      <c r="G30" s="844"/>
      <c r="R30"/>
    </row>
    <row r="31" spans="1:18" ht="13">
      <c r="A31" s="171">
        <f t="shared" si="1"/>
        <v>22</v>
      </c>
      <c r="B31" s="189" t="s">
        <v>595</v>
      </c>
      <c r="D31" s="838"/>
      <c r="E31" s="844"/>
      <c r="F31" s="844"/>
      <c r="G31" s="844"/>
      <c r="R31"/>
    </row>
    <row r="32" spans="1:18" ht="13">
      <c r="A32" s="171">
        <f t="shared" si="1"/>
        <v>23</v>
      </c>
      <c r="B32" s="189" t="s">
        <v>596</v>
      </c>
      <c r="D32" s="838"/>
      <c r="E32" s="844"/>
      <c r="F32" s="844"/>
      <c r="G32" s="844"/>
      <c r="R32"/>
    </row>
    <row r="33" spans="1:18" ht="13">
      <c r="A33" s="171">
        <f t="shared" si="1"/>
        <v>24</v>
      </c>
      <c r="B33" s="189" t="s">
        <v>544</v>
      </c>
      <c r="D33" s="844"/>
      <c r="E33" s="844"/>
      <c r="F33" s="844"/>
      <c r="G33" s="838"/>
      <c r="R33"/>
    </row>
    <row r="34" spans="1:18" ht="13">
      <c r="A34" s="171">
        <f t="shared" si="1"/>
        <v>25</v>
      </c>
      <c r="B34" s="189" t="s">
        <v>545</v>
      </c>
      <c r="D34" s="844"/>
      <c r="E34" s="844"/>
      <c r="F34" s="844"/>
      <c r="G34" s="838"/>
      <c r="R34"/>
    </row>
    <row r="35" spans="1:18" ht="13">
      <c r="A35" s="171">
        <f t="shared" si="1"/>
        <v>26</v>
      </c>
      <c r="B35" s="189" t="s">
        <v>714</v>
      </c>
      <c r="D35" s="844"/>
      <c r="E35" s="844"/>
      <c r="F35" s="844"/>
      <c r="G35" s="838">
        <v>57546.771354801393</v>
      </c>
      <c r="R35"/>
    </row>
    <row r="36" spans="1:18" ht="13">
      <c r="A36" s="171">
        <f t="shared" si="1"/>
        <v>27</v>
      </c>
      <c r="B36" s="189" t="s">
        <v>715</v>
      </c>
      <c r="D36" s="844"/>
      <c r="E36" s="844"/>
      <c r="F36" s="844"/>
      <c r="G36" s="838">
        <v>30414.19978914861</v>
      </c>
      <c r="R36"/>
    </row>
    <row r="37" spans="1:18" ht="13">
      <c r="A37" s="171">
        <f t="shared" si="1"/>
        <v>28</v>
      </c>
      <c r="B37" s="189" t="s">
        <v>647</v>
      </c>
      <c r="D37" s="844"/>
      <c r="E37" s="844"/>
      <c r="F37" s="844"/>
      <c r="G37" s="838"/>
      <c r="R37"/>
    </row>
    <row r="38" spans="1:18" ht="13">
      <c r="A38" s="171">
        <f t="shared" si="1"/>
        <v>29</v>
      </c>
      <c r="B38" s="189" t="s">
        <v>648</v>
      </c>
      <c r="D38" s="844"/>
      <c r="E38" s="844"/>
      <c r="F38" s="844"/>
      <c r="G38" s="838"/>
      <c r="R38"/>
    </row>
    <row r="39" spans="1:18" ht="13">
      <c r="A39" s="171">
        <f t="shared" si="1"/>
        <v>30</v>
      </c>
      <c r="B39" s="189" t="s">
        <v>649</v>
      </c>
      <c r="D39" s="844"/>
      <c r="E39" s="844"/>
      <c r="F39" s="844"/>
      <c r="G39" s="838">
        <v>1345035.60722727</v>
      </c>
      <c r="R39"/>
    </row>
    <row r="40" spans="1:18" ht="13">
      <c r="A40" s="171">
        <f t="shared" si="1"/>
        <v>31</v>
      </c>
      <c r="B40" s="189" t="s">
        <v>650</v>
      </c>
      <c r="D40" s="844"/>
      <c r="E40" s="844"/>
      <c r="F40" s="844"/>
      <c r="G40" s="838">
        <v>710868.40701299999</v>
      </c>
      <c r="R40"/>
    </row>
    <row r="41" spans="1:18" ht="13">
      <c r="A41" s="171">
        <f t="shared" si="1"/>
        <v>32</v>
      </c>
      <c r="B41" s="189" t="s">
        <v>651</v>
      </c>
      <c r="D41" s="844"/>
      <c r="E41" s="844"/>
      <c r="F41" s="844"/>
      <c r="G41" s="838"/>
      <c r="R41"/>
    </row>
    <row r="42" spans="1:18" ht="13">
      <c r="A42" s="171">
        <f t="shared" si="1"/>
        <v>33</v>
      </c>
      <c r="B42" s="189" t="s">
        <v>652</v>
      </c>
      <c r="D42" s="844"/>
      <c r="E42" s="844"/>
      <c r="F42" s="844"/>
      <c r="G42" s="838"/>
      <c r="R42"/>
    </row>
    <row r="43" spans="1:18" ht="13">
      <c r="A43" s="171">
        <f t="shared" si="1"/>
        <v>34</v>
      </c>
      <c r="B43" s="189" t="s">
        <v>653</v>
      </c>
      <c r="D43" s="844"/>
      <c r="E43" s="844"/>
      <c r="F43" s="844"/>
      <c r="G43" s="838"/>
      <c r="R43"/>
    </row>
    <row r="44" spans="1:18" ht="13">
      <c r="A44" s="171">
        <f t="shared" si="1"/>
        <v>35</v>
      </c>
      <c r="B44" s="189" t="s">
        <v>654</v>
      </c>
      <c r="D44" s="844"/>
      <c r="E44" s="844"/>
      <c r="F44" s="844"/>
      <c r="G44" s="838"/>
      <c r="R44"/>
    </row>
    <row r="45" spans="1:18" ht="13">
      <c r="A45" s="872">
        <f t="shared" si="1"/>
        <v>36</v>
      </c>
      <c r="B45" s="189" t="s">
        <v>546</v>
      </c>
      <c r="D45" s="844"/>
      <c r="E45" s="844"/>
      <c r="F45" s="844"/>
      <c r="G45" s="838"/>
      <c r="R45"/>
    </row>
    <row r="46" spans="1:18" ht="13">
      <c r="A46" s="872">
        <f t="shared" si="1"/>
        <v>37</v>
      </c>
      <c r="B46" s="189" t="s">
        <v>547</v>
      </c>
      <c r="D46" s="844"/>
      <c r="E46" s="844"/>
      <c r="F46" s="844"/>
      <c r="G46" s="838"/>
      <c r="R46"/>
    </row>
    <row r="47" spans="1:18" ht="13">
      <c r="A47" s="872">
        <f t="shared" si="1"/>
        <v>38</v>
      </c>
      <c r="B47" s="189" t="s">
        <v>739</v>
      </c>
      <c r="D47" s="844"/>
      <c r="E47" s="844"/>
      <c r="F47" s="844"/>
      <c r="G47" s="838">
        <v>75651.894055793746</v>
      </c>
      <c r="R47"/>
    </row>
    <row r="48" spans="1:18" ht="13">
      <c r="A48" s="872">
        <f t="shared" si="1"/>
        <v>39</v>
      </c>
      <c r="B48" s="189" t="s">
        <v>740</v>
      </c>
      <c r="D48" s="844"/>
      <c r="E48" s="844"/>
      <c r="F48" s="844"/>
      <c r="G48" s="838">
        <v>39982.987161076257</v>
      </c>
      <c r="R48"/>
    </row>
    <row r="49" spans="1:18" ht="13">
      <c r="A49" s="872">
        <f t="shared" si="1"/>
        <v>40</v>
      </c>
      <c r="B49" s="189" t="s">
        <v>716</v>
      </c>
      <c r="D49" s="844"/>
      <c r="E49" s="844"/>
      <c r="F49" s="844"/>
      <c r="G49" s="838"/>
      <c r="R49"/>
    </row>
    <row r="50" spans="1:18" ht="13">
      <c r="A50" s="872">
        <f t="shared" si="1"/>
        <v>41</v>
      </c>
      <c r="B50" s="189" t="s">
        <v>717</v>
      </c>
      <c r="D50" s="844"/>
      <c r="E50" s="844"/>
      <c r="F50" s="844"/>
      <c r="G50" s="838"/>
      <c r="R50"/>
    </row>
    <row r="51" spans="1:18" ht="13">
      <c r="A51" s="885">
        <f t="shared" si="1"/>
        <v>42</v>
      </c>
      <c r="B51" s="189" t="s">
        <v>741</v>
      </c>
      <c r="D51" s="844"/>
      <c r="E51" s="844"/>
      <c r="F51" s="844"/>
      <c r="G51" s="838"/>
      <c r="R51"/>
    </row>
    <row r="52" spans="1:18" ht="13">
      <c r="A52" s="872">
        <f t="shared" si="1"/>
        <v>43</v>
      </c>
      <c r="B52" s="189" t="s">
        <v>742</v>
      </c>
      <c r="D52" s="844"/>
      <c r="E52" s="844"/>
      <c r="F52" s="844"/>
      <c r="G52" s="838"/>
      <c r="R52"/>
    </row>
    <row r="53" spans="1:18" ht="13">
      <c r="A53" s="872">
        <f t="shared" si="1"/>
        <v>44</v>
      </c>
      <c r="B53" s="189" t="s">
        <v>548</v>
      </c>
      <c r="C53" s="2"/>
      <c r="D53" s="844"/>
      <c r="E53" s="844"/>
      <c r="F53" s="844"/>
      <c r="G53" s="838"/>
      <c r="R53"/>
    </row>
    <row r="54" spans="1:18" ht="13">
      <c r="A54" s="171">
        <f t="shared" si="1"/>
        <v>45</v>
      </c>
      <c r="B54" s="189" t="s">
        <v>549</v>
      </c>
      <c r="C54" s="2"/>
      <c r="D54" s="844"/>
      <c r="E54" s="844"/>
      <c r="F54" s="844"/>
      <c r="G54" s="838"/>
      <c r="R54"/>
    </row>
    <row r="55" spans="1:18" ht="13">
      <c r="A55" s="872">
        <f t="shared" si="1"/>
        <v>46</v>
      </c>
      <c r="B55" s="189" t="s">
        <v>550</v>
      </c>
      <c r="D55" s="844"/>
      <c r="E55" s="844"/>
      <c r="F55" s="844"/>
      <c r="G55" s="838">
        <v>91817.910148757539</v>
      </c>
      <c r="R55"/>
    </row>
    <row r="56" spans="1:18" ht="13">
      <c r="A56" s="171">
        <f t="shared" si="1"/>
        <v>47</v>
      </c>
      <c r="B56" s="189" t="s">
        <v>551</v>
      </c>
      <c r="D56" s="844"/>
      <c r="E56" s="844"/>
      <c r="F56" s="844"/>
      <c r="G56" s="838">
        <v>48526.932054432458</v>
      </c>
      <c r="R56"/>
    </row>
    <row r="57" spans="1:18" ht="13">
      <c r="A57" s="171">
        <f t="shared" si="1"/>
        <v>48</v>
      </c>
      <c r="B57" s="189" t="s">
        <v>552</v>
      </c>
      <c r="D57" s="838"/>
      <c r="E57" s="844"/>
      <c r="F57" s="844"/>
      <c r="G57" s="844"/>
      <c r="R57"/>
    </row>
    <row r="58" spans="1:18" ht="13">
      <c r="A58" s="171">
        <f t="shared" si="1"/>
        <v>49</v>
      </c>
      <c r="B58" s="189" t="s">
        <v>553</v>
      </c>
      <c r="D58" s="838"/>
      <c r="E58" s="844"/>
      <c r="F58" s="844"/>
      <c r="G58" s="844"/>
      <c r="R58"/>
    </row>
    <row r="59" spans="1:18" ht="13">
      <c r="A59" s="171">
        <f t="shared" si="1"/>
        <v>50</v>
      </c>
      <c r="B59" s="189" t="s">
        <v>554</v>
      </c>
      <c r="D59" s="844"/>
      <c r="E59" s="844"/>
      <c r="F59" s="844"/>
      <c r="G59" s="838"/>
      <c r="R59"/>
    </row>
    <row r="60" spans="1:18" ht="13">
      <c r="A60" s="171">
        <f t="shared" si="1"/>
        <v>51</v>
      </c>
      <c r="B60" s="189" t="s">
        <v>555</v>
      </c>
      <c r="D60" s="869"/>
      <c r="E60" s="869"/>
      <c r="F60" s="869"/>
      <c r="G60" s="869"/>
      <c r="R60"/>
    </row>
    <row r="61" spans="1:18" ht="13">
      <c r="A61" s="171">
        <f t="shared" si="1"/>
        <v>52</v>
      </c>
      <c r="B61" s="189" t="s">
        <v>655</v>
      </c>
      <c r="D61" s="844"/>
      <c r="E61" s="844"/>
      <c r="F61" s="838"/>
      <c r="G61" s="844"/>
      <c r="R61"/>
    </row>
    <row r="62" spans="1:18" ht="13">
      <c r="A62" s="171">
        <f t="shared" si="1"/>
        <v>53</v>
      </c>
      <c r="B62" s="189" t="s">
        <v>656</v>
      </c>
      <c r="D62" s="844"/>
      <c r="E62" s="844"/>
      <c r="F62" s="838"/>
      <c r="G62" s="844"/>
      <c r="R62"/>
    </row>
    <row r="63" spans="1:18" ht="13">
      <c r="A63" s="171">
        <f t="shared" si="1"/>
        <v>54</v>
      </c>
      <c r="B63" s="189" t="s">
        <v>556</v>
      </c>
      <c r="D63" s="838">
        <v>598183.21643592895</v>
      </c>
      <c r="E63" s="844"/>
      <c r="F63" s="844"/>
      <c r="G63" s="844"/>
      <c r="R63"/>
    </row>
    <row r="64" spans="1:18" ht="13">
      <c r="A64" s="171">
        <f t="shared" si="1"/>
        <v>55</v>
      </c>
      <c r="B64" s="189" t="s">
        <v>557</v>
      </c>
      <c r="D64" s="838">
        <v>410548.96856407123</v>
      </c>
      <c r="E64" s="844"/>
      <c r="F64" s="844"/>
      <c r="G64" s="844"/>
      <c r="R64"/>
    </row>
    <row r="65" spans="1:18" ht="13">
      <c r="A65" s="884">
        <f t="shared" si="1"/>
        <v>56</v>
      </c>
      <c r="B65" s="189" t="s">
        <v>768</v>
      </c>
      <c r="D65" s="925"/>
      <c r="E65" s="926"/>
      <c r="F65" s="926"/>
      <c r="G65" s="926"/>
      <c r="R65"/>
    </row>
    <row r="66" spans="1:18" ht="13">
      <c r="A66" s="884">
        <f t="shared" si="1"/>
        <v>57</v>
      </c>
      <c r="B66" s="189" t="s">
        <v>558</v>
      </c>
      <c r="D66" s="838">
        <v>8984.5507699336504</v>
      </c>
      <c r="E66" s="844"/>
      <c r="F66" s="844"/>
      <c r="G66" s="844"/>
      <c r="R66"/>
    </row>
    <row r="67" spans="1:18" ht="13">
      <c r="A67" s="171">
        <f t="shared" si="1"/>
        <v>58</v>
      </c>
      <c r="B67" s="189" t="s">
        <v>559</v>
      </c>
      <c r="D67" s="838">
        <v>4748.4492300663505</v>
      </c>
      <c r="E67" s="844"/>
      <c r="F67" s="844"/>
      <c r="G67" s="844"/>
      <c r="R67"/>
    </row>
    <row r="68" spans="1:18" ht="13">
      <c r="A68" s="171">
        <f t="shared" si="1"/>
        <v>59</v>
      </c>
      <c r="B68" s="189" t="s">
        <v>590</v>
      </c>
      <c r="D68" s="838"/>
      <c r="E68" s="844"/>
      <c r="F68" s="844"/>
      <c r="G68" s="844"/>
      <c r="R68"/>
    </row>
    <row r="69" spans="1:18" ht="13">
      <c r="A69" s="171">
        <f t="shared" si="1"/>
        <v>60</v>
      </c>
      <c r="B69" s="189" t="s">
        <v>591</v>
      </c>
      <c r="D69" s="838"/>
      <c r="E69" s="844"/>
      <c r="F69" s="844"/>
      <c r="G69" s="844"/>
      <c r="R69"/>
    </row>
    <row r="70" spans="1:18" ht="13">
      <c r="A70" s="171">
        <f t="shared" si="1"/>
        <v>61</v>
      </c>
      <c r="B70" s="187" t="s">
        <v>657</v>
      </c>
      <c r="D70" s="838"/>
      <c r="E70" s="844"/>
      <c r="F70" s="844"/>
      <c r="G70" s="844"/>
      <c r="R70"/>
    </row>
    <row r="71" spans="1:18" ht="13">
      <c r="A71" s="171">
        <f t="shared" si="1"/>
        <v>62</v>
      </c>
      <c r="B71" s="187" t="s">
        <v>658</v>
      </c>
      <c r="D71" s="838"/>
      <c r="E71" s="844"/>
      <c r="F71" s="844"/>
      <c r="G71" s="844"/>
      <c r="R71"/>
    </row>
    <row r="72" spans="1:18" ht="13">
      <c r="A72" s="171">
        <f t="shared" si="1"/>
        <v>63</v>
      </c>
      <c r="B72" s="187" t="s">
        <v>659</v>
      </c>
      <c r="D72" s="838"/>
      <c r="E72" s="844"/>
      <c r="F72" s="844"/>
      <c r="G72" s="844"/>
      <c r="R72"/>
    </row>
    <row r="73" spans="1:18" ht="13">
      <c r="A73" s="171">
        <f t="shared" si="1"/>
        <v>64</v>
      </c>
      <c r="B73" s="187" t="s">
        <v>660</v>
      </c>
      <c r="D73" s="838"/>
      <c r="E73" s="844"/>
      <c r="F73" s="844"/>
      <c r="G73" s="844"/>
      <c r="R73"/>
    </row>
    <row r="74" spans="1:18" ht="13">
      <c r="A74" s="171">
        <f t="shared" si="1"/>
        <v>65</v>
      </c>
      <c r="B74" s="187" t="s">
        <v>661</v>
      </c>
      <c r="D74" s="838">
        <v>586851.1708340958</v>
      </c>
      <c r="E74" s="844"/>
      <c r="F74" s="844"/>
      <c r="G74" s="844"/>
      <c r="R74"/>
    </row>
    <row r="75" spans="1:18" ht="13">
      <c r="A75" s="171">
        <f t="shared" si="1"/>
        <v>66</v>
      </c>
      <c r="B75" s="187" t="s">
        <v>662</v>
      </c>
      <c r="D75" s="838">
        <v>310158.29969329422</v>
      </c>
      <c r="E75" s="844"/>
      <c r="F75" s="844"/>
      <c r="G75" s="844"/>
      <c r="R75"/>
    </row>
    <row r="76" spans="1:18" ht="13">
      <c r="A76" s="171">
        <f t="shared" si="1"/>
        <v>67</v>
      </c>
      <c r="B76" s="187" t="s">
        <v>663</v>
      </c>
      <c r="D76" s="838"/>
      <c r="E76" s="844"/>
      <c r="F76" s="844"/>
      <c r="G76" s="844"/>
      <c r="R76"/>
    </row>
    <row r="77" spans="1:18" ht="13">
      <c r="A77" s="171">
        <f t="shared" si="1"/>
        <v>68</v>
      </c>
      <c r="B77" s="187" t="s">
        <v>664</v>
      </c>
      <c r="D77" s="838"/>
      <c r="E77" s="844"/>
      <c r="F77" s="844"/>
      <c r="G77" s="844"/>
      <c r="R77"/>
    </row>
    <row r="78" spans="1:18" ht="13">
      <c r="A78" s="879">
        <f t="shared" si="1"/>
        <v>69</v>
      </c>
      <c r="B78" s="187" t="s">
        <v>760</v>
      </c>
      <c r="D78" s="838">
        <v>1021.5963048038926</v>
      </c>
      <c r="E78" s="844"/>
      <c r="F78" s="844"/>
      <c r="G78" s="844"/>
      <c r="R78"/>
    </row>
    <row r="79" spans="1:18" ht="13">
      <c r="A79" s="879">
        <f t="shared" si="1"/>
        <v>70</v>
      </c>
      <c r="B79" s="187" t="s">
        <v>761</v>
      </c>
      <c r="D79" s="838">
        <v>539.92662640610774</v>
      </c>
      <c r="E79" s="844"/>
      <c r="F79" s="844"/>
      <c r="G79" s="844"/>
      <c r="R79"/>
    </row>
    <row r="80" spans="1:18" ht="13">
      <c r="A80" s="879">
        <f t="shared" si="1"/>
        <v>71</v>
      </c>
      <c r="B80" s="187" t="s">
        <v>762</v>
      </c>
      <c r="D80" s="838"/>
      <c r="E80" s="844"/>
      <c r="F80" s="844"/>
      <c r="G80" s="844"/>
      <c r="R80"/>
    </row>
    <row r="81" spans="1:18" ht="13">
      <c r="A81" s="879">
        <f t="shared" si="1"/>
        <v>72</v>
      </c>
      <c r="B81" s="187" t="s">
        <v>763</v>
      </c>
      <c r="D81" s="838"/>
      <c r="E81" s="844"/>
      <c r="F81" s="844"/>
      <c r="G81" s="844"/>
      <c r="R81"/>
    </row>
    <row r="82" spans="1:18" ht="13">
      <c r="A82" s="879">
        <f t="shared" si="1"/>
        <v>73</v>
      </c>
      <c r="B82" s="187" t="s">
        <v>764</v>
      </c>
      <c r="D82" s="838"/>
      <c r="E82" s="844"/>
      <c r="F82" s="844"/>
      <c r="G82" s="844"/>
      <c r="R82"/>
    </row>
    <row r="83" spans="1:18" ht="13">
      <c r="A83" s="879">
        <f t="shared" si="1"/>
        <v>74</v>
      </c>
      <c r="B83" s="187" t="s">
        <v>725</v>
      </c>
      <c r="D83" s="838"/>
      <c r="E83" s="844"/>
      <c r="F83" s="844"/>
      <c r="G83" s="844"/>
      <c r="R83"/>
    </row>
    <row r="84" spans="1:18" ht="13">
      <c r="A84" s="867">
        <f t="shared" si="1"/>
        <v>75</v>
      </c>
      <c r="B84" s="187" t="s">
        <v>726</v>
      </c>
      <c r="D84" s="838"/>
      <c r="E84" s="844"/>
      <c r="F84" s="844"/>
      <c r="G84" s="844"/>
      <c r="R84"/>
    </row>
    <row r="85" spans="1:18" ht="13">
      <c r="A85" s="867">
        <f t="shared" si="1"/>
        <v>76</v>
      </c>
      <c r="B85" s="187" t="s">
        <v>727</v>
      </c>
      <c r="D85" s="838"/>
      <c r="E85" s="844"/>
      <c r="F85" s="844"/>
      <c r="G85" s="844"/>
      <c r="R85"/>
    </row>
    <row r="86" spans="1:18" ht="13">
      <c r="A86" s="867">
        <f t="shared" si="1"/>
        <v>77</v>
      </c>
      <c r="B86" s="187" t="s">
        <v>728</v>
      </c>
      <c r="D86" s="838"/>
      <c r="E86" s="844"/>
      <c r="F86" s="844"/>
      <c r="G86" s="844"/>
      <c r="R86"/>
    </row>
    <row r="87" spans="1:18" ht="13">
      <c r="A87" s="872">
        <f t="shared" si="1"/>
        <v>78</v>
      </c>
      <c r="B87" s="189" t="s">
        <v>721</v>
      </c>
      <c r="D87" s="838"/>
      <c r="E87" s="844"/>
      <c r="F87" s="844"/>
      <c r="G87" s="844"/>
      <c r="R87"/>
    </row>
    <row r="88" spans="1:18" ht="13">
      <c r="A88" s="872">
        <f t="shared" si="1"/>
        <v>79</v>
      </c>
      <c r="B88" s="189" t="s">
        <v>722</v>
      </c>
      <c r="D88" s="838"/>
      <c r="E88" s="844"/>
      <c r="F88" s="844"/>
      <c r="G88" s="844"/>
      <c r="R88"/>
    </row>
    <row r="89" spans="1:18" ht="13">
      <c r="A89" s="872">
        <f t="shared" si="1"/>
        <v>80</v>
      </c>
      <c r="B89" s="189" t="s">
        <v>719</v>
      </c>
      <c r="D89" s="838"/>
      <c r="E89" s="844"/>
      <c r="F89" s="844"/>
      <c r="G89" s="844"/>
      <c r="R89"/>
    </row>
    <row r="90" spans="1:18" ht="13">
      <c r="A90" s="872">
        <f t="shared" si="1"/>
        <v>81</v>
      </c>
      <c r="B90" s="189" t="s">
        <v>720</v>
      </c>
      <c r="D90" s="838"/>
      <c r="E90" s="844"/>
      <c r="F90" s="844"/>
      <c r="G90" s="844"/>
      <c r="R90"/>
    </row>
    <row r="91" spans="1:18" ht="13">
      <c r="A91" s="872">
        <f t="shared" si="1"/>
        <v>82</v>
      </c>
      <c r="B91" s="187" t="s">
        <v>729</v>
      </c>
      <c r="D91" s="838"/>
      <c r="E91" s="844"/>
      <c r="F91" s="844"/>
      <c r="G91" s="844"/>
      <c r="R91"/>
    </row>
    <row r="92" spans="1:18" ht="13">
      <c r="A92" s="867">
        <f t="shared" si="1"/>
        <v>83</v>
      </c>
      <c r="B92" s="187" t="s">
        <v>730</v>
      </c>
      <c r="D92" s="838"/>
      <c r="E92" s="844"/>
      <c r="F92" s="844"/>
      <c r="G92" s="844"/>
      <c r="R92"/>
    </row>
    <row r="93" spans="1:18" ht="13">
      <c r="A93" s="867">
        <f t="shared" si="1"/>
        <v>84</v>
      </c>
      <c r="B93" s="187" t="s">
        <v>731</v>
      </c>
      <c r="D93" s="838"/>
      <c r="E93" s="844"/>
      <c r="F93" s="844"/>
      <c r="G93" s="844"/>
      <c r="R93"/>
    </row>
    <row r="94" spans="1:18" ht="13">
      <c r="A94" s="867">
        <f t="shared" si="1"/>
        <v>85</v>
      </c>
      <c r="B94" s="187" t="s">
        <v>732</v>
      </c>
      <c r="D94" s="838"/>
      <c r="E94" s="844"/>
      <c r="F94" s="844"/>
      <c r="G94" s="844"/>
      <c r="R94"/>
    </row>
    <row r="95" spans="1:18" ht="13">
      <c r="A95" s="867">
        <f t="shared" si="1"/>
        <v>86</v>
      </c>
      <c r="B95" s="187" t="s">
        <v>820</v>
      </c>
      <c r="D95" s="838">
        <v>179553.67754801456</v>
      </c>
      <c r="E95" s="844"/>
      <c r="F95" s="844"/>
      <c r="G95" s="844"/>
      <c r="R95"/>
    </row>
    <row r="96" spans="1:18" ht="13">
      <c r="A96" s="867">
        <f t="shared" si="1"/>
        <v>87</v>
      </c>
      <c r="B96" s="187" t="s">
        <v>821</v>
      </c>
      <c r="D96" s="838">
        <v>94896.399802385364</v>
      </c>
      <c r="E96" s="844"/>
      <c r="F96" s="844"/>
      <c r="G96" s="844"/>
      <c r="R96"/>
    </row>
    <row r="97" spans="1:18" ht="13">
      <c r="A97" s="867">
        <f t="shared" si="1"/>
        <v>88</v>
      </c>
      <c r="B97" s="187" t="s">
        <v>733</v>
      </c>
      <c r="D97" s="838">
        <v>2911.3267986750707</v>
      </c>
      <c r="E97" s="844"/>
      <c r="F97" s="844"/>
      <c r="G97" s="844"/>
      <c r="R97"/>
    </row>
    <row r="98" spans="1:18" ht="13">
      <c r="A98" s="867">
        <f t="shared" si="1"/>
        <v>89</v>
      </c>
      <c r="B98" s="187" t="s">
        <v>734</v>
      </c>
      <c r="D98" s="838">
        <v>1538.6732013249298</v>
      </c>
      <c r="E98" s="844"/>
      <c r="F98" s="844"/>
      <c r="G98" s="844"/>
      <c r="R98"/>
    </row>
    <row r="99" spans="1:18" ht="13">
      <c r="A99" s="867">
        <f t="shared" si="1"/>
        <v>90</v>
      </c>
      <c r="B99" s="187" t="s">
        <v>735</v>
      </c>
      <c r="D99" s="838">
        <v>2793738.0962148425</v>
      </c>
      <c r="E99" s="844"/>
      <c r="F99" s="844"/>
      <c r="G99" s="844"/>
      <c r="R99"/>
    </row>
    <row r="100" spans="1:18" ht="13">
      <c r="A100" s="867">
        <f t="shared" si="1"/>
        <v>91</v>
      </c>
      <c r="B100" s="187" t="s">
        <v>736</v>
      </c>
      <c r="D100" s="838">
        <v>1476526.0781175783</v>
      </c>
      <c r="E100" s="844"/>
      <c r="F100" s="844"/>
      <c r="G100" s="844"/>
      <c r="R100"/>
    </row>
    <row r="101" spans="1:18" ht="13">
      <c r="A101" s="867">
        <f t="shared" si="1"/>
        <v>92</v>
      </c>
      <c r="B101" s="187" t="s">
        <v>737</v>
      </c>
      <c r="D101" s="838"/>
      <c r="E101" s="844"/>
      <c r="F101" s="844"/>
      <c r="G101" s="838"/>
      <c r="R101"/>
    </row>
    <row r="102" spans="1:18" ht="13">
      <c r="A102" s="867">
        <f t="shared" si="1"/>
        <v>93</v>
      </c>
      <c r="B102" s="187" t="s">
        <v>738</v>
      </c>
      <c r="D102" s="838"/>
      <c r="E102" s="844"/>
      <c r="F102" s="844"/>
      <c r="G102" s="838"/>
      <c r="R102"/>
    </row>
    <row r="103" spans="1:18" ht="13">
      <c r="A103" s="867">
        <f t="shared" si="1"/>
        <v>94</v>
      </c>
      <c r="B103" s="187" t="s">
        <v>723</v>
      </c>
      <c r="D103" s="838"/>
      <c r="E103" s="844"/>
      <c r="F103" s="838"/>
      <c r="G103" s="838">
        <v>15242.046983994103</v>
      </c>
      <c r="R103"/>
    </row>
    <row r="104" spans="1:18" ht="13">
      <c r="A104" s="171">
        <f t="shared" si="1"/>
        <v>95</v>
      </c>
      <c r="B104" s="187" t="s">
        <v>724</v>
      </c>
      <c r="D104" s="838"/>
      <c r="E104" s="844"/>
      <c r="F104" s="838"/>
      <c r="G104" s="838">
        <v>8055.6154802958981</v>
      </c>
      <c r="R104"/>
    </row>
    <row r="105" spans="1:18" ht="26">
      <c r="A105" s="885">
        <f t="shared" si="1"/>
        <v>96</v>
      </c>
      <c r="B105" s="918" t="s">
        <v>812</v>
      </c>
      <c r="D105" s="838">
        <f>'ATT 1A - Excess ADIT'!H14</f>
        <v>251191.99132585831</v>
      </c>
      <c r="E105" s="844"/>
      <c r="F105" s="838"/>
      <c r="G105" s="838"/>
      <c r="R105"/>
    </row>
    <row r="106" spans="1:18" ht="13">
      <c r="A106" s="915">
        <f t="shared" si="1"/>
        <v>97</v>
      </c>
      <c r="B106" s="187" t="s">
        <v>811</v>
      </c>
      <c r="D106" s="838">
        <v>-72574.649999999994</v>
      </c>
      <c r="E106" s="844"/>
      <c r="F106" s="838"/>
      <c r="G106" s="838"/>
      <c r="R106"/>
    </row>
    <row r="107" spans="1:18" ht="13">
      <c r="A107" s="915">
        <f t="shared" si="2" ref="A107:A171">=A106+1</f>
        <v>98</v>
      </c>
      <c r="B107" s="190" t="s">
        <v>256</v>
      </c>
      <c r="D107" s="223">
        <f>SUM(D25:D106)</f>
        <v>7216746.4736343687</v>
      </c>
      <c r="E107" s="223">
        <f t="shared" si="3" ref="E107:G107">=SUM(E25:E106)</f>
        <v>0</v>
      </c>
      <c r="F107" s="223">
        <f t="shared" si="3"/>
        <v>0</v>
      </c>
      <c r="G107" s="223">
        <f t="shared" si="3"/>
        <v>2423142.37126857</v>
      </c>
      <c r="R107"/>
    </row>
    <row r="108" spans="1:18" ht="13">
      <c r="A108" s="915">
        <f t="shared" si="2"/>
        <v>99</v>
      </c>
      <c r="B108" s="184" t="s">
        <v>228</v>
      </c>
      <c r="D108" s="558"/>
      <c r="E108" s="558"/>
      <c r="F108" s="558"/>
      <c r="G108" s="558"/>
      <c r="R108"/>
    </row>
    <row r="109" spans="1:18" ht="13">
      <c r="A109" s="915">
        <f t="shared" si="2"/>
        <v>100</v>
      </c>
      <c r="B109" s="184" t="s">
        <v>229</v>
      </c>
      <c r="D109" s="558">
        <f>SUM(D39:D42)</f>
        <v>0</v>
      </c>
      <c r="E109" s="558">
        <f>SUM(E39:E42)</f>
        <v>0</v>
      </c>
      <c r="F109" s="558">
        <f>SUM(F39:F42)</f>
        <v>0</v>
      </c>
      <c r="G109" s="558">
        <f>SUM(G39:G42)</f>
        <v>2055904.01424027</v>
      </c>
      <c r="R109"/>
    </row>
    <row r="110" spans="1:7" ht="13">
      <c r="A110" s="915">
        <f t="shared" si="2"/>
        <v>101</v>
      </c>
      <c r="B110" s="184" t="s">
        <v>173</v>
      </c>
      <c r="D110" s="223">
        <f>+D107-D108-D109</f>
        <v>7216746.4736343687</v>
      </c>
      <c r="E110" s="223">
        <f>+E107-E108-E109</f>
        <v>0</v>
      </c>
      <c r="F110" s="223">
        <f>+F107-F108-F109</f>
        <v>0</v>
      </c>
      <c r="G110" s="223">
        <f>+G107-G108-G109</f>
        <v>367238.35702829994</v>
      </c>
    </row>
    <row r="111" spans="1:7" ht="13">
      <c r="A111" s="915">
        <f t="shared" si="2"/>
        <v>102</v>
      </c>
      <c r="B111" s="170"/>
      <c r="D111" s="2"/>
      <c r="E111" s="2"/>
      <c r="F111" s="179"/>
      <c r="G111" s="179"/>
    </row>
    <row r="112" spans="1:16" ht="13">
      <c r="A112" s="915">
        <f t="shared" si="2"/>
        <v>103</v>
      </c>
      <c r="B112" s="919" t="s">
        <v>246</v>
      </c>
      <c r="C112" s="919"/>
      <c r="D112" s="920"/>
      <c r="E112" s="921"/>
      <c r="F112" s="921"/>
      <c r="G112" s="922"/>
      <c r="H112" s="922"/>
      <c r="P112" s="216"/>
    </row>
    <row r="113" spans="1:16" ht="12.75" customHeight="1">
      <c r="A113" s="915">
        <f t="shared" si="2"/>
        <v>104</v>
      </c>
      <c r="B113" s="960" t="s">
        <v>258</v>
      </c>
      <c r="C113" s="960"/>
      <c r="D113" s="961"/>
      <c r="E113" s="961"/>
      <c r="F113" s="961"/>
      <c r="G113" s="961"/>
      <c r="H113" s="961"/>
      <c r="P113" s="216"/>
    </row>
    <row r="114" spans="1:8" ht="13">
      <c r="A114" s="915">
        <f t="shared" si="2"/>
        <v>105</v>
      </c>
      <c r="B114" s="923" t="s">
        <v>253</v>
      </c>
      <c r="C114" s="923"/>
      <c r="D114" s="920"/>
      <c r="E114" s="920"/>
      <c r="F114" s="920"/>
      <c r="G114" s="922"/>
      <c r="H114" s="922"/>
    </row>
    <row r="115" spans="1:16" ht="13">
      <c r="A115" s="915">
        <f t="shared" si="2"/>
        <v>106</v>
      </c>
      <c r="B115" s="923" t="s">
        <v>254</v>
      </c>
      <c r="C115" s="923"/>
      <c r="D115" s="920"/>
      <c r="E115" s="920"/>
      <c r="F115" s="920"/>
      <c r="G115" s="922"/>
      <c r="H115" s="922"/>
      <c r="P115" s="886"/>
    </row>
    <row r="116" spans="1:8" ht="13">
      <c r="A116" s="915">
        <f t="shared" si="2"/>
        <v>107</v>
      </c>
      <c r="B116" s="923" t="s">
        <v>255</v>
      </c>
      <c r="C116" s="923"/>
      <c r="D116" s="920"/>
      <c r="E116" s="920"/>
      <c r="F116" s="920"/>
      <c r="G116" s="922"/>
      <c r="H116" s="922"/>
    </row>
    <row r="117" spans="1:8" ht="16.15" customHeight="1">
      <c r="A117" s="915">
        <f t="shared" si="2"/>
        <v>108</v>
      </c>
      <c r="B117" s="960" t="s">
        <v>450</v>
      </c>
      <c r="C117" s="960"/>
      <c r="D117" s="960"/>
      <c r="E117" s="960"/>
      <c r="F117" s="960"/>
      <c r="G117" s="960"/>
      <c r="H117" s="933"/>
    </row>
    <row r="118" spans="1:8" ht="21.75" customHeight="1">
      <c r="A118" s="915">
        <f t="shared" si="2"/>
        <v>109</v>
      </c>
      <c r="B118" s="960"/>
      <c r="C118" s="960"/>
      <c r="D118" s="960"/>
      <c r="E118" s="960"/>
      <c r="F118" s="960"/>
      <c r="G118" s="960"/>
      <c r="H118" s="933"/>
    </row>
    <row r="119" spans="1:8" ht="21.75" customHeight="1">
      <c r="A119" s="915">
        <f t="shared" si="2"/>
        <v>110</v>
      </c>
      <c r="B119" s="934" t="s">
        <v>813</v>
      </c>
      <c r="C119" s="923"/>
      <c r="D119" s="924" t="s">
        <v>814</v>
      </c>
      <c r="G119" s="922"/>
      <c r="H119" s="922"/>
    </row>
    <row r="120" spans="1:1" ht="13">
      <c r="A120" s="915">
        <f t="shared" si="2"/>
        <v>111</v>
      </c>
    </row>
    <row r="121" spans="1:7" ht="15.5">
      <c r="A121" s="915">
        <f t="shared" si="2"/>
        <v>112</v>
      </c>
      <c r="B121" s="959" t="str">
        <f>A1</f>
        <v>UGI Utilities, Inc.</v>
      </c>
      <c r="C121" s="959"/>
      <c r="D121" s="959"/>
      <c r="E121" s="959"/>
      <c r="F121" s="959"/>
      <c r="G121" s="959"/>
    </row>
    <row r="122" spans="1:7" ht="13">
      <c r="A122" s="915">
        <f t="shared" si="2"/>
        <v>113</v>
      </c>
      <c r="G122" s="169" t="s">
        <v>571</v>
      </c>
    </row>
    <row r="123" spans="1:7" ht="13">
      <c r="A123" s="915">
        <f t="shared" si="2"/>
        <v>114</v>
      </c>
      <c r="G123" s="169"/>
    </row>
    <row r="124" spans="1:7" ht="13">
      <c r="A124" s="915">
        <f t="shared" si="2"/>
        <v>115</v>
      </c>
      <c r="G124" s="169"/>
    </row>
    <row r="125" spans="1:7" ht="13">
      <c r="A125" s="915">
        <f t="shared" si="2"/>
        <v>116</v>
      </c>
      <c r="B125" s="181"/>
      <c r="D125" s="180" t="s">
        <v>249</v>
      </c>
      <c r="E125" s="180" t="s">
        <v>250</v>
      </c>
      <c r="F125" s="180" t="s">
        <v>251</v>
      </c>
      <c r="G125" s="180" t="s">
        <v>252</v>
      </c>
    </row>
    <row r="126" spans="1:7" ht="13">
      <c r="A126" s="915">
        <f t="shared" si="2"/>
        <v>117</v>
      </c>
      <c r="B126" s="169" t="s">
        <v>230</v>
      </c>
      <c r="D126" s="180" t="s">
        <v>243</v>
      </c>
      <c r="E126" s="180" t="s">
        <v>245</v>
      </c>
      <c r="F126" s="180"/>
      <c r="G126" s="180"/>
    </row>
    <row r="127" spans="1:7" ht="13">
      <c r="A127" s="915">
        <f t="shared" si="2"/>
        <v>118</v>
      </c>
      <c r="B127" s="184"/>
      <c r="D127" s="180" t="s">
        <v>244</v>
      </c>
      <c r="E127" s="180" t="s">
        <v>226</v>
      </c>
      <c r="F127" s="180" t="s">
        <v>240</v>
      </c>
      <c r="G127" s="180" t="s">
        <v>242</v>
      </c>
    </row>
    <row r="128" spans="1:7" ht="13">
      <c r="A128" s="915">
        <f t="shared" si="2"/>
        <v>119</v>
      </c>
      <c r="B128" s="186"/>
      <c r="D128" s="180" t="s">
        <v>241</v>
      </c>
      <c r="E128" s="180" t="s">
        <v>241</v>
      </c>
      <c r="F128" s="180" t="s">
        <v>241</v>
      </c>
      <c r="G128" s="180" t="s">
        <v>241</v>
      </c>
    </row>
    <row r="129" spans="1:2" ht="13">
      <c r="A129" s="915">
        <f t="shared" si="2"/>
        <v>120</v>
      </c>
      <c r="B129" s="186"/>
    </row>
    <row r="130" spans="1:7" ht="13">
      <c r="A130" s="915">
        <f t="shared" si="2"/>
        <v>121</v>
      </c>
      <c r="B130" s="186" t="s">
        <v>665</v>
      </c>
      <c r="D130" s="838">
        <v>126678.41</v>
      </c>
      <c r="E130" s="844"/>
      <c r="F130" s="844"/>
      <c r="G130" s="746"/>
    </row>
    <row r="131" spans="1:7" ht="13">
      <c r="A131" s="915">
        <f t="shared" si="2"/>
        <v>122</v>
      </c>
      <c r="B131" s="186" t="s">
        <v>666</v>
      </c>
      <c r="D131" s="838">
        <v>-7356393</v>
      </c>
      <c r="E131" s="844"/>
      <c r="F131" s="844"/>
      <c r="G131" s="746"/>
    </row>
    <row r="132" spans="1:7" ht="13">
      <c r="A132" s="915">
        <f t="shared" si="2"/>
        <v>123</v>
      </c>
      <c r="B132" s="186" t="s">
        <v>560</v>
      </c>
      <c r="D132" s="844"/>
      <c r="E132" s="844"/>
      <c r="F132" s="838"/>
      <c r="G132" s="746"/>
    </row>
    <row r="133" spans="1:7" ht="13">
      <c r="A133" s="915">
        <f t="shared" si="2"/>
        <v>124</v>
      </c>
      <c r="B133" s="186" t="s">
        <v>561</v>
      </c>
      <c r="D133" s="844"/>
      <c r="E133" s="844"/>
      <c r="F133" s="838"/>
      <c r="G133" s="746"/>
    </row>
    <row r="134" spans="1:7" ht="13">
      <c r="A134" s="915">
        <f t="shared" si="2"/>
        <v>125</v>
      </c>
      <c r="B134" s="186" t="s">
        <v>452</v>
      </c>
      <c r="D134" s="844"/>
      <c r="E134" s="844"/>
      <c r="F134" s="838">
        <v>-22590742.5</v>
      </c>
      <c r="G134" s="746"/>
    </row>
    <row r="135" spans="1:7" ht="13">
      <c r="A135" s="915">
        <f t="shared" si="2"/>
        <v>126</v>
      </c>
      <c r="B135" s="186" t="s">
        <v>562</v>
      </c>
      <c r="D135" s="844"/>
      <c r="E135" s="838">
        <v>-1302922.46</v>
      </c>
      <c r="F135" s="838"/>
      <c r="G135" s="746"/>
    </row>
    <row r="136" spans="1:7" ht="26">
      <c r="A136" s="915">
        <f t="shared" si="2"/>
        <v>127</v>
      </c>
      <c r="B136" s="918" t="s">
        <v>815</v>
      </c>
      <c r="D136" s="558"/>
      <c r="E136" s="558"/>
      <c r="F136" s="558">
        <f>'ATT 1A - Excess ADIT'!H13</f>
        <v>-15235754.57860519</v>
      </c>
      <c r="G136" s="558"/>
    </row>
    <row r="137" spans="1:7" ht="13">
      <c r="A137" s="915">
        <f t="shared" si="2"/>
        <v>128</v>
      </c>
      <c r="B137" s="187" t="s">
        <v>811</v>
      </c>
      <c r="D137" s="518"/>
      <c r="E137" s="518"/>
      <c r="F137" s="518">
        <v>4401929.4299999997</v>
      </c>
      <c r="G137" s="518"/>
    </row>
    <row r="138" spans="1:7" ht="13">
      <c r="A138" s="915">
        <f t="shared" si="2"/>
        <v>129</v>
      </c>
      <c r="B138" s="190" t="s">
        <v>327</v>
      </c>
      <c r="D138" s="519">
        <f>SUM(D129:D137)</f>
        <v>-7229714.5899999999</v>
      </c>
      <c r="E138" s="519">
        <f>SUM(E129:E137)</f>
        <v>-1302922.46</v>
      </c>
      <c r="F138" s="519">
        <f>SUM(F129:F137)</f>
        <v>-33424567.64860519</v>
      </c>
      <c r="G138" s="519">
        <f>SUM(G129:G137)</f>
        <v>0</v>
      </c>
    </row>
    <row r="139" spans="1:8" ht="13">
      <c r="A139" s="915">
        <f t="shared" si="2"/>
        <v>130</v>
      </c>
      <c r="B139" s="184" t="s">
        <v>228</v>
      </c>
      <c r="D139" s="518">
        <f>SUM(D130:D131)</f>
        <v>-7229714.5899999999</v>
      </c>
      <c r="E139" s="518">
        <f>SUM(E130:E131)</f>
        <v>0</v>
      </c>
      <c r="F139" s="518">
        <f>SUM(F130:F131)</f>
        <v>0</v>
      </c>
      <c r="G139" s="518">
        <f>SUM(G130:G131)</f>
        <v>0</v>
      </c>
      <c r="H139" s="203"/>
    </row>
    <row r="140" spans="1:8" ht="13">
      <c r="A140" s="915">
        <f t="shared" si="2"/>
        <v>131</v>
      </c>
      <c r="B140" s="184" t="s">
        <v>229</v>
      </c>
      <c r="D140" s="518"/>
      <c r="E140" s="518"/>
      <c r="F140" s="518"/>
      <c r="G140" s="518"/>
      <c r="H140" s="203"/>
    </row>
    <row r="141" spans="1:7" ht="13">
      <c r="A141" s="915">
        <f t="shared" si="2"/>
        <v>132</v>
      </c>
      <c r="B141" s="184" t="s">
        <v>173</v>
      </c>
      <c r="D141" s="519">
        <f>+D138-D139-D140</f>
        <v>0</v>
      </c>
      <c r="E141" s="519">
        <f>+E138-E139-E140</f>
        <v>-1302922.46</v>
      </c>
      <c r="F141" s="519">
        <f>+F138-F139-F140</f>
        <v>-33424567.64860519</v>
      </c>
      <c r="G141" s="519">
        <f>+G138-G139-G140</f>
        <v>0</v>
      </c>
    </row>
    <row r="142" spans="1:7" ht="13">
      <c r="A142" s="915">
        <f t="shared" si="2"/>
        <v>133</v>
      </c>
      <c r="B142" s="184"/>
      <c r="D142" s="2"/>
      <c r="E142" s="2"/>
      <c r="F142" s="179"/>
      <c r="G142" s="179"/>
    </row>
    <row r="143" spans="1:16" ht="13">
      <c r="A143" s="915">
        <f t="shared" si="2"/>
        <v>134</v>
      </c>
      <c r="B143" s="184" t="s">
        <v>248</v>
      </c>
      <c r="D143" s="2"/>
      <c r="E143" s="2"/>
      <c r="F143" s="179"/>
      <c r="G143" s="179"/>
      <c r="P143" s="216"/>
    </row>
    <row r="144" spans="1:16" ht="24" customHeight="1">
      <c r="A144" s="915">
        <f t="shared" si="2"/>
        <v>135</v>
      </c>
      <c r="B144" s="960" t="s">
        <v>258</v>
      </c>
      <c r="C144" s="960"/>
      <c r="D144" s="961"/>
      <c r="E144" s="961"/>
      <c r="F144" s="961"/>
      <c r="G144" s="961"/>
      <c r="H144" s="961"/>
      <c r="P144" s="516"/>
    </row>
    <row r="145" spans="1:8" ht="13">
      <c r="A145" s="915">
        <f t="shared" si="2"/>
        <v>136</v>
      </c>
      <c r="B145" s="923" t="s">
        <v>253</v>
      </c>
      <c r="C145" s="923"/>
      <c r="D145" s="920"/>
      <c r="E145" s="920"/>
      <c r="F145" s="920"/>
      <c r="G145" s="922"/>
      <c r="H145" s="922"/>
    </row>
    <row r="146" spans="1:8" ht="13">
      <c r="A146" s="915">
        <f t="shared" si="2"/>
        <v>137</v>
      </c>
      <c r="B146" s="923" t="s">
        <v>254</v>
      </c>
      <c r="C146" s="923"/>
      <c r="D146" s="920"/>
      <c r="E146" s="920"/>
      <c r="F146" s="920"/>
      <c r="G146" s="922"/>
      <c r="H146" s="922"/>
    </row>
    <row r="147" spans="1:7" ht="13">
      <c r="A147" s="915">
        <f t="shared" si="2"/>
        <v>138</v>
      </c>
      <c r="B147" s="923" t="s">
        <v>255</v>
      </c>
      <c r="D147" s="924" t="s">
        <v>814</v>
      </c>
      <c r="F147" s="179"/>
      <c r="G147" s="179"/>
    </row>
    <row r="148" spans="1:8" ht="39">
      <c r="A148" s="915">
        <f t="shared" si="2"/>
        <v>139</v>
      </c>
      <c r="B148" s="907" t="str">
        <f>+B117</f>
        <v>5. Since deferred income taxes arise when items are included in taxable income in different periods than they are included in rates - therefore, if the item giving rise to the ADIT is not included in the formula, the associated ADIT amount shall be excluded</v>
      </c>
      <c r="D148" s="909" t="s">
        <v>799</v>
      </c>
      <c r="E148" s="908"/>
      <c r="F148" s="908"/>
      <c r="G148" s="908"/>
      <c r="H148" s="203"/>
    </row>
    <row r="149" spans="1:7" ht="18.75" customHeight="1">
      <c r="A149" s="915">
        <f t="shared" si="2"/>
        <v>140</v>
      </c>
      <c r="B149" s="934" t="s">
        <v>813</v>
      </c>
      <c r="C149" s="908"/>
      <c r="D149" s="908"/>
      <c r="E149" s="908"/>
      <c r="F149" s="908"/>
      <c r="G149" s="908"/>
    </row>
    <row r="150" spans="1:7" ht="13">
      <c r="A150" s="915">
        <f t="shared" si="2"/>
        <v>141</v>
      </c>
      <c r="B150" s="185"/>
      <c r="D150" s="2"/>
      <c r="E150" s="2"/>
      <c r="F150" s="179"/>
      <c r="G150" s="179"/>
    </row>
    <row r="151" spans="1:7" ht="13">
      <c r="A151" s="915">
        <f t="shared" si="2"/>
        <v>142</v>
      </c>
      <c r="B151" s="185"/>
      <c r="D151" s="2"/>
      <c r="E151" s="2"/>
      <c r="F151" s="179"/>
      <c r="G151" s="179"/>
    </row>
    <row r="152" spans="1:7" ht="15.5">
      <c r="A152" s="915">
        <f t="shared" si="2"/>
        <v>143</v>
      </c>
      <c r="B152" s="959">
        <f>27109691+14847514</f>
        <v>41957205</v>
      </c>
      <c r="C152" s="959"/>
      <c r="D152" s="959"/>
      <c r="E152" s="959"/>
      <c r="F152" s="959"/>
      <c r="G152" s="959"/>
    </row>
    <row r="153" spans="1:7" ht="13">
      <c r="A153" s="915">
        <f t="shared" si="2"/>
        <v>144</v>
      </c>
      <c r="G153" s="169"/>
    </row>
    <row r="154" spans="1:7" ht="13">
      <c r="A154" s="915">
        <f t="shared" si="2"/>
        <v>145</v>
      </c>
      <c r="B154" s="170"/>
      <c r="D154" s="2"/>
      <c r="E154" s="2"/>
      <c r="F154" s="179"/>
      <c r="G154" s="179"/>
    </row>
    <row r="155" spans="1:16" ht="15.5">
      <c r="A155" s="915">
        <f t="shared" si="2"/>
        <v>146</v>
      </c>
      <c r="D155" s="180" t="s">
        <v>243</v>
      </c>
      <c r="E155" s="180" t="s">
        <v>245</v>
      </c>
      <c r="F155" s="180"/>
      <c r="G155" s="180"/>
      <c r="P155" s="53"/>
    </row>
    <row r="156" spans="1:7" ht="13">
      <c r="A156" s="915">
        <f t="shared" si="2"/>
        <v>147</v>
      </c>
      <c r="B156" s="169" t="s">
        <v>231</v>
      </c>
      <c r="D156" s="180" t="s">
        <v>244</v>
      </c>
      <c r="E156" s="180" t="s">
        <v>226</v>
      </c>
      <c r="F156" s="180" t="s">
        <v>240</v>
      </c>
      <c r="G156" s="180" t="s">
        <v>242</v>
      </c>
    </row>
    <row r="157" spans="1:7" ht="13">
      <c r="A157" s="915">
        <f t="shared" si="2"/>
        <v>148</v>
      </c>
      <c r="D157" s="180" t="s">
        <v>241</v>
      </c>
      <c r="E157" s="180" t="s">
        <v>241</v>
      </c>
      <c r="F157" s="180" t="s">
        <v>241</v>
      </c>
      <c r="G157" s="180" t="s">
        <v>241</v>
      </c>
    </row>
    <row r="158" spans="1:2" ht="13">
      <c r="A158" s="915">
        <f t="shared" si="2"/>
        <v>149</v>
      </c>
      <c r="B158" s="187"/>
    </row>
    <row r="159" spans="1:7" ht="13">
      <c r="A159" s="915">
        <f t="shared" si="2"/>
        <v>150</v>
      </c>
      <c r="B159" s="186" t="s">
        <v>565</v>
      </c>
      <c r="D159" s="838"/>
      <c r="E159" s="844"/>
      <c r="F159" s="844"/>
      <c r="G159" s="844"/>
    </row>
    <row r="160" spans="1:7" ht="13">
      <c r="A160" s="915">
        <f t="shared" si="2"/>
        <v>151</v>
      </c>
      <c r="B160" s="186" t="s">
        <v>566</v>
      </c>
      <c r="D160" s="838"/>
      <c r="E160" s="844"/>
      <c r="F160" s="844"/>
      <c r="G160" s="844"/>
    </row>
    <row r="161" spans="1:7" ht="13">
      <c r="A161" s="915">
        <f t="shared" si="2"/>
        <v>152</v>
      </c>
      <c r="B161" s="189" t="s">
        <v>672</v>
      </c>
      <c r="D161" s="844"/>
      <c r="E161" s="844"/>
      <c r="F161" s="844"/>
      <c r="G161" s="838"/>
    </row>
    <row r="162" spans="1:7" ht="13">
      <c r="A162" s="915">
        <f t="shared" si="2"/>
        <v>153</v>
      </c>
      <c r="B162" s="189" t="s">
        <v>673</v>
      </c>
      <c r="D162" s="844"/>
      <c r="E162" s="844"/>
      <c r="F162" s="844"/>
      <c r="G162" s="838"/>
    </row>
    <row r="163" spans="1:7" ht="13">
      <c r="A163" s="915">
        <f t="shared" si="2"/>
        <v>154</v>
      </c>
      <c r="B163" s="188" t="s">
        <v>716</v>
      </c>
      <c r="D163" s="844"/>
      <c r="E163" s="844"/>
      <c r="F163" s="844"/>
      <c r="G163" s="838"/>
    </row>
    <row r="164" spans="1:7" ht="13">
      <c r="A164" s="915">
        <f t="shared" si="2"/>
        <v>155</v>
      </c>
      <c r="B164" s="188" t="s">
        <v>717</v>
      </c>
      <c r="D164" s="844"/>
      <c r="E164" s="844"/>
      <c r="F164" s="844"/>
      <c r="G164" s="838"/>
    </row>
    <row r="165" spans="1:7" ht="13">
      <c r="A165" s="915">
        <f t="shared" si="2"/>
        <v>156</v>
      </c>
      <c r="B165" s="188" t="s">
        <v>747</v>
      </c>
      <c r="D165" s="873">
        <v>-5041802.948241014</v>
      </c>
      <c r="E165" s="844"/>
      <c r="F165" s="844"/>
      <c r="G165" s="838"/>
    </row>
    <row r="166" spans="1:7" ht="13">
      <c r="A166" s="915">
        <f t="shared" si="2"/>
        <v>157</v>
      </c>
      <c r="B166" s="188" t="s">
        <v>748</v>
      </c>
      <c r="D166" s="873">
        <v>-2664656.9139369559</v>
      </c>
      <c r="E166" s="844"/>
      <c r="F166" s="844"/>
      <c r="G166" s="838"/>
    </row>
    <row r="167" spans="1:7" ht="13">
      <c r="A167" s="915">
        <f t="shared" si="2"/>
        <v>158</v>
      </c>
      <c r="B167" s="188" t="s">
        <v>749</v>
      </c>
      <c r="D167" s="873"/>
      <c r="E167" s="844"/>
      <c r="F167" s="844"/>
      <c r="G167" s="838"/>
    </row>
    <row r="168" spans="1:7" ht="13">
      <c r="A168" s="915">
        <f t="shared" si="2"/>
        <v>159</v>
      </c>
      <c r="B168" s="188" t="s">
        <v>750</v>
      </c>
      <c r="D168" s="873"/>
      <c r="E168" s="844"/>
      <c r="F168" s="844"/>
      <c r="G168" s="838"/>
    </row>
    <row r="169" spans="1:7" ht="13">
      <c r="A169" s="915">
        <f t="shared" si="2"/>
        <v>160</v>
      </c>
      <c r="B169" s="189" t="s">
        <v>752</v>
      </c>
      <c r="C169" s="2"/>
      <c r="D169" s="873"/>
      <c r="E169" s="844"/>
      <c r="F169" s="844"/>
      <c r="G169" s="844"/>
    </row>
    <row r="170" spans="1:7" ht="13">
      <c r="A170" s="915">
        <f t="shared" si="2"/>
        <v>161</v>
      </c>
      <c r="B170" s="189" t="s">
        <v>751</v>
      </c>
      <c r="C170" s="2"/>
      <c r="D170" s="873"/>
      <c r="E170" s="844"/>
      <c r="F170" s="844"/>
      <c r="G170" s="844"/>
    </row>
    <row r="171" spans="1:7" ht="13">
      <c r="A171" s="915">
        <f t="shared" si="2"/>
        <v>162</v>
      </c>
      <c r="B171" s="189" t="s">
        <v>753</v>
      </c>
      <c r="D171" s="873"/>
      <c r="E171" s="844"/>
      <c r="F171" s="844"/>
      <c r="G171" s="838"/>
    </row>
    <row r="172" spans="1:7" ht="13">
      <c r="A172" s="915">
        <f t="shared" si="4" ref="A172:A213">=A171+1</f>
        <v>163</v>
      </c>
      <c r="B172" s="189" t="s">
        <v>754</v>
      </c>
      <c r="D172" s="873"/>
      <c r="E172" s="844"/>
      <c r="F172" s="844"/>
      <c r="G172" s="838"/>
    </row>
    <row r="173" spans="1:7" ht="13">
      <c r="A173" s="915">
        <f t="shared" si="4"/>
        <v>164</v>
      </c>
      <c r="B173" s="188" t="s">
        <v>743</v>
      </c>
      <c r="D173" s="873"/>
      <c r="E173" s="844"/>
      <c r="F173" s="844"/>
      <c r="G173" s="838"/>
    </row>
    <row r="174" spans="1:16" ht="13">
      <c r="A174" s="915">
        <f t="shared" si="4"/>
        <v>165</v>
      </c>
      <c r="B174" s="188" t="s">
        <v>744</v>
      </c>
      <c r="D174" s="873"/>
      <c r="E174" s="844"/>
      <c r="F174" s="844"/>
      <c r="G174" s="838"/>
      <c r="P174" s="189"/>
    </row>
    <row r="175" spans="1:16" ht="13">
      <c r="A175" s="915">
        <f t="shared" si="4"/>
        <v>166</v>
      </c>
      <c r="B175" s="189" t="s">
        <v>657</v>
      </c>
      <c r="D175" s="873"/>
      <c r="E175" s="844"/>
      <c r="F175" s="844"/>
      <c r="G175" s="838"/>
      <c r="P175" s="189"/>
    </row>
    <row r="176" spans="1:7" ht="13">
      <c r="A176" s="915">
        <f t="shared" si="4"/>
        <v>167</v>
      </c>
      <c r="B176" s="189" t="s">
        <v>658</v>
      </c>
      <c r="D176" s="873"/>
      <c r="E176" s="869"/>
      <c r="F176" s="869"/>
      <c r="G176" s="869"/>
    </row>
    <row r="177" spans="1:7" ht="13">
      <c r="A177" s="915">
        <f t="shared" si="4"/>
        <v>168</v>
      </c>
      <c r="B177" s="189" t="s">
        <v>676</v>
      </c>
      <c r="D177" s="873"/>
      <c r="E177" s="844"/>
      <c r="F177" s="844"/>
      <c r="G177" s="838"/>
    </row>
    <row r="178" spans="1:7" ht="13">
      <c r="A178" s="915">
        <f t="shared" si="4"/>
        <v>169</v>
      </c>
      <c r="B178" s="189" t="s">
        <v>677</v>
      </c>
      <c r="D178" s="873"/>
      <c r="E178" s="844"/>
      <c r="F178" s="844"/>
      <c r="G178" s="844"/>
    </row>
    <row r="179" spans="1:7" ht="13">
      <c r="A179" s="915">
        <f t="shared" si="4"/>
        <v>170</v>
      </c>
      <c r="B179" s="189" t="s">
        <v>647</v>
      </c>
      <c r="D179" s="873"/>
      <c r="E179" s="844"/>
      <c r="F179" s="844"/>
      <c r="G179" s="838"/>
    </row>
    <row r="180" spans="1:7" ht="13">
      <c r="A180" s="915">
        <f t="shared" si="4"/>
        <v>171</v>
      </c>
      <c r="B180" s="189" t="s">
        <v>648</v>
      </c>
      <c r="D180" s="873"/>
      <c r="E180" s="844"/>
      <c r="F180" s="844"/>
      <c r="G180" s="838"/>
    </row>
    <row r="181" spans="1:7" ht="13">
      <c r="A181" s="915">
        <f t="shared" si="4"/>
        <v>172</v>
      </c>
      <c r="B181" s="189" t="s">
        <v>649</v>
      </c>
      <c r="D181" s="873"/>
      <c r="E181" s="844"/>
      <c r="F181" s="844"/>
      <c r="G181" s="844"/>
    </row>
    <row r="182" spans="1:7" ht="13">
      <c r="A182" s="915">
        <f t="shared" si="4"/>
        <v>173</v>
      </c>
      <c r="B182" s="189" t="s">
        <v>650</v>
      </c>
      <c r="D182" s="873"/>
      <c r="E182" s="844"/>
      <c r="F182" s="844"/>
      <c r="G182" s="844"/>
    </row>
    <row r="183" spans="1:7" ht="13">
      <c r="A183" s="915">
        <f t="shared" si="4"/>
        <v>174</v>
      </c>
      <c r="B183" s="189" t="s">
        <v>667</v>
      </c>
      <c r="D183" s="873"/>
      <c r="E183" s="844"/>
      <c r="F183" s="844"/>
      <c r="G183" s="838"/>
    </row>
    <row r="184" spans="1:7" ht="13">
      <c r="A184" s="915">
        <f t="shared" si="4"/>
        <v>175</v>
      </c>
      <c r="B184" s="189" t="s">
        <v>668</v>
      </c>
      <c r="D184" s="873"/>
      <c r="E184" s="844"/>
      <c r="F184" s="844"/>
      <c r="G184" s="838"/>
    </row>
    <row r="185" spans="1:7" ht="13">
      <c r="A185" s="915">
        <f t="shared" si="4"/>
        <v>176</v>
      </c>
      <c r="B185" s="189" t="s">
        <v>723</v>
      </c>
      <c r="D185" s="873">
        <v>-112999.06336352446</v>
      </c>
      <c r="E185" s="844"/>
      <c r="F185" s="844"/>
      <c r="G185" s="844"/>
    </row>
    <row r="186" spans="1:7" ht="13">
      <c r="A186" s="915">
        <f t="shared" si="4"/>
        <v>177</v>
      </c>
      <c r="B186" s="189" t="s">
        <v>724</v>
      </c>
      <c r="D186" s="873">
        <v>-59721.440633665545</v>
      </c>
      <c r="E186" s="844"/>
      <c r="F186" s="844"/>
      <c r="G186" s="844"/>
    </row>
    <row r="187" spans="1:7" ht="13">
      <c r="A187" s="915">
        <f t="shared" si="4"/>
        <v>178</v>
      </c>
      <c r="B187" s="189" t="s">
        <v>745</v>
      </c>
      <c r="D187" s="873"/>
      <c r="E187" s="844"/>
      <c r="F187" s="844"/>
      <c r="G187" s="844"/>
    </row>
    <row r="188" spans="1:7" ht="13">
      <c r="A188" s="915">
        <f t="shared" si="4"/>
        <v>179</v>
      </c>
      <c r="B188" s="189" t="s">
        <v>746</v>
      </c>
      <c r="D188" s="873"/>
      <c r="E188" s="844"/>
      <c r="F188" s="844"/>
      <c r="G188" s="844"/>
    </row>
    <row r="189" spans="1:7" ht="13">
      <c r="A189" s="915">
        <f t="shared" si="4"/>
        <v>180</v>
      </c>
      <c r="B189" s="189" t="s">
        <v>669</v>
      </c>
      <c r="D189" s="873"/>
      <c r="E189" s="844"/>
      <c r="F189" s="844"/>
      <c r="G189" s="844"/>
    </row>
    <row r="190" spans="1:16" ht="13">
      <c r="A190" s="915">
        <f t="shared" si="4"/>
        <v>181</v>
      </c>
      <c r="B190" s="189" t="s">
        <v>718</v>
      </c>
      <c r="D190" s="873"/>
      <c r="E190" s="844"/>
      <c r="F190" s="844"/>
      <c r="G190" s="844"/>
      <c r="P190" s="215"/>
    </row>
    <row r="191" spans="1:16" ht="13">
      <c r="A191" s="915">
        <f t="shared" si="4"/>
        <v>182</v>
      </c>
      <c r="B191" s="189" t="s">
        <v>719</v>
      </c>
      <c r="D191" s="838"/>
      <c r="E191" s="844"/>
      <c r="F191" s="844"/>
      <c r="G191" s="844"/>
      <c r="P191" s="215"/>
    </row>
    <row r="192" spans="1:16" ht="13">
      <c r="A192" s="915">
        <f t="shared" si="4"/>
        <v>183</v>
      </c>
      <c r="B192" s="189" t="s">
        <v>720</v>
      </c>
      <c r="D192" s="838"/>
      <c r="E192" s="844"/>
      <c r="F192" s="844"/>
      <c r="G192" s="844"/>
      <c r="P192" s="215"/>
    </row>
    <row r="193" spans="1:16" ht="13">
      <c r="A193" s="915">
        <f t="shared" si="4"/>
        <v>184</v>
      </c>
      <c r="B193" s="189" t="s">
        <v>721</v>
      </c>
      <c r="D193" s="838"/>
      <c r="E193" s="844"/>
      <c r="F193" s="844"/>
      <c r="G193" s="844"/>
      <c r="P193" s="215"/>
    </row>
    <row r="194" spans="1:7" ht="13">
      <c r="A194" s="915">
        <f t="shared" si="4"/>
        <v>185</v>
      </c>
      <c r="B194" s="189" t="s">
        <v>722</v>
      </c>
      <c r="D194" s="838"/>
      <c r="E194" s="844"/>
      <c r="F194" s="844"/>
      <c r="G194" s="844"/>
    </row>
    <row r="195" spans="1:7" ht="13">
      <c r="A195" s="915">
        <f t="shared" si="4"/>
        <v>186</v>
      </c>
      <c r="B195" s="189" t="s">
        <v>766</v>
      </c>
      <c r="D195" s="838"/>
      <c r="E195" s="844"/>
      <c r="F195" s="844"/>
      <c r="G195" s="844"/>
    </row>
    <row r="196" spans="1:7" ht="13">
      <c r="A196" s="915">
        <f t="shared" si="4"/>
        <v>187</v>
      </c>
      <c r="B196" s="189" t="s">
        <v>767</v>
      </c>
      <c r="D196" s="838"/>
      <c r="E196" s="844"/>
      <c r="F196" s="844"/>
      <c r="G196" s="844"/>
    </row>
    <row r="197" spans="1:7" ht="13">
      <c r="A197" s="915">
        <f t="shared" si="4"/>
        <v>188</v>
      </c>
      <c r="B197" s="186" t="s">
        <v>765</v>
      </c>
      <c r="D197" s="838"/>
      <c r="E197" s="844"/>
      <c r="F197" s="844"/>
      <c r="G197" s="844"/>
    </row>
    <row r="198" spans="1:7" ht="13">
      <c r="A198" s="915">
        <f t="shared" si="4"/>
        <v>189</v>
      </c>
      <c r="B198" s="186" t="s">
        <v>804</v>
      </c>
      <c r="D198" s="838"/>
      <c r="E198" s="844"/>
      <c r="F198" s="844"/>
      <c r="G198" s="838"/>
    </row>
    <row r="199" spans="1:7" ht="26">
      <c r="A199" s="915">
        <f t="shared" si="4"/>
        <v>190</v>
      </c>
      <c r="B199" s="918" t="s">
        <v>816</v>
      </c>
      <c r="D199" s="838"/>
      <c r="E199" s="844"/>
      <c r="F199" s="844"/>
      <c r="G199" s="838"/>
    </row>
    <row r="200" spans="1:7" ht="13">
      <c r="A200" s="915">
        <f t="shared" si="4"/>
        <v>191</v>
      </c>
      <c r="B200" s="187" t="s">
        <v>811</v>
      </c>
      <c r="D200" s="838"/>
      <c r="E200" s="844"/>
      <c r="F200" s="844"/>
      <c r="G200" s="838"/>
    </row>
    <row r="201" spans="1:7" ht="13">
      <c r="A201" s="915">
        <f t="shared" si="4"/>
        <v>192</v>
      </c>
      <c r="B201" s="190" t="s">
        <v>709</v>
      </c>
      <c r="D201" s="520">
        <f>SUM(D158:D198)</f>
        <v>-7879180.3661751598</v>
      </c>
      <c r="E201" s="520">
        <f t="shared" si="5" ref="E201:G201">=SUM(E158:E198)</f>
        <v>0</v>
      </c>
      <c r="F201" s="520">
        <f t="shared" si="5"/>
        <v>0</v>
      </c>
      <c r="G201" s="520">
        <f t="shared" si="5"/>
        <v>0</v>
      </c>
    </row>
    <row r="202" spans="1:8" ht="13">
      <c r="A202" s="915">
        <f t="shared" si="4"/>
        <v>193</v>
      </c>
      <c r="B202" s="184" t="s">
        <v>228</v>
      </c>
      <c r="D202" s="521"/>
      <c r="E202" s="521"/>
      <c r="F202" s="521"/>
      <c r="G202" s="521"/>
      <c r="H202" s="203"/>
    </row>
    <row r="203" spans="1:8" ht="13">
      <c r="A203" s="915">
        <f t="shared" si="4"/>
        <v>194</v>
      </c>
      <c r="B203" s="184" t="s">
        <v>229</v>
      </c>
      <c r="D203" s="521"/>
      <c r="E203" s="521"/>
      <c r="F203" s="521"/>
      <c r="G203" s="521"/>
      <c r="H203" s="203"/>
    </row>
    <row r="204" spans="1:7" ht="13">
      <c r="A204" s="915">
        <f t="shared" si="4"/>
        <v>195</v>
      </c>
      <c r="B204" s="184" t="s">
        <v>173</v>
      </c>
      <c r="D204" s="520">
        <f>+D201-D202-D203</f>
        <v>-7879180.3661751598</v>
      </c>
      <c r="E204" s="520">
        <f>+E201-E202-E203</f>
        <v>0</v>
      </c>
      <c r="F204" s="520">
        <f>+F201-F202-F203</f>
        <v>0</v>
      </c>
      <c r="G204" s="520">
        <f>+G201-G202-G203</f>
        <v>0</v>
      </c>
    </row>
    <row r="205" spans="1:7" ht="13">
      <c r="A205" s="915">
        <f t="shared" si="4"/>
        <v>196</v>
      </c>
      <c r="B205" s="184"/>
      <c r="D205" s="519"/>
      <c r="E205" s="519"/>
      <c r="F205" s="519"/>
      <c r="G205" s="519"/>
    </row>
    <row r="206" spans="1:16" ht="13">
      <c r="A206" s="915">
        <f t="shared" si="4"/>
        <v>197</v>
      </c>
      <c r="B206" s="184" t="s">
        <v>247</v>
      </c>
      <c r="D206" s="2"/>
      <c r="E206" s="2"/>
      <c r="F206" s="179"/>
      <c r="G206" s="179"/>
      <c r="P206" s="868"/>
    </row>
    <row r="207" spans="1:7" ht="25.5" customHeight="1">
      <c r="A207" s="915">
        <f t="shared" si="4"/>
        <v>198</v>
      </c>
      <c r="B207" s="964" t="s">
        <v>258</v>
      </c>
      <c r="C207" s="965"/>
      <c r="D207" s="965"/>
      <c r="E207" s="965"/>
      <c r="F207" s="965"/>
      <c r="G207" s="965"/>
    </row>
    <row r="208" spans="1:7" ht="13">
      <c r="A208" s="915">
        <f t="shared" si="4"/>
        <v>199</v>
      </c>
      <c r="B208" s="185" t="s">
        <v>253</v>
      </c>
      <c r="D208" s="2"/>
      <c r="E208" s="2"/>
      <c r="F208" s="179"/>
      <c r="G208" s="179"/>
    </row>
    <row r="209" spans="1:16" ht="13">
      <c r="A209" s="915">
        <f t="shared" si="4"/>
        <v>200</v>
      </c>
      <c r="B209" s="185" t="s">
        <v>254</v>
      </c>
      <c r="D209" s="2"/>
      <c r="E209" s="2"/>
      <c r="F209" s="179"/>
      <c r="G209" s="179"/>
      <c r="P209" s="737"/>
    </row>
    <row r="210" spans="1:4" ht="13">
      <c r="A210" s="915">
        <f t="shared" si="4"/>
        <v>201</v>
      </c>
      <c r="B210" s="185" t="s">
        <v>255</v>
      </c>
      <c r="D210" s="924" t="s">
        <v>814</v>
      </c>
    </row>
    <row r="211" spans="1:8" ht="15.65" customHeight="1">
      <c r="A211" s="915">
        <f t="shared" si="4"/>
        <v>202</v>
      </c>
      <c r="B211" s="962" t="str">
        <f>+B148</f>
        <v>5. Since deferred income taxes arise when items are included in taxable income in different periods than they are included in rates - therefore, if the item giving rise to the ADIT is not included in the formula, the associated ADIT amount shall be excluded</v>
      </c>
      <c r="C211" s="963"/>
      <c r="D211" s="963"/>
      <c r="E211" s="963"/>
      <c r="F211" s="963"/>
      <c r="G211" s="963"/>
      <c r="H211" s="203"/>
    </row>
    <row r="212" spans="1:16" ht="21" customHeight="1">
      <c r="A212" s="915">
        <f t="shared" si="4"/>
        <v>203</v>
      </c>
      <c r="B212" s="963"/>
      <c r="C212" s="963"/>
      <c r="D212" s="963"/>
      <c r="E212" s="963"/>
      <c r="F212" s="963"/>
      <c r="G212" s="963"/>
      <c r="P212" s="868"/>
    </row>
    <row r="213" spans="1:2" ht="13">
      <c r="A213" s="915">
        <f t="shared" si="4"/>
        <v>204</v>
      </c>
      <c r="B213" s="934" t="s">
        <v>813</v>
      </c>
    </row>
    <row r="214" spans="1:1" ht="13">
      <c r="A214" s="171"/>
    </row>
    <row r="215" spans="1:16" ht="13">
      <c r="A215" s="171"/>
      <c r="P215" s="868"/>
    </row>
    <row r="216" spans="1:1" ht="13">
      <c r="A216" s="171"/>
    </row>
    <row r="217" spans="1:1" ht="13">
      <c r="A217" s="171"/>
    </row>
    <row r="218" spans="1:16" ht="15.5">
      <c r="A218" s="171"/>
      <c r="P218" s="53"/>
    </row>
    <row r="219" spans="1:1" ht="13">
      <c r="A219" s="171"/>
    </row>
    <row r="220" spans="1:1" ht="13">
      <c r="A220" s="171"/>
    </row>
    <row r="221" spans="1:1" ht="13">
      <c r="A221" s="171"/>
    </row>
    <row r="222" spans="1:1" ht="13">
      <c r="A222" s="171"/>
    </row>
    <row r="223" spans="1:1" ht="13">
      <c r="A223" s="171"/>
    </row>
    <row r="224" spans="1:1" ht="13">
      <c r="A224" s="171"/>
    </row>
    <row r="225" spans="1:1" ht="13">
      <c r="A225" s="171"/>
    </row>
    <row r="226" spans="1:1" ht="13">
      <c r="A226" s="171"/>
    </row>
    <row r="227" spans="1:1" ht="13">
      <c r="A227" s="171"/>
    </row>
    <row r="228" spans="1:1" ht="13">
      <c r="A228" s="171"/>
    </row>
    <row r="229" spans="1:1" ht="13">
      <c r="A229" s="171"/>
    </row>
    <row r="230" spans="1:1" ht="13">
      <c r="A230" s="171"/>
    </row>
    <row r="231" spans="1:1" ht="13">
      <c r="A231" s="171"/>
    </row>
    <row r="232" spans="1:1" ht="13">
      <c r="A232" s="171"/>
    </row>
    <row r="233" spans="1:1" ht="13">
      <c r="A233" s="171"/>
    </row>
    <row r="234" spans="1:1" ht="13">
      <c r="A234" s="171"/>
    </row>
    <row r="235" spans="1:1" ht="13">
      <c r="A235" s="171"/>
    </row>
    <row r="236" spans="1:1" ht="13">
      <c r="A236" s="171"/>
    </row>
    <row r="237" spans="1:1" ht="13">
      <c r="A237" s="171"/>
    </row>
    <row r="238" spans="1:1" ht="13">
      <c r="A238" s="171"/>
    </row>
    <row r="239" spans="1:1" ht="13">
      <c r="A239" s="171"/>
    </row>
    <row r="240" spans="1:1" ht="13">
      <c r="A240" s="171"/>
    </row>
    <row r="241" spans="1:1" ht="13">
      <c r="A241" s="171"/>
    </row>
    <row r="242" spans="1:1" ht="13">
      <c r="A242" s="171"/>
    </row>
    <row r="243" spans="1:1" ht="13">
      <c r="A243" s="171"/>
    </row>
    <row r="244" spans="1:1" ht="13">
      <c r="A244" s="171"/>
    </row>
    <row r="245" spans="1:1" ht="13">
      <c r="A245" s="171"/>
    </row>
    <row r="246" spans="1:1" ht="13">
      <c r="A246" s="171"/>
    </row>
    <row r="247" spans="1:1" ht="13">
      <c r="A247" s="171"/>
    </row>
    <row r="248" spans="1:1" ht="13">
      <c r="A248" s="171"/>
    </row>
    <row r="249" spans="1:1" ht="13">
      <c r="A249" s="171"/>
    </row>
    <row r="250" spans="1:1" ht="13">
      <c r="A250" s="171"/>
    </row>
    <row r="251" spans="1:1" ht="13">
      <c r="A251" s="171"/>
    </row>
    <row r="252" spans="1:1" ht="13">
      <c r="A252" s="171"/>
    </row>
    <row r="253" spans="1:1" ht="13">
      <c r="A253" s="171"/>
    </row>
    <row r="254" spans="1:1" ht="13">
      <c r="A254" s="171"/>
    </row>
    <row r="255" spans="1:1" ht="13">
      <c r="A255" s="171"/>
    </row>
    <row r="256" spans="1:1" ht="13">
      <c r="A256" s="171"/>
    </row>
    <row r="257" spans="1:1" ht="13">
      <c r="A257" s="171"/>
    </row>
    <row r="258" spans="1:1" ht="13">
      <c r="A258" s="171"/>
    </row>
    <row r="259" spans="1:1" ht="13">
      <c r="A259" s="171"/>
    </row>
    <row r="260" spans="1:1" ht="13">
      <c r="A260" s="171"/>
    </row>
    <row r="261" spans="1:1" ht="13">
      <c r="A261" s="171"/>
    </row>
    <row r="262" spans="1:1" ht="13">
      <c r="A262" s="171"/>
    </row>
    <row r="263" spans="1:1" ht="13">
      <c r="A263" s="171"/>
    </row>
    <row r="264" spans="1:1" ht="13">
      <c r="A264" s="171"/>
    </row>
    <row r="265" spans="1:1" ht="13">
      <c r="A265" s="171"/>
    </row>
    <row r="266" spans="1:1" ht="13">
      <c r="A266" s="171"/>
    </row>
    <row r="267" spans="1:1" ht="13">
      <c r="A267" s="171"/>
    </row>
    <row r="268" spans="1:1" ht="13">
      <c r="A268" s="171"/>
    </row>
    <row r="269" spans="1:1" ht="13">
      <c r="A269" s="171"/>
    </row>
    <row r="270" spans="1:1" ht="13">
      <c r="A270" s="171"/>
    </row>
    <row r="271" spans="1:1" ht="13">
      <c r="A271" s="171"/>
    </row>
    <row r="272" spans="1:1" ht="13">
      <c r="A272" s="171"/>
    </row>
    <row r="273" spans="1:1" ht="13">
      <c r="A273" s="171"/>
    </row>
    <row r="274" spans="1:1" ht="13">
      <c r="A274" s="171"/>
    </row>
    <row r="275" spans="1:1" ht="13">
      <c r="A275" s="171"/>
    </row>
    <row r="276" spans="1:1" ht="13">
      <c r="A276" s="171"/>
    </row>
    <row r="277" spans="1:1" ht="13">
      <c r="A277" s="171"/>
    </row>
    <row r="278" spans="1:1" ht="13">
      <c r="A278" s="171"/>
    </row>
    <row r="279" spans="1:1" ht="13">
      <c r="A279" s="171"/>
    </row>
    <row r="280" spans="1:1" ht="13">
      <c r="A280" s="171"/>
    </row>
    <row r="281" spans="1:1" ht="13">
      <c r="A281" s="171"/>
    </row>
    <row r="282" spans="1:1" ht="13">
      <c r="A282" s="171"/>
    </row>
    <row r="283" spans="1:1" ht="13">
      <c r="A283" s="171"/>
    </row>
    <row r="284" spans="1:1" ht="13">
      <c r="A284" s="171"/>
    </row>
    <row r="285" spans="1:1" ht="13">
      <c r="A285" s="171"/>
    </row>
    <row r="286" spans="1:1" ht="13">
      <c r="A286" s="171"/>
    </row>
    <row r="287" spans="1:1" ht="13">
      <c r="A287" s="171"/>
    </row>
    <row r="288" spans="1:1" ht="13">
      <c r="A288" s="171"/>
    </row>
    <row r="289" spans="1:1" ht="13">
      <c r="A289" s="171"/>
    </row>
    <row r="290" spans="1:1" ht="13">
      <c r="A290" s="171"/>
    </row>
    <row r="291" spans="1:1" ht="13">
      <c r="A291" s="171"/>
    </row>
    <row r="292" spans="1:1" ht="13">
      <c r="A292" s="171"/>
    </row>
    <row r="293" spans="1:1" ht="13">
      <c r="A293" s="171"/>
    </row>
    <row r="294" spans="1:1" ht="13">
      <c r="A294" s="171"/>
    </row>
    <row r="295" spans="1:1" ht="13">
      <c r="A295" s="171"/>
    </row>
    <row r="296" spans="1:1" ht="13">
      <c r="A296" s="171"/>
    </row>
    <row r="297" spans="1:1" ht="13">
      <c r="A297" s="171"/>
    </row>
    <row r="298" spans="1:1" ht="13">
      <c r="A298" s="171"/>
    </row>
    <row r="299" spans="1:1" ht="13">
      <c r="A299" s="171"/>
    </row>
    <row r="300" spans="1:1" ht="13">
      <c r="A300" s="171"/>
    </row>
    <row r="301" spans="1:1" ht="13">
      <c r="A301" s="171"/>
    </row>
    <row r="302" spans="1:1" ht="13">
      <c r="A302" s="171"/>
    </row>
    <row r="303" spans="1:1" ht="13">
      <c r="A303" s="171"/>
    </row>
    <row r="304" spans="1:1" ht="13">
      <c r="A304" s="171"/>
    </row>
    <row r="305" spans="1:1" ht="13">
      <c r="A305" s="171"/>
    </row>
    <row r="306" spans="1:1" ht="13">
      <c r="A306" s="171"/>
    </row>
    <row r="307" spans="1:1" ht="13">
      <c r="A307" s="171"/>
    </row>
    <row r="308" spans="1:1" ht="13">
      <c r="A308" s="171"/>
    </row>
    <row r="309" spans="1:1" ht="13">
      <c r="A309" s="171"/>
    </row>
    <row r="310" spans="1:1" ht="13">
      <c r="A310" s="171"/>
    </row>
    <row r="311" spans="1:1" ht="13">
      <c r="A311" s="171"/>
    </row>
    <row r="312" spans="1:1" ht="13">
      <c r="A312" s="171"/>
    </row>
    <row r="313" spans="1:1" ht="13">
      <c r="A313" s="171"/>
    </row>
    <row r="314" spans="1:1" ht="13">
      <c r="A314" s="171"/>
    </row>
    <row r="315" spans="1:1" ht="13">
      <c r="A315" s="171"/>
    </row>
    <row r="316" spans="1:1" ht="13">
      <c r="A316" s="171"/>
    </row>
    <row r="317" spans="1:1" ht="13">
      <c r="A317" s="171"/>
    </row>
    <row r="318" spans="1:1" ht="13">
      <c r="A318" s="171"/>
    </row>
    <row r="319" spans="1:1" ht="13">
      <c r="A319" s="171"/>
    </row>
    <row r="320" spans="1:1" ht="13">
      <c r="A320" s="171"/>
    </row>
    <row r="321" spans="1:1" ht="13">
      <c r="A321" s="171"/>
    </row>
    <row r="322" spans="1:1" ht="13">
      <c r="A322" s="171"/>
    </row>
    <row r="323" spans="1:1" ht="13">
      <c r="A323" s="171"/>
    </row>
    <row r="324" spans="1:1" ht="13">
      <c r="A324" s="171"/>
    </row>
    <row r="325" spans="1:1" ht="13">
      <c r="A325" s="171"/>
    </row>
    <row r="326" spans="1:1" ht="13">
      <c r="A326" s="171"/>
    </row>
    <row r="327" spans="1:1" ht="13">
      <c r="A327" s="171"/>
    </row>
    <row r="328" spans="1:1" ht="13">
      <c r="A328" s="171"/>
    </row>
    <row r="329" spans="1:1" ht="13">
      <c r="A329" s="171"/>
    </row>
    <row r="330" spans="1:1" ht="13">
      <c r="A330" s="171"/>
    </row>
    <row r="331" spans="1:1" ht="13">
      <c r="A331" s="171"/>
    </row>
    <row r="332" spans="1:1" ht="13">
      <c r="A332" s="171"/>
    </row>
    <row r="333" spans="1:1" ht="13">
      <c r="A333" s="171"/>
    </row>
    <row r="334" spans="1:1" ht="13">
      <c r="A334" s="171"/>
    </row>
    <row r="335" spans="1:1" ht="13">
      <c r="A335" s="171"/>
    </row>
    <row r="336" spans="1:1" ht="13">
      <c r="A336" s="171"/>
    </row>
    <row r="337" spans="1:1" ht="13">
      <c r="A337" s="171"/>
    </row>
    <row r="338" spans="1:1" ht="13">
      <c r="A338" s="171"/>
    </row>
    <row r="339" spans="1:1" ht="13">
      <c r="A339" s="171"/>
    </row>
    <row r="340" spans="1:1" ht="13">
      <c r="A340" s="171"/>
    </row>
    <row r="341" spans="1:1" ht="13">
      <c r="A341" s="171"/>
    </row>
    <row r="342" spans="1:1" ht="13">
      <c r="A342" s="171"/>
    </row>
    <row r="343" spans="1:1" ht="13">
      <c r="A343" s="171"/>
    </row>
    <row r="344" spans="1:1" ht="13">
      <c r="A344" s="171"/>
    </row>
    <row r="345" spans="1:1" ht="13">
      <c r="A345" s="171"/>
    </row>
    <row r="346" spans="1:1" ht="13">
      <c r="A346" s="171"/>
    </row>
    <row r="347" spans="1:1" ht="13">
      <c r="A347" s="171"/>
    </row>
    <row r="348" spans="1:1" ht="13">
      <c r="A348" s="171"/>
    </row>
    <row r="349" spans="1:1" ht="13">
      <c r="A349" s="171"/>
    </row>
    <row r="350" spans="1:1" ht="13">
      <c r="A350" s="171"/>
    </row>
    <row r="351" spans="1:1" ht="13">
      <c r="A351" s="171"/>
    </row>
    <row r="352" spans="1:1" ht="13">
      <c r="A352" s="171"/>
    </row>
    <row r="353" spans="1:1" ht="13">
      <c r="A353" s="171"/>
    </row>
    <row r="354" spans="1:1" ht="13">
      <c r="A354" s="171"/>
    </row>
    <row r="355" spans="1:1" ht="13">
      <c r="A355" s="171"/>
    </row>
    <row r="356" spans="1:1" ht="13">
      <c r="A356" s="171"/>
    </row>
    <row r="357" spans="1:1" ht="13">
      <c r="A357" s="171"/>
    </row>
    <row r="358" spans="1:1" ht="13">
      <c r="A358" s="171"/>
    </row>
    <row r="359" spans="1:1" ht="13">
      <c r="A359" s="171"/>
    </row>
    <row r="360" spans="1:1" ht="13">
      <c r="A360" s="171"/>
    </row>
    <row r="361" spans="1:1" ht="13">
      <c r="A361" s="171"/>
    </row>
    <row r="362" spans="1:1" ht="13">
      <c r="A362" s="171"/>
    </row>
    <row r="363" spans="1:1" ht="13">
      <c r="A363" s="171"/>
    </row>
    <row r="364" spans="1:1" ht="13">
      <c r="A364" s="171"/>
    </row>
    <row r="365" spans="1:1" ht="13">
      <c r="A365" s="171"/>
    </row>
    <row r="366" spans="1:1" ht="13">
      <c r="A366" s="171"/>
    </row>
    <row r="367" spans="1:1" ht="13">
      <c r="A367" s="171"/>
    </row>
    <row r="368" spans="1:1" ht="13">
      <c r="A368" s="171"/>
    </row>
    <row r="369" spans="1:1" ht="13">
      <c r="A369" s="171"/>
    </row>
    <row r="370" spans="1:1" ht="13">
      <c r="A370" s="171"/>
    </row>
    <row r="371" spans="1:1" ht="13">
      <c r="A371" s="171"/>
    </row>
    <row r="372" spans="1:1" ht="13">
      <c r="A372" s="171"/>
    </row>
    <row r="373" spans="1:1" ht="13">
      <c r="A373" s="171"/>
    </row>
    <row r="374" spans="1:1" ht="13">
      <c r="A374" s="171"/>
    </row>
    <row r="375" spans="1:1" ht="13">
      <c r="A375" s="171"/>
    </row>
    <row r="376" spans="1:1" ht="13">
      <c r="A376" s="171"/>
    </row>
    <row r="377" spans="1:1" ht="13">
      <c r="A377" s="171"/>
    </row>
    <row r="378" spans="1:1" ht="13">
      <c r="A378" s="171"/>
    </row>
    <row r="379" spans="1:1" ht="13">
      <c r="A379" s="171"/>
    </row>
    <row r="380" spans="1:1" ht="13">
      <c r="A380" s="171"/>
    </row>
    <row r="381" spans="1:1" ht="13">
      <c r="A381" s="171"/>
    </row>
    <row r="382" spans="1:1" ht="13">
      <c r="A382" s="171"/>
    </row>
    <row r="383" spans="1:1" ht="13">
      <c r="A383" s="171"/>
    </row>
    <row r="384" spans="1:1" ht="13">
      <c r="A384" s="171"/>
    </row>
    <row r="385" spans="1:1" ht="13">
      <c r="A385" s="171"/>
    </row>
    <row r="386" spans="1:1" ht="13">
      <c r="A386" s="171"/>
    </row>
    <row r="387" spans="1:1" ht="13">
      <c r="A387" s="171"/>
    </row>
    <row r="388" spans="1:1" ht="13">
      <c r="A388" s="171"/>
    </row>
    <row r="389" spans="1:1" ht="13">
      <c r="A389" s="171"/>
    </row>
    <row r="390" spans="1:1" ht="13">
      <c r="A390" s="171"/>
    </row>
    <row r="391" spans="1:1" ht="13">
      <c r="A391" s="171"/>
    </row>
    <row r="392" spans="1:1" ht="13">
      <c r="A392" s="171"/>
    </row>
    <row r="393" spans="1:1" ht="13">
      <c r="A393" s="171"/>
    </row>
    <row r="394" spans="1:1" ht="13">
      <c r="A394" s="171"/>
    </row>
    <row r="395" spans="1:1" ht="13">
      <c r="A395" s="171"/>
    </row>
    <row r="396" spans="1:1" ht="13">
      <c r="A396" s="171"/>
    </row>
    <row r="397" spans="1:1" ht="13">
      <c r="A397" s="171"/>
    </row>
    <row r="398" spans="1:1" ht="13">
      <c r="A398" s="171"/>
    </row>
    <row r="399" spans="1:1" ht="13">
      <c r="A399" s="171"/>
    </row>
    <row r="400" spans="1:1" ht="13">
      <c r="A400" s="171"/>
    </row>
    <row r="401" spans="1:1" ht="13">
      <c r="A401" s="171"/>
    </row>
    <row r="402" spans="1:1" ht="13">
      <c r="A402" s="171"/>
    </row>
    <row r="403" spans="1:1" ht="13">
      <c r="A403" s="171"/>
    </row>
    <row r="404" spans="1:1" ht="13">
      <c r="A404" s="171"/>
    </row>
    <row r="405" spans="1:1" ht="13">
      <c r="A405" s="171"/>
    </row>
    <row r="406" spans="1:1" ht="13">
      <c r="A406" s="171"/>
    </row>
    <row r="407" spans="1:1" ht="13">
      <c r="A407" s="171"/>
    </row>
    <row r="408" spans="1:1" ht="13">
      <c r="A408" s="171"/>
    </row>
    <row r="409" spans="1:1" ht="13">
      <c r="A409" s="171"/>
    </row>
    <row r="410" spans="1:1" ht="13">
      <c r="A410" s="171"/>
    </row>
    <row r="411" spans="1:1" ht="13">
      <c r="A411" s="171"/>
    </row>
    <row r="412" spans="1:1" ht="13">
      <c r="A412" s="171"/>
    </row>
    <row r="413" spans="1:1" ht="13">
      <c r="A413" s="171"/>
    </row>
    <row r="414" spans="1:1" ht="13">
      <c r="A414" s="171"/>
    </row>
    <row r="415" spans="1:1" ht="13">
      <c r="A415" s="171"/>
    </row>
    <row r="416" spans="1:1" ht="13">
      <c r="A416" s="171"/>
    </row>
    <row r="417" spans="1:1" ht="13">
      <c r="A417" s="171"/>
    </row>
    <row r="418" spans="1:1" ht="13">
      <c r="A418" s="171"/>
    </row>
    <row r="419" spans="1:1" ht="13">
      <c r="A419" s="171"/>
    </row>
    <row r="420" spans="1:1" ht="13">
      <c r="A420" s="171"/>
    </row>
    <row r="421" spans="1:1" ht="13">
      <c r="A421" s="171"/>
    </row>
    <row r="422" spans="1:1" ht="13">
      <c r="A422" s="171"/>
    </row>
    <row r="423" spans="1:1" ht="13">
      <c r="A423" s="171"/>
    </row>
    <row r="424" spans="1:1" ht="13">
      <c r="A424" s="171"/>
    </row>
    <row r="425" spans="1:1" ht="13">
      <c r="A425" s="171"/>
    </row>
    <row r="426" spans="1:1" ht="13">
      <c r="A426" s="171"/>
    </row>
    <row r="427" spans="1:1" ht="13">
      <c r="A427" s="171"/>
    </row>
    <row r="428" spans="1:1" ht="13">
      <c r="A428" s="171"/>
    </row>
    <row r="429" spans="1:1" ht="13">
      <c r="A429" s="171"/>
    </row>
    <row r="430" spans="1:1" ht="13">
      <c r="A430" s="171"/>
    </row>
    <row r="431" spans="1:1" ht="13">
      <c r="A431" s="171"/>
    </row>
    <row r="432" spans="1:1" ht="13">
      <c r="A432" s="171"/>
    </row>
    <row r="433" spans="1:1" ht="13">
      <c r="A433" s="171"/>
    </row>
    <row r="434" spans="1:1" ht="13">
      <c r="A434" s="171"/>
    </row>
    <row r="435" spans="1:1" ht="13">
      <c r="A435" s="171"/>
    </row>
    <row r="436" spans="1:1" ht="13">
      <c r="A436" s="171"/>
    </row>
    <row r="437" spans="1:1" ht="13">
      <c r="A437" s="171"/>
    </row>
    <row r="438" spans="1:1" ht="13">
      <c r="A438" s="171"/>
    </row>
    <row r="439" spans="1:1" ht="13">
      <c r="A439" s="171"/>
    </row>
    <row r="440" spans="1:1" ht="13">
      <c r="A440" s="171"/>
    </row>
    <row r="441" spans="1:1" ht="13">
      <c r="A441" s="171"/>
    </row>
    <row r="442" spans="1:1" ht="13">
      <c r="A442" s="171"/>
    </row>
    <row r="443" spans="1:1" ht="13">
      <c r="A443" s="171"/>
    </row>
    <row r="444" spans="1:1" ht="13">
      <c r="A444" s="171"/>
    </row>
    <row r="445" spans="1:1" ht="13">
      <c r="A445" s="171"/>
    </row>
    <row r="446" spans="1:1" ht="13">
      <c r="A446" s="171"/>
    </row>
    <row r="447" spans="1:1" ht="13">
      <c r="A447" s="171"/>
    </row>
    <row r="448" spans="1:1" ht="13">
      <c r="A448" s="171"/>
    </row>
    <row r="449" spans="1:1" ht="13">
      <c r="A449" s="171"/>
    </row>
    <row r="450" spans="1:1" ht="13">
      <c r="A450" s="171"/>
    </row>
    <row r="451" spans="1:1" ht="13">
      <c r="A451" s="171"/>
    </row>
    <row r="452" spans="1:1" ht="13">
      <c r="A452" s="171"/>
    </row>
    <row r="453" spans="1:1" ht="13">
      <c r="A453" s="171"/>
    </row>
    <row r="454" spans="1:1" ht="13">
      <c r="A454" s="171"/>
    </row>
    <row r="455" spans="1:1" ht="13">
      <c r="A455" s="171"/>
    </row>
    <row r="456" spans="1:1" ht="13">
      <c r="A456" s="171"/>
    </row>
    <row r="457" spans="1:1" ht="13">
      <c r="A457" s="171"/>
    </row>
    <row r="458" spans="1:1" ht="13">
      <c r="A458" s="171"/>
    </row>
    <row r="459" spans="1:1" ht="13">
      <c r="A459" s="171"/>
    </row>
    <row r="460" spans="1:1" ht="13">
      <c r="A460" s="171"/>
    </row>
    <row r="461" spans="1:1" ht="13">
      <c r="A461" s="171"/>
    </row>
    <row r="462" spans="1:1" ht="13">
      <c r="A462" s="171"/>
    </row>
    <row r="463" spans="1:1" ht="13">
      <c r="A463" s="171"/>
    </row>
    <row r="464" spans="1:1" ht="13">
      <c r="A464" s="171"/>
    </row>
    <row r="465" spans="1:1" ht="13">
      <c r="A465" s="171"/>
    </row>
    <row r="466" spans="1:1" ht="13">
      <c r="A466" s="171"/>
    </row>
    <row r="467" spans="1:1" ht="13">
      <c r="A467" s="171"/>
    </row>
    <row r="468" spans="1:1" ht="13">
      <c r="A468" s="171"/>
    </row>
    <row r="469" spans="1:1" ht="13">
      <c r="A469" s="171"/>
    </row>
    <row r="470" spans="1:1" ht="13">
      <c r="A470" s="171"/>
    </row>
    <row r="471" spans="1:1" ht="13">
      <c r="A471" s="171"/>
    </row>
    <row r="472" spans="1:1" ht="13">
      <c r="A472" s="171"/>
    </row>
    <row r="473" spans="1:1" ht="13">
      <c r="A473" s="171"/>
    </row>
    <row r="474" spans="1:1" ht="13">
      <c r="A474" s="171"/>
    </row>
    <row r="475" spans="1:1" ht="13">
      <c r="A475" s="171"/>
    </row>
    <row r="476" spans="1:1" ht="13">
      <c r="A476" s="171"/>
    </row>
    <row r="477" spans="1:1" ht="13">
      <c r="A477" s="171"/>
    </row>
    <row r="478" spans="1:1" ht="13">
      <c r="A478" s="171"/>
    </row>
    <row r="479" spans="1:1" ht="13">
      <c r="A479" s="171"/>
    </row>
    <row r="480" spans="1:1" ht="13">
      <c r="A480" s="171"/>
    </row>
    <row r="481" spans="1:1" ht="13">
      <c r="A481" s="171"/>
    </row>
    <row r="482" spans="1:1" ht="13">
      <c r="A482" s="171"/>
    </row>
    <row r="483" spans="1:1" ht="13">
      <c r="A483" s="171"/>
    </row>
    <row r="484" spans="1:1" ht="13">
      <c r="A484" s="171"/>
    </row>
    <row r="485" spans="1:1" ht="13">
      <c r="A485" s="171"/>
    </row>
    <row r="486" spans="1:1" ht="13">
      <c r="A486" s="171"/>
    </row>
    <row r="487" spans="1:1" ht="13">
      <c r="A487" s="171"/>
    </row>
    <row r="488" spans="1:1" ht="13">
      <c r="A488" s="171"/>
    </row>
    <row r="489" spans="1:1" ht="13">
      <c r="A489" s="171"/>
    </row>
    <row r="490" spans="1:1" ht="13">
      <c r="A490" s="171"/>
    </row>
    <row r="491" spans="1:1" ht="13">
      <c r="A491" s="171"/>
    </row>
    <row r="492" spans="1:1" ht="13">
      <c r="A492" s="171"/>
    </row>
    <row r="493" spans="1:1" ht="13">
      <c r="A493" s="171"/>
    </row>
    <row r="494" spans="1:1" ht="13">
      <c r="A494" s="171"/>
    </row>
    <row r="495" spans="1:1" ht="13">
      <c r="A495" s="171"/>
    </row>
    <row r="496" spans="1:1" ht="13">
      <c r="A496" s="171"/>
    </row>
    <row r="497" spans="1:1" ht="13">
      <c r="A497" s="171"/>
    </row>
    <row r="498" spans="1:1" ht="13">
      <c r="A498" s="171"/>
    </row>
    <row r="499" spans="1:1" ht="13">
      <c r="A499" s="171"/>
    </row>
    <row r="500" spans="1:1" ht="13">
      <c r="A500" s="171"/>
    </row>
    <row r="501" spans="1:1" ht="13">
      <c r="A501" s="171"/>
    </row>
    <row r="502" spans="1:1" ht="13">
      <c r="A502" s="171"/>
    </row>
    <row r="503" spans="1:1" ht="13">
      <c r="A503" s="171"/>
    </row>
    <row r="504" spans="1:1" ht="13">
      <c r="A504" s="171"/>
    </row>
    <row r="505" spans="1:1" ht="13">
      <c r="A505" s="171"/>
    </row>
    <row r="506" spans="1:1" ht="13">
      <c r="A506" s="171"/>
    </row>
    <row r="507" spans="1:1" ht="13">
      <c r="A507" s="171"/>
    </row>
    <row r="508" spans="1:1" ht="13">
      <c r="A508" s="171"/>
    </row>
    <row r="509" spans="1:1" ht="13">
      <c r="A509" s="171"/>
    </row>
    <row r="510" spans="1:1" ht="13">
      <c r="A510" s="171"/>
    </row>
    <row r="511" spans="1:1" ht="13">
      <c r="A511" s="171"/>
    </row>
    <row r="512" spans="1:1" ht="13">
      <c r="A512" s="171"/>
    </row>
    <row r="513" spans="1:1" ht="13">
      <c r="A513" s="171"/>
    </row>
    <row r="514" spans="1:1" ht="13">
      <c r="A514" s="171"/>
    </row>
    <row r="515" spans="1:1" ht="13">
      <c r="A515" s="171"/>
    </row>
    <row r="516" spans="1:1" ht="13">
      <c r="A516" s="171"/>
    </row>
    <row r="517" spans="1:1" ht="13">
      <c r="A517" s="171"/>
    </row>
    <row r="518" spans="1:1" ht="13">
      <c r="A518" s="171"/>
    </row>
    <row r="519" spans="1:1" ht="13">
      <c r="A519" s="171"/>
    </row>
    <row r="520" spans="1:1" ht="13">
      <c r="A520" s="171"/>
    </row>
    <row r="521" spans="1:1" ht="13">
      <c r="A521" s="171"/>
    </row>
    <row r="522" spans="1:1" ht="13">
      <c r="A522" s="171"/>
    </row>
    <row r="523" spans="1:1" ht="13">
      <c r="A523" s="171"/>
    </row>
    <row r="524" spans="1:1" ht="13">
      <c r="A524" s="171"/>
    </row>
    <row r="525" spans="1:1" ht="13">
      <c r="A525" s="171"/>
    </row>
    <row r="526" spans="1:1" ht="13">
      <c r="A526" s="171"/>
    </row>
    <row r="527" spans="1:1" ht="13">
      <c r="A527" s="171"/>
    </row>
    <row r="528" spans="1:1" ht="13">
      <c r="A528" s="171"/>
    </row>
    <row r="529" spans="1:1" ht="13">
      <c r="A529" s="171"/>
    </row>
    <row r="530" spans="1:1" ht="13">
      <c r="A530" s="171"/>
    </row>
    <row r="531" spans="1:1" ht="13">
      <c r="A531" s="171"/>
    </row>
    <row r="532" spans="1:1" ht="13">
      <c r="A532" s="171"/>
    </row>
    <row r="533" spans="1:1" ht="13">
      <c r="A533" s="171"/>
    </row>
    <row r="534" spans="1:1" ht="13">
      <c r="A534" s="171"/>
    </row>
    <row r="535" spans="1:1" ht="13">
      <c r="A535" s="171"/>
    </row>
    <row r="536" spans="1:1" ht="13">
      <c r="A536" s="171"/>
    </row>
    <row r="537" spans="1:1" ht="13">
      <c r="A537" s="171"/>
    </row>
    <row r="538" spans="1:1" ht="13">
      <c r="A538" s="171"/>
    </row>
    <row r="539" spans="1:1" ht="13">
      <c r="A539" s="171"/>
    </row>
    <row r="540" spans="1:1" ht="13">
      <c r="A540" s="171"/>
    </row>
    <row r="541" spans="1:1" ht="13">
      <c r="A541" s="171"/>
    </row>
    <row r="542" spans="1:1" ht="13">
      <c r="A542" s="171"/>
    </row>
    <row r="543" spans="1:1" ht="13">
      <c r="A543" s="171"/>
    </row>
    <row r="544" spans="1:1" ht="13">
      <c r="A544" s="171"/>
    </row>
    <row r="545" spans="1:1" ht="13">
      <c r="A545" s="171"/>
    </row>
    <row r="546" spans="1:1" ht="13">
      <c r="A546" s="171"/>
    </row>
    <row r="547" spans="1:1" ht="13">
      <c r="A547" s="171"/>
    </row>
    <row r="548" spans="1:1" ht="13">
      <c r="A548" s="171"/>
    </row>
    <row r="549" spans="1:1" ht="13">
      <c r="A549" s="171"/>
    </row>
    <row r="550" spans="1:1" ht="13">
      <c r="A550" s="171"/>
    </row>
    <row r="551" spans="1:1" ht="13">
      <c r="A551" s="171"/>
    </row>
    <row r="552" spans="1:1" ht="13">
      <c r="A552" s="171"/>
    </row>
    <row r="553" spans="1:1" ht="13">
      <c r="A553" s="171"/>
    </row>
    <row r="554" spans="1:1" ht="13">
      <c r="A554" s="171"/>
    </row>
    <row r="555" spans="1:1" ht="13">
      <c r="A555" s="171"/>
    </row>
    <row r="556" spans="1:1" ht="13">
      <c r="A556" s="171"/>
    </row>
    <row r="557" spans="1:1" ht="13">
      <c r="A557" s="171"/>
    </row>
    <row r="558" spans="1:1" ht="13">
      <c r="A558" s="171"/>
    </row>
    <row r="559" spans="1:1" ht="13">
      <c r="A559" s="171"/>
    </row>
    <row r="560" spans="1:1" ht="13">
      <c r="A560" s="171"/>
    </row>
    <row r="561" spans="1:1" ht="13">
      <c r="A561" s="171"/>
    </row>
    <row r="562" spans="1:1" ht="13">
      <c r="A562" s="171"/>
    </row>
    <row r="563" spans="1:1" ht="13">
      <c r="A563" s="171"/>
    </row>
    <row r="564" spans="1:1" ht="13">
      <c r="A564" s="171"/>
    </row>
    <row r="565" spans="1:1" ht="13">
      <c r="A565" s="171"/>
    </row>
    <row r="566" spans="1:1" ht="13">
      <c r="A566" s="171"/>
    </row>
    <row r="567" spans="1:1" ht="13">
      <c r="A567" s="171"/>
    </row>
    <row r="568" spans="1:1" ht="13">
      <c r="A568" s="171"/>
    </row>
    <row r="569" spans="1:1" ht="13">
      <c r="A569" s="171"/>
    </row>
    <row r="570" spans="1:1" ht="13">
      <c r="A570" s="171"/>
    </row>
    <row r="571" spans="1:1" ht="13">
      <c r="A571" s="171"/>
    </row>
    <row r="572" spans="1:1" ht="13">
      <c r="A572" s="171"/>
    </row>
    <row r="573" spans="1:1" ht="13">
      <c r="A573" s="171"/>
    </row>
    <row r="574" spans="1:1" ht="13">
      <c r="A574" s="171"/>
    </row>
    <row r="575" spans="1:1" ht="13">
      <c r="A575" s="171"/>
    </row>
    <row r="576" spans="1:1" ht="13">
      <c r="A576" s="171"/>
    </row>
    <row r="577" spans="1:1" ht="13">
      <c r="A577" s="171"/>
    </row>
    <row r="578" spans="1:1" ht="13">
      <c r="A578" s="171"/>
    </row>
    <row r="579" spans="1:1" ht="13">
      <c r="A579" s="171"/>
    </row>
    <row r="580" spans="1:1" ht="13">
      <c r="A580" s="171"/>
    </row>
    <row r="581" spans="1:1" ht="13">
      <c r="A581" s="171"/>
    </row>
    <row r="582" spans="1:1" ht="13">
      <c r="A582" s="171"/>
    </row>
    <row r="583" spans="1:1" ht="13">
      <c r="A583" s="171"/>
    </row>
    <row r="584" spans="1:1" ht="13">
      <c r="A584" s="171"/>
    </row>
    <row r="585" spans="1:1" ht="13">
      <c r="A585" s="171"/>
    </row>
    <row r="586" spans="1:1" ht="13">
      <c r="A586" s="171"/>
    </row>
    <row r="587" spans="1:1" ht="13">
      <c r="A587" s="171"/>
    </row>
    <row r="588" spans="1:1" ht="13">
      <c r="A588" s="171"/>
    </row>
    <row r="589" spans="1:1" ht="13">
      <c r="A589" s="171"/>
    </row>
    <row r="590" spans="1:1" ht="13">
      <c r="A590" s="171"/>
    </row>
    <row r="591" spans="1:1" ht="13">
      <c r="A591" s="171"/>
    </row>
    <row r="592" spans="1:1" ht="13">
      <c r="A592" s="171"/>
    </row>
    <row r="593" spans="1:1" ht="13">
      <c r="A593" s="171"/>
    </row>
    <row r="594" spans="1:1" ht="13">
      <c r="A594" s="171"/>
    </row>
    <row r="595" spans="1:1" ht="13">
      <c r="A595" s="171"/>
    </row>
    <row r="596" spans="1:1" ht="13">
      <c r="A596" s="171"/>
    </row>
    <row r="597" spans="1:1" ht="13">
      <c r="A597" s="171"/>
    </row>
    <row r="598" spans="1:1" ht="13">
      <c r="A598" s="171"/>
    </row>
    <row r="599" spans="1:1" ht="13">
      <c r="A599" s="171"/>
    </row>
    <row r="600" spans="1:1" ht="13">
      <c r="A600" s="171"/>
    </row>
    <row r="601" spans="1:1" ht="13">
      <c r="A601" s="171"/>
    </row>
    <row r="602" spans="1:1" ht="13">
      <c r="A602" s="171"/>
    </row>
    <row r="603" spans="1:1" ht="13">
      <c r="A603" s="171"/>
    </row>
    <row r="604" spans="1:1" ht="13">
      <c r="A604" s="171"/>
    </row>
    <row r="605" spans="1:1" ht="13">
      <c r="A605" s="171"/>
    </row>
    <row r="606" spans="1:1" ht="13">
      <c r="A606" s="171"/>
    </row>
    <row r="607" spans="1:1" ht="13">
      <c r="A607" s="171"/>
    </row>
    <row r="608" spans="1:1" ht="13">
      <c r="A608" s="171"/>
    </row>
    <row r="609" spans="1:1" ht="13">
      <c r="A609" s="171"/>
    </row>
    <row r="610" spans="1:1" ht="13">
      <c r="A610" s="171"/>
    </row>
    <row r="611" spans="1:1" ht="13">
      <c r="A611" s="171"/>
    </row>
    <row r="612" spans="1:1" ht="13">
      <c r="A612" s="171"/>
    </row>
    <row r="613" spans="1:1" ht="13">
      <c r="A613" s="171"/>
    </row>
    <row r="614" spans="1:1" ht="13">
      <c r="A614" s="171"/>
    </row>
    <row r="615" spans="1:1" ht="13">
      <c r="A615" s="171"/>
    </row>
    <row r="616" spans="1:1" ht="13">
      <c r="A616" s="171"/>
    </row>
    <row r="617" spans="1:1" ht="13">
      <c r="A617" s="171"/>
    </row>
    <row r="618" spans="1:1" ht="13">
      <c r="A618" s="171"/>
    </row>
    <row r="619" spans="1:1" ht="13">
      <c r="A619" s="171"/>
    </row>
    <row r="620" spans="1:1" ht="13">
      <c r="A620" s="171"/>
    </row>
    <row r="621" spans="1:1" ht="13">
      <c r="A621" s="171"/>
    </row>
    <row r="622" spans="1:1" ht="13">
      <c r="A622" s="171"/>
    </row>
    <row r="623" spans="1:1" ht="13">
      <c r="A623" s="171"/>
    </row>
    <row r="624" spans="1:1" ht="13">
      <c r="A624" s="171"/>
    </row>
    <row r="625" spans="1:1" ht="13">
      <c r="A625" s="171"/>
    </row>
    <row r="626" spans="1:1" ht="13">
      <c r="A626" s="171"/>
    </row>
    <row r="627" spans="1:1" ht="13">
      <c r="A627" s="171"/>
    </row>
    <row r="628" spans="1:1" ht="13">
      <c r="A628" s="171"/>
    </row>
    <row r="629" spans="1:1" ht="13">
      <c r="A629" s="171"/>
    </row>
    <row r="630" spans="1:1" ht="13">
      <c r="A630" s="171"/>
    </row>
    <row r="631" spans="1:1" ht="13">
      <c r="A631" s="171"/>
    </row>
    <row r="632" spans="1:1" ht="13">
      <c r="A632" s="171"/>
    </row>
    <row r="633" spans="1:1" ht="13">
      <c r="A633" s="171"/>
    </row>
    <row r="634" spans="1:1" ht="13">
      <c r="A634" s="171"/>
    </row>
    <row r="635" spans="1:1" ht="13">
      <c r="A635" s="171"/>
    </row>
    <row r="636" spans="1:1" ht="13">
      <c r="A636" s="171"/>
    </row>
    <row r="637" spans="1:1" ht="13">
      <c r="A637" s="171"/>
    </row>
    <row r="638" spans="1:1" ht="13">
      <c r="A638" s="171"/>
    </row>
    <row r="639" spans="1:1" ht="13">
      <c r="A639" s="171"/>
    </row>
    <row r="640" spans="1:1" ht="13">
      <c r="A640" s="171"/>
    </row>
    <row r="641" spans="1:1" ht="13">
      <c r="A641" s="171"/>
    </row>
    <row r="642" spans="1:1" ht="13">
      <c r="A642" s="171"/>
    </row>
    <row r="643" spans="1:1" ht="13">
      <c r="A643" s="171"/>
    </row>
    <row r="644" spans="1:1" ht="13">
      <c r="A644" s="171"/>
    </row>
    <row r="645" spans="1:1" ht="13">
      <c r="A645" s="171"/>
    </row>
    <row r="646" spans="1:1" ht="13">
      <c r="A646" s="171"/>
    </row>
    <row r="647" spans="1:1" ht="13">
      <c r="A647" s="171"/>
    </row>
    <row r="648" spans="1:1" ht="13">
      <c r="A648" s="171"/>
    </row>
    <row r="649" spans="1:1" ht="13">
      <c r="A649" s="171"/>
    </row>
    <row r="650" spans="1:1" ht="13">
      <c r="A650" s="171"/>
    </row>
    <row r="651" spans="1:1" ht="13">
      <c r="A651" s="171"/>
    </row>
    <row r="652" spans="1:1" ht="13">
      <c r="A652" s="171"/>
    </row>
    <row r="653" spans="1:1" ht="13">
      <c r="A653" s="171"/>
    </row>
    <row r="654" spans="1:1" ht="13">
      <c r="A654" s="171"/>
    </row>
    <row r="655" spans="1:1" ht="13">
      <c r="A655" s="171"/>
    </row>
    <row r="656" spans="1:1" ht="13">
      <c r="A656" s="171"/>
    </row>
    <row r="657" spans="1:1" ht="13">
      <c r="A657" s="171"/>
    </row>
    <row r="658" spans="1:1" ht="13">
      <c r="A658" s="171"/>
    </row>
    <row r="659" spans="1:1" ht="13">
      <c r="A659" s="171"/>
    </row>
    <row r="660" spans="1:1" ht="13">
      <c r="A660" s="171"/>
    </row>
    <row r="661" spans="1:1" ht="13">
      <c r="A661" s="171"/>
    </row>
    <row r="662" spans="1:1" ht="13">
      <c r="A662" s="171"/>
    </row>
    <row r="663" spans="1:1" ht="13">
      <c r="A663" s="171"/>
    </row>
    <row r="664" spans="1:1" ht="13">
      <c r="A664" s="171"/>
    </row>
    <row r="665" spans="1:1" ht="13">
      <c r="A665" s="171"/>
    </row>
    <row r="666" spans="1:1" ht="13">
      <c r="A666" s="171"/>
    </row>
    <row r="667" spans="1:1" ht="13">
      <c r="A667" s="171"/>
    </row>
    <row r="668" spans="1:1" ht="13">
      <c r="A668" s="171"/>
    </row>
    <row r="669" spans="1:1" ht="13">
      <c r="A669" s="171"/>
    </row>
    <row r="670" spans="1:1" ht="13">
      <c r="A670" s="171"/>
    </row>
    <row r="671" spans="1:1" ht="13">
      <c r="A671" s="171"/>
    </row>
    <row r="672" spans="1:1" ht="13">
      <c r="A672" s="171"/>
    </row>
    <row r="673" spans="1:1" ht="13">
      <c r="A673" s="171"/>
    </row>
    <row r="674" spans="1:1" ht="13">
      <c r="A674" s="171"/>
    </row>
    <row r="675" spans="1:1" ht="13">
      <c r="A675" s="171"/>
    </row>
    <row r="676" spans="1:1" ht="13">
      <c r="A676" s="171"/>
    </row>
    <row r="677" spans="1:1" ht="13">
      <c r="A677" s="171"/>
    </row>
    <row r="678" spans="1:1" ht="13">
      <c r="A678" s="171"/>
    </row>
    <row r="679" spans="1:1" ht="13">
      <c r="A679" s="171"/>
    </row>
    <row r="680" spans="1:1" ht="13">
      <c r="A680" s="171"/>
    </row>
    <row r="681" spans="1:1" ht="13">
      <c r="A681" s="171"/>
    </row>
    <row r="682" spans="1:1" ht="13">
      <c r="A682" s="171"/>
    </row>
    <row r="683" spans="1:1" ht="13">
      <c r="A683" s="171"/>
    </row>
    <row r="684" spans="1:1" ht="13">
      <c r="A684" s="171"/>
    </row>
    <row r="685" spans="1:1" ht="13">
      <c r="A685" s="171"/>
    </row>
    <row r="686" spans="1:1" ht="13">
      <c r="A686" s="171"/>
    </row>
    <row r="687" spans="1:1" ht="13">
      <c r="A687" s="171"/>
    </row>
    <row r="688" spans="1:1" ht="13">
      <c r="A688" s="171"/>
    </row>
    <row r="689" spans="1:1" ht="13">
      <c r="A689" s="171"/>
    </row>
    <row r="690" spans="1:1" ht="13">
      <c r="A690" s="171"/>
    </row>
    <row r="691" spans="1:1" ht="13">
      <c r="A691" s="171"/>
    </row>
    <row r="692" spans="1:1" ht="13">
      <c r="A692" s="171"/>
    </row>
    <row r="693" spans="1:1" ht="13">
      <c r="A693" s="171"/>
    </row>
    <row r="694" spans="1:1" ht="13">
      <c r="A694" s="171"/>
    </row>
    <row r="695" spans="1:1" ht="13">
      <c r="A695" s="171"/>
    </row>
    <row r="696" spans="1:1" ht="13">
      <c r="A696" s="171"/>
    </row>
    <row r="697" spans="1:1" ht="13">
      <c r="A697" s="171"/>
    </row>
    <row r="698" spans="1:1" ht="13">
      <c r="A698" s="171"/>
    </row>
    <row r="699" spans="1:1" ht="13">
      <c r="A699" s="171"/>
    </row>
    <row r="700" spans="1:1" ht="13">
      <c r="A700" s="171"/>
    </row>
    <row r="701" spans="1:1" ht="13">
      <c r="A701" s="171"/>
    </row>
    <row r="702" spans="1:1" ht="13">
      <c r="A702" s="171"/>
    </row>
    <row r="703" spans="1:1" ht="13">
      <c r="A703" s="171"/>
    </row>
    <row r="704" spans="1:1" ht="13">
      <c r="A704" s="171"/>
    </row>
    <row r="705" spans="1:1" ht="13">
      <c r="A705" s="171"/>
    </row>
    <row r="706" spans="1:1" ht="13">
      <c r="A706" s="171"/>
    </row>
    <row r="707" spans="1:1" ht="13">
      <c r="A707" s="171"/>
    </row>
    <row r="708" spans="1:1" ht="13">
      <c r="A708" s="171"/>
    </row>
    <row r="709" spans="1:1" ht="13">
      <c r="A709" s="171"/>
    </row>
    <row r="710" spans="1:1" ht="13">
      <c r="A710" s="171"/>
    </row>
    <row r="711" spans="1:1" ht="13">
      <c r="A711" s="171"/>
    </row>
    <row r="712" spans="1:1" ht="13">
      <c r="A712" s="171"/>
    </row>
    <row r="713" spans="1:1" ht="13">
      <c r="A713" s="171"/>
    </row>
    <row r="714" spans="1:1" ht="13">
      <c r="A714" s="171"/>
    </row>
    <row r="715" spans="1:1" ht="13">
      <c r="A715" s="171"/>
    </row>
    <row r="716" spans="1:1" ht="13">
      <c r="A716" s="171"/>
    </row>
    <row r="717" spans="1:1" ht="13">
      <c r="A717" s="171"/>
    </row>
    <row r="718" spans="1:1" ht="13">
      <c r="A718" s="171"/>
    </row>
    <row r="719" spans="1:1" ht="13">
      <c r="A719" s="171"/>
    </row>
    <row r="720" spans="1:1" ht="13">
      <c r="A720" s="171"/>
    </row>
    <row r="721" spans="1:1" ht="13">
      <c r="A721" s="171"/>
    </row>
    <row r="722" spans="1:1" ht="13">
      <c r="A722" s="171"/>
    </row>
    <row r="723" spans="1:1" ht="13">
      <c r="A723" s="171"/>
    </row>
    <row r="724" spans="1:1" ht="13">
      <c r="A724" s="171"/>
    </row>
    <row r="725" spans="1:1" ht="13">
      <c r="A725" s="171"/>
    </row>
    <row r="726" spans="1:1" ht="13">
      <c r="A726" s="171"/>
    </row>
    <row r="727" spans="1:1" ht="13">
      <c r="A727" s="171"/>
    </row>
    <row r="728" spans="1:1" ht="13">
      <c r="A728" s="171"/>
    </row>
    <row r="729" spans="1:1" ht="13">
      <c r="A729" s="171"/>
    </row>
    <row r="730" spans="1:1" ht="13">
      <c r="A730" s="171"/>
    </row>
    <row r="731" spans="1:1" ht="13">
      <c r="A731" s="171"/>
    </row>
    <row r="732" spans="1:1" ht="13">
      <c r="A732" s="171"/>
    </row>
    <row r="733" spans="1:1" ht="13">
      <c r="A733" s="171"/>
    </row>
    <row r="734" spans="1:1" ht="13">
      <c r="A734" s="171"/>
    </row>
    <row r="735" spans="1:1" ht="13">
      <c r="A735" s="171"/>
    </row>
    <row r="736" spans="1:1" ht="13">
      <c r="A736" s="171"/>
    </row>
    <row r="737" spans="1:1" ht="13">
      <c r="A737" s="171"/>
    </row>
    <row r="738" spans="1:1" ht="13">
      <c r="A738" s="171"/>
    </row>
    <row r="739" spans="1:1" ht="13">
      <c r="A739" s="171"/>
    </row>
    <row r="740" spans="1:1" ht="13">
      <c r="A740" s="171"/>
    </row>
    <row r="741" spans="1:1" ht="13">
      <c r="A741" s="171"/>
    </row>
    <row r="742" spans="1:1" ht="13">
      <c r="A742" s="171"/>
    </row>
    <row r="743" spans="1:1" ht="13">
      <c r="A743" s="171"/>
    </row>
    <row r="744" spans="1:1" ht="13">
      <c r="A744" s="171"/>
    </row>
    <row r="745" spans="1:1" ht="13">
      <c r="A745" s="171"/>
    </row>
    <row r="746" spans="1:1" ht="13">
      <c r="A746" s="171"/>
    </row>
    <row r="747" spans="1:1" ht="13">
      <c r="A747" s="171"/>
    </row>
    <row r="748" spans="1:1" ht="13">
      <c r="A748" s="171"/>
    </row>
    <row r="749" spans="1:1" ht="13">
      <c r="A749" s="171"/>
    </row>
    <row r="750" spans="1:1" ht="13">
      <c r="A750" s="171"/>
    </row>
    <row r="751" spans="1:1" ht="13">
      <c r="A751" s="171"/>
    </row>
    <row r="752" spans="1:1" ht="13">
      <c r="A752" s="171"/>
    </row>
    <row r="753" spans="1:1" ht="13">
      <c r="A753" s="171"/>
    </row>
    <row r="754" spans="1:1" ht="13">
      <c r="A754" s="171"/>
    </row>
    <row r="755" spans="1:1" ht="13">
      <c r="A755" s="171"/>
    </row>
    <row r="756" spans="1:1" ht="13">
      <c r="A756" s="171"/>
    </row>
    <row r="757" spans="1:1" ht="13">
      <c r="A757" s="171"/>
    </row>
    <row r="758" spans="1:1" ht="13">
      <c r="A758" s="171"/>
    </row>
    <row r="759" spans="1:1" ht="13">
      <c r="A759" s="171"/>
    </row>
    <row r="760" spans="1:1" ht="13">
      <c r="A760" s="171"/>
    </row>
    <row r="761" spans="1:1" ht="13">
      <c r="A761" s="171"/>
    </row>
    <row r="762" spans="1:1" ht="13">
      <c r="A762" s="171"/>
    </row>
    <row r="763" spans="1:1" ht="13">
      <c r="A763" s="171"/>
    </row>
  </sheetData>
  <mergeCells count="9">
    <mergeCell ref="A1:G1"/>
    <mergeCell ref="B3:G3"/>
    <mergeCell ref="B121:G121"/>
    <mergeCell ref="B113:H113"/>
    <mergeCell ref="B211:G212"/>
    <mergeCell ref="B152:G152"/>
    <mergeCell ref="B207:G207"/>
    <mergeCell ref="B144:H144"/>
    <mergeCell ref="B117:G118"/>
  </mergeCells>
  <printOptions horizontalCentered="1"/>
  <pageMargins left="0.5" right="0.5" top="0.5" bottom="0.5" header="0.5" footer="0.5"/>
  <pageSetup fitToHeight="3" orientation="portrait" scale="47" r:id="rId1"/>
  <headerFooter alignWithMargins="0">
    <oddFooter>&amp;CPage &amp;P of 17</oddFooter>
  </headerFooter>
  <rowBreaks count="1" manualBreakCount="1">
    <brk id="120" max="6" man="1"/>
  </rowBreaks>
  <customProperties>
    <customPr name="_pios_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81D844BC-7075-499A-A256-B5E00BDDA419}">
  <sheetPr>
    <pageSetUpPr fitToPage="1"/>
  </sheetPr>
  <dimension ref="A1:L36"/>
  <sheetViews>
    <sheetView zoomScale="70" zoomScaleNormal="70" workbookViewId="0" topLeftCell="A1">
      <selection pane="topLeft" activeCell="J58" sqref="J58"/>
    </sheetView>
  </sheetViews>
  <sheetFormatPr defaultRowHeight="12.5"/>
  <cols>
    <col min="1" max="1" width="36.8571428571429" customWidth="1"/>
    <col min="2" max="2" width="19.8571428571429" bestFit="1" customWidth="1"/>
    <col min="3" max="3" width="20.4285714285714" customWidth="1"/>
    <col min="4" max="5" width="17.2857142857143" customWidth="1"/>
    <col min="6" max="6" width="20.4285714285714" customWidth="1"/>
    <col min="7" max="8" width="17.2857142857143" customWidth="1"/>
    <col min="9" max="9" width="14.4285714285714" customWidth="1"/>
    <col min="10" max="10" width="20.2857142857143" bestFit="1" customWidth="1"/>
    <col min="11" max="11" width="13.4285714285714" customWidth="1"/>
    <col min="12" max="12" width="29.5714285714286" customWidth="1"/>
  </cols>
  <sheetData>
    <row r="1" spans="1:8" ht="18.5">
      <c r="A1" s="888" t="s">
        <v>451</v>
      </c>
      <c r="E1" s="889"/>
      <c r="F1" s="889"/>
      <c r="G1" s="889"/>
      <c r="H1" s="889"/>
    </row>
    <row r="2" spans="1:1" ht="21">
      <c r="A2" s="888" t="s">
        <v>801</v>
      </c>
    </row>
    <row r="3" spans="1:1" ht="18.5">
      <c r="A3" s="888"/>
    </row>
    <row r="4" ht="12.5"/>
    <row r="5" ht="12.5"/>
    <row r="6" spans="1:2" ht="12.5">
      <c r="A6" t="s">
        <v>773</v>
      </c>
      <c r="B6" s="889">
        <v>0.34999999999999998</v>
      </c>
    </row>
    <row r="7" spans="1:2" ht="12.5">
      <c r="A7" t="s">
        <v>774</v>
      </c>
      <c r="B7" s="889">
        <v>0.20999999999999999</v>
      </c>
    </row>
    <row r="8" spans="1:2" ht="12.5">
      <c r="A8" t="s">
        <v>775</v>
      </c>
      <c r="B8">
        <v>1.4063135038441579</v>
      </c>
    </row>
    <row r="9" spans="1:2" ht="12.5">
      <c r="A9" t="s">
        <v>776</v>
      </c>
      <c r="B9" s="890">
        <f>B6-(0.0999*B6)</f>
        <v>0.31503499999999995</v>
      </c>
    </row>
    <row r="10" spans="1:2" ht="12.5">
      <c r="A10" t="s">
        <v>777</v>
      </c>
      <c r="B10" s="890">
        <f>B7-(0.0999*B7)</f>
        <v>0.189021</v>
      </c>
    </row>
    <row r="11" spans="4:9" ht="12.5">
      <c r="D11" s="966"/>
      <c r="E11" s="966"/>
      <c r="F11" s="917"/>
      <c r="G11" s="966"/>
      <c r="H11" s="966"/>
      <c r="I11" s="966"/>
    </row>
    <row r="12" spans="1:12" s="892" customFormat="1" ht="43.5">
      <c r="A12" s="891" t="s">
        <v>807</v>
      </c>
      <c r="B12" s="891" t="s">
        <v>778</v>
      </c>
      <c r="C12" s="891" t="s">
        <v>779</v>
      </c>
      <c r="D12" s="891" t="s">
        <v>780</v>
      </c>
      <c r="E12" s="891" t="s">
        <v>781</v>
      </c>
      <c r="F12" s="891" t="s">
        <v>840</v>
      </c>
      <c r="G12" s="891" t="s">
        <v>831</v>
      </c>
      <c r="H12" s="891" t="s">
        <v>832</v>
      </c>
      <c r="I12" s="891" t="s">
        <v>782</v>
      </c>
      <c r="J12" s="891" t="s">
        <v>783</v>
      </c>
      <c r="K12" s="891" t="s">
        <v>784</v>
      </c>
      <c r="L12" s="891" t="s">
        <v>785</v>
      </c>
    </row>
    <row r="13" spans="1:12" ht="12.5">
      <c r="A13" t="s">
        <v>808</v>
      </c>
      <c r="B13" t="s">
        <v>786</v>
      </c>
      <c r="C13" s="906">
        <v>282</v>
      </c>
      <c r="D13" s="868">
        <v>-11216768</v>
      </c>
      <c r="E13" s="868">
        <v>-15774292.307887027</v>
      </c>
      <c r="F13" s="868">
        <v>-382942.86999999918</v>
      </c>
      <c r="G13" s="868">
        <v>-10833825.130000001</v>
      </c>
      <c r="H13" s="868">
        <v>-15235754.57860519</v>
      </c>
      <c r="I13" t="s">
        <v>787</v>
      </c>
      <c r="J13">
        <v>254</v>
      </c>
      <c r="K13" t="s">
        <v>788</v>
      </c>
      <c r="L13" t="s">
        <v>809</v>
      </c>
    </row>
    <row r="14" spans="1:12" ht="12.5">
      <c r="A14" t="s">
        <v>810</v>
      </c>
      <c r="B14" t="s">
        <v>789</v>
      </c>
      <c r="C14" s="906">
        <v>190</v>
      </c>
      <c r="D14" s="868">
        <v>198100</v>
      </c>
      <c r="E14" s="868">
        <v>278590.7051115277</v>
      </c>
      <c r="F14" s="868">
        <v>19482.649999999994</v>
      </c>
      <c r="G14" s="868">
        <v>178617.35000000001</v>
      </c>
      <c r="H14" s="868">
        <v>251191.99132585831</v>
      </c>
      <c r="I14" t="s">
        <v>787</v>
      </c>
      <c r="J14">
        <v>182.30000000000001</v>
      </c>
      <c r="K14" t="s">
        <v>788</v>
      </c>
      <c r="L14" t="s">
        <v>790</v>
      </c>
    </row>
    <row r="15" spans="3:8" ht="12.5">
      <c r="C15" s="906"/>
      <c r="D15" s="893"/>
      <c r="E15" s="893"/>
      <c r="F15" s="893"/>
      <c r="G15" s="893"/>
      <c r="H15" s="893"/>
    </row>
    <row r="16" spans="3:8" s="894" customFormat="1" ht="14.5">
      <c r="C16" s="895" t="s">
        <v>791</v>
      </c>
      <c r="D16" s="896">
        <f t="shared" si="0" ref="D16:H16">=SUM(D13:D15)</f>
        <v>-11018668</v>
      </c>
      <c r="E16" s="896">
        <f t="shared" si="0"/>
        <v>-15495701.602775499</v>
      </c>
      <c r="F16" s="896">
        <f t="shared" si="0"/>
        <v>-363460.21999999916</v>
      </c>
      <c r="G16" s="896">
        <f t="shared" si="0"/>
        <v>-10655207.780000001</v>
      </c>
      <c r="H16" s="896">
        <f t="shared" si="0"/>
        <v>-14984562.587279331</v>
      </c>
    </row>
    <row r="17" spans="3:8" ht="12.5">
      <c r="C17" s="906"/>
      <c r="D17" s="868"/>
      <c r="E17" s="868"/>
      <c r="F17" s="868"/>
      <c r="G17" s="868"/>
      <c r="H17" s="868"/>
    </row>
    <row r="18" spans="3:8" ht="12.5">
      <c r="C18" s="906"/>
      <c r="D18" s="868"/>
      <c r="E18" s="868"/>
      <c r="F18" s="868"/>
      <c r="G18" s="868"/>
      <c r="H18" s="868"/>
    </row>
    <row r="19" spans="3:8" ht="12.5">
      <c r="C19" s="906"/>
      <c r="D19" s="868"/>
      <c r="E19" s="868"/>
      <c r="F19" s="868"/>
      <c r="G19" s="868"/>
      <c r="H19" s="868"/>
    </row>
    <row r="20" spans="3:8" ht="12.5">
      <c r="C20" s="906"/>
      <c r="D20" s="868"/>
      <c r="E20" s="868"/>
      <c r="F20" s="868"/>
      <c r="G20" s="868"/>
      <c r="H20" s="868"/>
    </row>
    <row r="21" spans="4:8" ht="12.5">
      <c r="D21" s="897"/>
      <c r="E21" s="897"/>
      <c r="F21" s="897"/>
      <c r="G21" s="897"/>
      <c r="H21" s="897"/>
    </row>
    <row r="22" spans="3:8" s="894" customFormat="1" ht="14.5">
      <c r="C22" s="895" t="s">
        <v>792</v>
      </c>
      <c r="D22" s="898">
        <f t="shared" si="1" ref="D22:H22">=SUM(D18:D21)</f>
        <v>0</v>
      </c>
      <c r="E22" s="898">
        <f t="shared" si="1"/>
        <v>0</v>
      </c>
      <c r="F22" s="898">
        <f t="shared" si="1"/>
        <v>0</v>
      </c>
      <c r="G22" s="898">
        <f t="shared" si="1"/>
        <v>0</v>
      </c>
      <c r="H22" s="898">
        <f t="shared" si="1"/>
        <v>0</v>
      </c>
    </row>
    <row r="23" ht="12.5"/>
    <row r="24" spans="3:8" s="894" customFormat="1" ht="15" thickBot="1">
      <c r="C24" s="895" t="s">
        <v>793</v>
      </c>
      <c r="D24" s="899">
        <f t="shared" si="2" ref="D24:H24">=SUM(D16,D22)</f>
        <v>-11018668</v>
      </c>
      <c r="E24" s="899">
        <f t="shared" si="2"/>
        <v>-15495701.602775499</v>
      </c>
      <c r="F24" s="899">
        <f t="shared" si="2"/>
        <v>-363460.21999999916</v>
      </c>
      <c r="G24" s="899">
        <f t="shared" si="2"/>
        <v>-10655207.780000001</v>
      </c>
      <c r="H24" s="899">
        <f t="shared" si="2"/>
        <v>-14984562.587279331</v>
      </c>
    </row>
    <row r="25" ht="13" thickTop="1"/>
    <row r="26" ht="12.5"/>
    <row r="27" ht="12.5"/>
    <row r="28" spans="1:1" ht="14.5">
      <c r="A28" s="900" t="s">
        <v>612</v>
      </c>
    </row>
    <row r="29" spans="1:6" ht="12.5">
      <c r="A29" s="2" t="s">
        <v>833</v>
      </c>
      <c r="B29" s="2"/>
      <c r="C29" s="2"/>
      <c r="D29" s="2"/>
      <c r="E29" s="2"/>
      <c r="F29" s="2"/>
    </row>
    <row r="30" spans="1:6" ht="13">
      <c r="A30" s="945" t="s">
        <v>856</v>
      </c>
      <c r="B30" s="2"/>
      <c r="C30" s="2"/>
      <c r="D30" s="2"/>
      <c r="E30" s="2"/>
      <c r="F30" s="2"/>
    </row>
    <row r="31" spans="1:6" ht="39">
      <c r="A31" s="2"/>
      <c r="B31" s="946" t="s">
        <v>834</v>
      </c>
      <c r="C31" s="946" t="s">
        <v>835</v>
      </c>
      <c r="D31" s="947" t="s">
        <v>173</v>
      </c>
      <c r="E31" s="2"/>
      <c r="F31" s="2"/>
    </row>
    <row r="32" spans="1:6" ht="12.5">
      <c r="A32" s="948" t="s">
        <v>836</v>
      </c>
      <c r="B32" s="519">
        <f>F16</f>
        <v>-363460.21999999916</v>
      </c>
      <c r="C32" s="949">
        <f>F22</f>
        <v>0</v>
      </c>
      <c r="D32" s="519">
        <f>SUM(B32:C32)</f>
        <v>-363460.21999999916</v>
      </c>
      <c r="E32" s="2"/>
      <c r="F32" s="2"/>
    </row>
    <row r="33" spans="1:6" ht="12.5">
      <c r="A33" s="948" t="s">
        <v>837</v>
      </c>
      <c r="B33" s="950">
        <f>'ATT 1 - ADIT'!E15</f>
        <v>0.26255691286191535</v>
      </c>
      <c r="C33" s="950">
        <f>'ATT 1 - ADIT'!F14</f>
        <v>0.24391163764331447</v>
      </c>
      <c r="D33" s="951"/>
      <c r="E33" s="2"/>
      <c r="F33" s="2"/>
    </row>
    <row r="34" spans="1:6" ht="12.5">
      <c r="A34" s="948" t="s">
        <v>838</v>
      </c>
      <c r="B34" s="223">
        <f>B32*B33</f>
        <v>-95428.993311312355</v>
      </c>
      <c r="C34" s="223">
        <f>C32*C33</f>
        <v>0</v>
      </c>
      <c r="D34" s="519">
        <f>SUM(B34:C34)</f>
        <v>-95428.993311312355</v>
      </c>
      <c r="E34" s="2"/>
      <c r="F34" s="2"/>
    </row>
    <row r="35" spans="1:6" ht="12.5">
      <c r="A35" s="2"/>
      <c r="B35" s="2"/>
      <c r="C35" s="2"/>
      <c r="D35" s="2"/>
      <c r="E35" s="2"/>
      <c r="F35" s="2"/>
    </row>
    <row r="36" spans="1:6" ht="12.5">
      <c r="A36" s="2"/>
      <c r="B36" s="2"/>
      <c r="C36" s="2"/>
      <c r="D36" s="2"/>
      <c r="E36" s="2"/>
      <c r="F36" s="2"/>
    </row>
  </sheetData>
  <mergeCells count="2">
    <mergeCell ref="D11:E11"/>
    <mergeCell ref="G11:I11"/>
  </mergeCells>
  <pageMargins left="0.7" right="0.7" top="0.75" bottom="0.75" header="0.3" footer="0.3"/>
  <pageSetup orientation="landscape" scale="51"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H62"/>
  <sheetViews>
    <sheetView zoomScale="96" zoomScaleNormal="96" workbookViewId="0" topLeftCell="A1">
      <selection pane="topLeft" activeCell="I1" sqref="I1:T1048576"/>
    </sheetView>
  </sheetViews>
  <sheetFormatPr defaultRowHeight="12.5"/>
  <cols>
    <col min="1" max="2" width="4.71428571428571" customWidth="1"/>
    <col min="3" max="3" width="46.8571428571429" bestFit="1" customWidth="1"/>
    <col min="4" max="4" width="18.2857142857143" customWidth="1"/>
    <col min="5" max="5" width="18.4285714285714" style="193" customWidth="1"/>
    <col min="6" max="6" width="15.2857142857143" customWidth="1"/>
    <col min="7" max="7" width="12" bestFit="1" customWidth="1"/>
  </cols>
  <sheetData>
    <row r="1" spans="1:8" ht="23">
      <c r="A1" s="957" t="str">
        <f>+'ATT H'!A4</f>
        <v>UGI Utilities, Inc.</v>
      </c>
      <c r="B1" s="957"/>
      <c r="C1" s="957"/>
      <c r="D1" s="957"/>
      <c r="E1" s="957"/>
      <c r="F1" s="957"/>
      <c r="G1" s="957"/>
      <c r="H1" s="749"/>
    </row>
    <row r="2" spans="1:1" ht="13">
      <c r="A2" s="199"/>
    </row>
    <row r="3" spans="1:7" ht="15.5">
      <c r="A3" s="959" t="s">
        <v>499</v>
      </c>
      <c r="B3" s="967"/>
      <c r="C3" s="967"/>
      <c r="D3" s="967"/>
      <c r="E3" s="967"/>
      <c r="F3" s="965"/>
      <c r="G3" s="965"/>
    </row>
    <row r="4" spans="4:4" ht="13">
      <c r="D4" s="204"/>
    </row>
    <row r="5" spans="5:5" ht="13">
      <c r="E5" s="180" t="s">
        <v>501</v>
      </c>
    </row>
    <row r="6" spans="4:8" ht="13">
      <c r="D6" s="180"/>
      <c r="E6" s="180" t="s">
        <v>705</v>
      </c>
      <c r="F6" s="180"/>
      <c r="G6" s="180" t="s">
        <v>266</v>
      </c>
      <c r="H6" s="180"/>
    </row>
    <row r="7" spans="1:8" ht="13">
      <c r="A7" s="169" t="s">
        <v>82</v>
      </c>
      <c r="B7" s="169"/>
      <c r="D7" s="180"/>
      <c r="E7" s="180" t="s">
        <v>706</v>
      </c>
      <c r="F7" s="180" t="s">
        <v>195</v>
      </c>
      <c r="G7" s="180" t="s">
        <v>267</v>
      </c>
      <c r="H7" s="180"/>
    </row>
    <row r="8" spans="1:8" ht="13">
      <c r="A8" s="169"/>
      <c r="B8" s="169"/>
      <c r="D8" s="180"/>
      <c r="E8" s="227"/>
      <c r="F8" s="180"/>
      <c r="G8" s="180"/>
      <c r="H8" s="180"/>
    </row>
    <row r="9" spans="4:8" ht="13">
      <c r="D9" s="180"/>
      <c r="E9" s="227"/>
      <c r="G9" s="180"/>
      <c r="H9" s="191"/>
    </row>
    <row r="10" spans="2:8" ht="13">
      <c r="B10" s="169" t="s">
        <v>259</v>
      </c>
      <c r="D10" s="180"/>
      <c r="E10" s="194"/>
      <c r="F10" s="202" t="s">
        <v>53</v>
      </c>
      <c r="G10" s="180"/>
      <c r="H10" s="191"/>
    </row>
    <row r="11" spans="1:8" ht="13">
      <c r="A11" s="171"/>
      <c r="D11" s="180"/>
      <c r="E11" s="194"/>
      <c r="F11" s="180"/>
      <c r="G11" s="180"/>
      <c r="H11" s="191"/>
    </row>
    <row r="12" spans="1:7" ht="12.75" customHeight="1">
      <c r="A12" s="171">
        <v>1</v>
      </c>
      <c r="C12" s="192" t="s">
        <v>311</v>
      </c>
      <c r="D12" s="172"/>
      <c r="E12" s="790">
        <v>90691</v>
      </c>
      <c r="F12" s="172"/>
      <c r="G12" s="172"/>
    </row>
    <row r="13" spans="1:8" ht="12.75" customHeight="1">
      <c r="A13" s="171">
        <v>2</v>
      </c>
      <c r="C13" s="192" t="s">
        <v>232</v>
      </c>
      <c r="D13" s="172"/>
      <c r="E13" s="790"/>
      <c r="F13" s="172"/>
      <c r="G13" s="172"/>
      <c r="H13" s="172"/>
    </row>
    <row r="14" spans="1:8" ht="12.75" customHeight="1">
      <c r="A14" s="171">
        <v>3</v>
      </c>
      <c r="C14" s="198" t="s">
        <v>234</v>
      </c>
      <c r="D14" s="172"/>
      <c r="E14" s="790"/>
      <c r="F14" s="172"/>
      <c r="G14" s="172"/>
      <c r="H14" s="172"/>
    </row>
    <row r="15" spans="1:8" ht="12.75" customHeight="1">
      <c r="A15" s="171">
        <v>4</v>
      </c>
      <c r="C15" s="793" t="s">
        <v>755</v>
      </c>
      <c r="D15" s="172"/>
      <c r="E15" s="927"/>
      <c r="F15" s="172"/>
      <c r="G15" s="172"/>
      <c r="H15" s="172"/>
    </row>
    <row r="16" spans="1:8" ht="12.75" customHeight="1">
      <c r="A16" s="171">
        <v>5</v>
      </c>
      <c r="C16" s="198" t="s">
        <v>233</v>
      </c>
      <c r="D16" s="172"/>
      <c r="E16" s="790">
        <v>84590</v>
      </c>
      <c r="F16" s="172"/>
      <c r="G16" s="172"/>
      <c r="H16" s="172"/>
    </row>
    <row r="17" spans="1:8" ht="12.75" customHeight="1">
      <c r="A17" s="171">
        <v>6</v>
      </c>
      <c r="C17" s="198" t="s">
        <v>235</v>
      </c>
      <c r="D17" s="172"/>
      <c r="E17" s="858"/>
      <c r="F17" s="172"/>
      <c r="G17" s="172"/>
      <c r="H17" s="172"/>
    </row>
    <row r="18" spans="1:8" ht="12.75" customHeight="1">
      <c r="A18" s="171">
        <v>7</v>
      </c>
      <c r="C18" s="168"/>
      <c r="D18" s="172"/>
      <c r="E18" s="195"/>
      <c r="F18" s="172"/>
      <c r="G18" s="172"/>
      <c r="H18" s="172"/>
    </row>
    <row r="19" spans="1:8" ht="12.75" customHeight="1">
      <c r="A19" s="171">
        <v>8</v>
      </c>
      <c r="C19" s="168"/>
      <c r="D19" s="172"/>
      <c r="E19" s="195"/>
      <c r="F19" s="172"/>
      <c r="G19" s="172"/>
      <c r="H19" s="172"/>
    </row>
    <row r="20" spans="1:8" ht="12.75" customHeight="1">
      <c r="A20" s="171">
        <v>9</v>
      </c>
      <c r="B20" s="169" t="s">
        <v>262</v>
      </c>
      <c r="D20" s="172"/>
      <c r="E20" s="523">
        <f>SUM(E12:E19)</f>
        <v>175281</v>
      </c>
      <c r="F20" s="524">
        <f>+'ATT H'!H32</f>
        <v>0.26255691286191535</v>
      </c>
      <c r="G20" s="523">
        <f>+F20*E20</f>
        <v>46021.238243349384</v>
      </c>
      <c r="H20" s="172"/>
    </row>
    <row r="21" spans="1:8" ht="12.75" customHeight="1">
      <c r="A21" s="171">
        <v>10</v>
      </c>
      <c r="D21" s="172"/>
      <c r="E21" s="196"/>
      <c r="F21" s="172"/>
      <c r="G21" s="172"/>
      <c r="H21" s="172"/>
    </row>
    <row r="22" spans="1:8" ht="12.75" customHeight="1">
      <c r="A22" s="171">
        <v>11</v>
      </c>
      <c r="D22" s="172"/>
      <c r="E22" s="196"/>
      <c r="F22" s="172"/>
      <c r="G22" s="172"/>
      <c r="H22" s="172"/>
    </row>
    <row r="23" spans="1:8" ht="12.75" customHeight="1">
      <c r="A23" s="171">
        <v>12</v>
      </c>
      <c r="B23" s="169" t="s">
        <v>260</v>
      </c>
      <c r="D23" s="172"/>
      <c r="E23" s="196"/>
      <c r="F23" s="201" t="s">
        <v>502</v>
      </c>
      <c r="G23" s="172"/>
      <c r="H23" s="172"/>
    </row>
    <row r="24" spans="1:8" ht="12.75" customHeight="1">
      <c r="A24" s="171">
        <v>13</v>
      </c>
      <c r="B24" s="169"/>
      <c r="D24" s="172"/>
      <c r="G24" s="172"/>
      <c r="H24" s="172"/>
    </row>
    <row r="25" spans="1:8" ht="12.75" customHeight="1">
      <c r="A25" s="171">
        <v>14</v>
      </c>
      <c r="D25" s="172"/>
      <c r="E25" s="196"/>
      <c r="F25" s="172"/>
      <c r="G25" s="172"/>
      <c r="H25" s="172"/>
    </row>
    <row r="26" spans="1:8" ht="12.75" customHeight="1">
      <c r="A26" s="171">
        <v>15</v>
      </c>
      <c r="C26" s="793" t="s">
        <v>803</v>
      </c>
      <c r="D26" s="173"/>
      <c r="E26" s="927">
        <f>319047+286932-676</f>
        <v>605303</v>
      </c>
      <c r="F26" s="173"/>
      <c r="G26" s="173"/>
      <c r="H26" s="173"/>
    </row>
    <row r="27" spans="1:5" ht="12.5">
      <c r="A27" s="171">
        <v>16</v>
      </c>
      <c r="C27" s="793" t="s">
        <v>756</v>
      </c>
      <c r="E27" s="790">
        <v>34316</v>
      </c>
    </row>
    <row r="28" spans="1:5" ht="12.5">
      <c r="A28" s="171">
        <v>17</v>
      </c>
      <c r="C28" s="198" t="s">
        <v>713</v>
      </c>
      <c r="E28" s="522"/>
    </row>
    <row r="29" spans="1:5" ht="12.5">
      <c r="A29" s="171">
        <v>18</v>
      </c>
      <c r="C29" s="793" t="s">
        <v>759</v>
      </c>
      <c r="E29" s="932">
        <v>5906</v>
      </c>
    </row>
    <row r="30" spans="1:5" ht="12.5">
      <c r="A30" s="171">
        <v>19</v>
      </c>
      <c r="C30" s="168"/>
      <c r="E30" s="197"/>
    </row>
    <row r="31" spans="1:7" ht="13">
      <c r="A31" s="171">
        <v>20</v>
      </c>
      <c r="B31" s="169" t="s">
        <v>263</v>
      </c>
      <c r="E31" s="523">
        <f>SUM(E26:E30)</f>
        <v>645525</v>
      </c>
      <c r="F31" s="848">
        <f>+'ATT H'!H16</f>
        <v>0.24391163764331447</v>
      </c>
      <c r="G31" s="523">
        <f>+F31*E31</f>
        <v>157451.05988970058</v>
      </c>
    </row>
    <row r="32" spans="1:6" ht="13">
      <c r="A32" s="171">
        <v>21</v>
      </c>
      <c r="B32" s="169"/>
      <c r="C32" s="196"/>
      <c r="F32" s="2"/>
    </row>
    <row r="33" spans="1:1" ht="12.5">
      <c r="A33" s="171">
        <v>22</v>
      </c>
    </row>
    <row r="34" spans="1:6" ht="13">
      <c r="A34" s="171">
        <v>23</v>
      </c>
      <c r="B34" s="169" t="s">
        <v>261</v>
      </c>
      <c r="F34" s="202" t="s">
        <v>53</v>
      </c>
    </row>
    <row r="35" spans="1:1" ht="12.5">
      <c r="A35" s="171">
        <v>24</v>
      </c>
    </row>
    <row r="36" spans="1:5" ht="12.5">
      <c r="A36" s="171">
        <v>25</v>
      </c>
      <c r="C36" s="874" t="s">
        <v>825</v>
      </c>
      <c r="E36" s="790">
        <v>1050</v>
      </c>
    </row>
    <row r="37" spans="1:5" ht="12.5">
      <c r="A37" s="171">
        <v>26</v>
      </c>
      <c r="C37" s="793" t="s">
        <v>826</v>
      </c>
      <c r="E37" s="522">
        <v>-29448</v>
      </c>
    </row>
    <row r="38" spans="1:5" ht="12.5">
      <c r="A38" s="171">
        <v>27</v>
      </c>
      <c r="C38" s="168"/>
      <c r="E38" s="522"/>
    </row>
    <row r="39" spans="1:5" ht="12.5">
      <c r="A39" s="171">
        <v>28</v>
      </c>
      <c r="C39" s="168"/>
      <c r="E39" s="522"/>
    </row>
    <row r="40" spans="1:7" ht="13">
      <c r="A40" s="171">
        <v>29</v>
      </c>
      <c r="B40" s="169" t="s">
        <v>264</v>
      </c>
      <c r="E40" s="523">
        <f>SUM(E36:E39)</f>
        <v>-28398</v>
      </c>
      <c r="F40" s="524">
        <f>+'ATT H'!H32</f>
        <v>0.26255691286191535</v>
      </c>
      <c r="G40" s="523">
        <f>+F40*E40</f>
        <v>-7456.0912114526718</v>
      </c>
    </row>
    <row r="41" spans="1:1" ht="12.5">
      <c r="A41" s="171">
        <v>30</v>
      </c>
    </row>
    <row r="42" spans="1:7" ht="13">
      <c r="A42" s="171">
        <v>31</v>
      </c>
      <c r="B42" s="169" t="s">
        <v>269</v>
      </c>
      <c r="D42" s="193" t="s">
        <v>503</v>
      </c>
      <c r="E42" s="671">
        <f>E40+E31+E20</f>
        <v>792408</v>
      </c>
      <c r="G42" s="523">
        <f>+G40+G31+G20</f>
        <v>196016.2069215973</v>
      </c>
    </row>
    <row r="43" spans="1:3" ht="12.5">
      <c r="A43" s="171">
        <v>32</v>
      </c>
      <c r="C43" s="229"/>
    </row>
    <row r="44" spans="1:3" ht="12.5">
      <c r="A44" s="171">
        <v>33</v>
      </c>
      <c r="C44" s="229"/>
    </row>
    <row r="45" spans="1:2" ht="13">
      <c r="A45" s="171">
        <v>34</v>
      </c>
      <c r="B45" s="169" t="s">
        <v>265</v>
      </c>
    </row>
    <row r="46" spans="1:1" ht="12.5">
      <c r="A46" s="171">
        <v>35</v>
      </c>
    </row>
    <row r="47" spans="1:8" ht="12.5">
      <c r="A47" s="171">
        <v>36</v>
      </c>
      <c r="C47" s="198" t="s">
        <v>671</v>
      </c>
      <c r="D47" s="2"/>
      <c r="E47" s="927">
        <f>5160032+121911</f>
        <v>5281943</v>
      </c>
      <c r="F47" s="525"/>
      <c r="G47" s="525"/>
      <c r="H47" s="525"/>
    </row>
    <row r="48" spans="1:8" ht="12.5">
      <c r="A48" s="171">
        <v>37</v>
      </c>
      <c r="C48" s="198" t="s">
        <v>454</v>
      </c>
      <c r="D48" s="2"/>
      <c r="E48" s="790">
        <v>293549</v>
      </c>
      <c r="F48" s="525"/>
      <c r="G48" s="525"/>
      <c r="H48" s="525"/>
    </row>
    <row r="49" spans="1:8" ht="12.5">
      <c r="A49" s="171">
        <v>38</v>
      </c>
      <c r="C49" s="792"/>
      <c r="D49" s="2"/>
      <c r="E49" s="791"/>
      <c r="F49" s="2"/>
      <c r="G49" s="2"/>
      <c r="H49" s="2"/>
    </row>
    <row r="50" spans="1:5" ht="12.5">
      <c r="A50" s="171">
        <v>39</v>
      </c>
      <c r="C50" s="792"/>
      <c r="D50" s="2"/>
      <c r="E50" s="791"/>
    </row>
    <row r="51" spans="1:5" ht="12.5">
      <c r="A51" s="171">
        <v>40</v>
      </c>
      <c r="C51" s="793"/>
      <c r="D51" s="2"/>
      <c r="E51" s="790"/>
    </row>
    <row r="52" spans="1:5" ht="13">
      <c r="A52" s="171">
        <v>41</v>
      </c>
      <c r="C52" s="169" t="s">
        <v>504</v>
      </c>
      <c r="E52" s="673">
        <f>SUM(E47:E51)</f>
        <v>5575492</v>
      </c>
    </row>
    <row r="53" spans="1:3" ht="12.5">
      <c r="A53" s="171">
        <v>42</v>
      </c>
      <c r="C53" s="174"/>
    </row>
    <row r="54" spans="1:5" ht="13.5" thickBot="1">
      <c r="A54" s="171">
        <v>43</v>
      </c>
      <c r="B54" s="169" t="s">
        <v>505</v>
      </c>
      <c r="C54" s="174"/>
      <c r="E54" s="526">
        <f>E52+E42</f>
        <v>6367900</v>
      </c>
    </row>
    <row r="55" spans="1:3" ht="13" thickTop="1">
      <c r="A55" s="171">
        <v>44</v>
      </c>
      <c r="C55" s="174"/>
    </row>
    <row r="56" spans="1:5" ht="13">
      <c r="A56" s="171">
        <v>45</v>
      </c>
      <c r="B56" s="561" t="s">
        <v>506</v>
      </c>
      <c r="C56" s="672"/>
      <c r="D56" s="561"/>
      <c r="E56" s="928">
        <v>6367900</v>
      </c>
    </row>
    <row r="57" spans="1:3" ht="12.5">
      <c r="A57" s="171">
        <v>46</v>
      </c>
      <c r="C57" s="172"/>
    </row>
    <row r="58" spans="1:5" ht="13">
      <c r="A58" s="171">
        <v>47</v>
      </c>
      <c r="B58" s="169" t="s">
        <v>507</v>
      </c>
      <c r="E58"/>
    </row>
    <row r="59" spans="6:6" ht="12.5">
      <c r="F59" s="171"/>
    </row>
    <row r="60" ht="12.5"/>
    <row r="61" ht="12.5"/>
    <row r="62" spans="5:5" ht="12.5">
      <c r="E62" s="882"/>
    </row>
  </sheetData>
  <mergeCells count="2">
    <mergeCell ref="A3:G3"/>
    <mergeCell ref="A1:G1"/>
  </mergeCells>
  <pageMargins left="0.75" right="0.75" top="1" bottom="1" header="0.5" footer="0.5"/>
  <pageSetup orientation="portrait" scale="75" r:id="rId1"/>
  <headerFooter alignWithMargins="0">
    <oddFooter>&amp;CPage &amp;P of 17</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I63"/>
  <sheetViews>
    <sheetView zoomScale="84" zoomScaleNormal="84" workbookViewId="0" topLeftCell="A55">
      <selection pane="topLeft" activeCell="I9" sqref="I9"/>
    </sheetView>
  </sheetViews>
  <sheetFormatPr defaultRowHeight="12.5"/>
  <cols>
    <col min="1" max="1" width="4.14285714285714" customWidth="1"/>
    <col min="2" max="2" width="74.2857142857143" customWidth="1"/>
    <col min="3" max="3" width="20.5714285714286" customWidth="1"/>
    <col min="4" max="4" width="14" style="539" bestFit="1" customWidth="1"/>
    <col min="5" max="5" width="12" bestFit="1" customWidth="1"/>
    <col min="9" max="9" width="18.1428571428571" customWidth="1"/>
  </cols>
  <sheetData>
    <row r="1" spans="1:5" ht="23">
      <c r="A1" s="957" t="str">
        <f>+'ATT H'!A4</f>
        <v>UGI Utilities, Inc.</v>
      </c>
      <c r="B1" s="957"/>
      <c r="C1" s="957"/>
      <c r="D1" s="957"/>
      <c r="E1" s="749"/>
    </row>
    <row r="2" spans="1:4" ht="13">
      <c r="A2" s="199"/>
      <c r="D2" s="547"/>
    </row>
    <row r="3" spans="1:4" ht="15.5">
      <c r="A3" s="959" t="s">
        <v>512</v>
      </c>
      <c r="B3" s="967"/>
      <c r="C3" s="967"/>
      <c r="D3" s="967"/>
    </row>
    <row r="4" spans="2:5" ht="12.5">
      <c r="B4" s="108"/>
      <c r="C4" s="171"/>
      <c r="E4" s="171"/>
    </row>
    <row r="5" spans="2:5" ht="13">
      <c r="B5" s="527"/>
      <c r="C5" s="171"/>
      <c r="E5" s="171"/>
    </row>
    <row r="6" spans="2:2" ht="13">
      <c r="B6" s="528" t="s">
        <v>445</v>
      </c>
    </row>
    <row r="7" spans="1:7" ht="12.5">
      <c r="A7" s="171">
        <v>1</v>
      </c>
      <c r="B7" s="529" t="s">
        <v>514</v>
      </c>
      <c r="C7" s="689" t="s">
        <v>795</v>
      </c>
      <c r="D7" s="929">
        <v>29058</v>
      </c>
      <c r="G7" s="172"/>
    </row>
    <row r="8" spans="1:9" s="530" customFormat="1" ht="12.5">
      <c r="A8" s="682">
        <v>2</v>
      </c>
      <c r="B8" s="538" t="s">
        <v>446</v>
      </c>
      <c r="C8" s="537" t="s">
        <v>513</v>
      </c>
      <c r="D8" s="903">
        <f>D7</f>
        <v>29058</v>
      </c>
      <c r="E8"/>
      <c r="G8" s="531"/>
      <c r="I8"/>
    </row>
    <row r="9" spans="1:7" ht="12.5">
      <c r="A9" s="171"/>
      <c r="B9" s="176"/>
      <c r="C9" s="176"/>
      <c r="D9" s="541"/>
      <c r="G9" s="176"/>
    </row>
    <row r="10" spans="1:7" ht="13">
      <c r="A10" s="171"/>
      <c r="B10" s="528" t="s">
        <v>515</v>
      </c>
      <c r="C10" s="176"/>
      <c r="G10" s="177"/>
    </row>
    <row r="11" spans="1:7" ht="12.5">
      <c r="A11" s="171"/>
      <c r="B11" s="532"/>
      <c r="C11" s="173"/>
      <c r="D11" s="542"/>
      <c r="G11" s="173"/>
    </row>
    <row r="12" spans="1:7" ht="12.5">
      <c r="A12" s="171">
        <f>+A8+1</f>
        <v>3</v>
      </c>
      <c r="B12" s="529" t="s">
        <v>81</v>
      </c>
      <c r="C12" s="172"/>
      <c r="D12" s="543"/>
      <c r="G12" s="172"/>
    </row>
    <row r="13" spans="1:7" ht="37.5">
      <c r="A13" s="683">
        <f t="shared" si="0" ref="A13:A19">=+A12+1</f>
        <v>4</v>
      </c>
      <c r="B13" s="684" t="s">
        <v>516</v>
      </c>
      <c r="C13" s="172"/>
      <c r="D13" s="865"/>
      <c r="G13" s="172"/>
    </row>
    <row r="14" spans="1:7" ht="25">
      <c r="A14" s="683">
        <f t="shared" si="0"/>
        <v>5</v>
      </c>
      <c r="B14" s="684" t="s">
        <v>517</v>
      </c>
      <c r="C14" s="172"/>
      <c r="D14" s="865">
        <v>101281</v>
      </c>
      <c r="G14" s="172"/>
    </row>
    <row r="15" spans="1:7" ht="12.5">
      <c r="A15" s="171">
        <f t="shared" si="0"/>
        <v>6</v>
      </c>
      <c r="B15" s="176" t="s">
        <v>518</v>
      </c>
      <c r="C15" s="173"/>
      <c r="D15" s="544"/>
      <c r="G15" s="173"/>
    </row>
    <row r="16" spans="1:7" ht="12.5">
      <c r="A16" s="171">
        <f t="shared" si="0"/>
        <v>7</v>
      </c>
      <c r="B16" s="176" t="s">
        <v>519</v>
      </c>
      <c r="C16" s="172"/>
      <c r="D16" s="543"/>
      <c r="G16" s="172"/>
    </row>
    <row r="17" spans="1:7" ht="12.5">
      <c r="A17" s="171">
        <f t="shared" si="0"/>
        <v>8</v>
      </c>
      <c r="B17" s="176" t="s">
        <v>520</v>
      </c>
      <c r="C17" s="536"/>
      <c r="D17" s="540"/>
      <c r="G17" s="177"/>
    </row>
    <row r="18" spans="1:4" ht="12.5">
      <c r="A18" s="171">
        <f t="shared" si="0"/>
        <v>9</v>
      </c>
      <c r="B18" s="176" t="s">
        <v>521</v>
      </c>
      <c r="C18" s="174"/>
      <c r="D18" s="540"/>
    </row>
    <row r="19" spans="1:4" ht="12.5">
      <c r="A19" s="171">
        <f t="shared" si="0"/>
        <v>10</v>
      </c>
      <c r="B19" s="176" t="s">
        <v>522</v>
      </c>
      <c r="C19" s="174"/>
      <c r="D19" s="540"/>
    </row>
    <row r="20" spans="1:4" ht="12.5">
      <c r="A20" s="171"/>
      <c r="B20" s="176"/>
      <c r="D20" s="685"/>
    </row>
    <row r="21" spans="1:4" ht="12.5">
      <c r="A21" s="171">
        <f>+A19+1</f>
        <v>11</v>
      </c>
      <c r="B21" s="176" t="s">
        <v>523</v>
      </c>
      <c r="C21" s="686" t="s">
        <v>524</v>
      </c>
      <c r="D21" s="546">
        <f>SUM(D12:D20)+D8</f>
        <v>130339</v>
      </c>
    </row>
    <row r="22" spans="1:4" ht="12.5">
      <c r="A22" s="171">
        <v>12</v>
      </c>
      <c r="B22" s="176" t="s">
        <v>2</v>
      </c>
      <c r="C22" s="530"/>
      <c r="D22" s="685">
        <f>D37</f>
        <v>14529</v>
      </c>
    </row>
    <row r="23" spans="1:6" ht="12.5">
      <c r="A23" s="171">
        <v>13</v>
      </c>
      <c r="B23" s="176" t="s">
        <v>525</v>
      </c>
      <c r="C23" s="537" t="s">
        <v>526</v>
      </c>
      <c r="D23" s="546">
        <f>D21-D22</f>
        <v>115810</v>
      </c>
      <c r="E23" s="868"/>
      <c r="F23" t="s">
        <v>771</v>
      </c>
    </row>
    <row r="24" spans="1:4" ht="12.5">
      <c r="A24" s="171"/>
      <c r="B24" s="176"/>
      <c r="D24" s="547"/>
    </row>
    <row r="25" spans="1:4" ht="13">
      <c r="A25" s="171"/>
      <c r="B25" s="533" t="s">
        <v>447</v>
      </c>
      <c r="D25" s="548"/>
    </row>
    <row r="26" spans="1:4" ht="66" customHeight="1">
      <c r="A26" s="690">
        <v>14</v>
      </c>
      <c r="B26" s="687" t="s">
        <v>0</v>
      </c>
      <c r="D26" s="547"/>
    </row>
    <row r="27" spans="1:4" ht="12.5">
      <c r="A27" s="683"/>
      <c r="B27" s="176"/>
      <c r="D27" s="547"/>
    </row>
    <row r="28" spans="1:9" ht="50">
      <c r="A28" s="683">
        <v>15</v>
      </c>
      <c r="B28" s="175" t="s">
        <v>527</v>
      </c>
      <c r="D28" s="692"/>
      <c r="I28" s="692"/>
    </row>
    <row r="29" spans="1:9" ht="12.5">
      <c r="A29" s="683"/>
      <c r="B29" s="176"/>
      <c r="D29" s="547"/>
      <c r="I29" s="692"/>
    </row>
    <row r="30" spans="1:9" ht="184.15" customHeight="1">
      <c r="A30" s="691">
        <v>16</v>
      </c>
      <c r="B30" s="688" t="s">
        <v>528</v>
      </c>
      <c r="C30" s="230"/>
      <c r="D30" s="693"/>
      <c r="E30" s="534"/>
      <c r="I30" s="692"/>
    </row>
    <row r="31" spans="1:9" ht="12.5">
      <c r="A31" s="691" t="s">
        <v>529</v>
      </c>
      <c r="B31" s="688" t="s">
        <v>530</v>
      </c>
      <c r="D31" s="540">
        <f>+D7</f>
        <v>29058</v>
      </c>
      <c r="I31" s="692"/>
    </row>
    <row r="32" spans="1:9" ht="12.5">
      <c r="A32" s="691" t="s">
        <v>531</v>
      </c>
      <c r="B32" s="688" t="s">
        <v>532</v>
      </c>
      <c r="D32" s="694"/>
      <c r="E32" s="535"/>
      <c r="I32" s="692"/>
    </row>
    <row r="33" spans="1:9" ht="12.5">
      <c r="A33" s="691" t="s">
        <v>533</v>
      </c>
      <c r="B33" s="688" t="s">
        <v>534</v>
      </c>
      <c r="D33" s="547">
        <f>D31-D32</f>
        <v>29058</v>
      </c>
      <c r="I33" s="692"/>
    </row>
    <row r="34" spans="1:9" ht="12.5">
      <c r="A34" s="691" t="s">
        <v>535</v>
      </c>
      <c r="B34" s="688" t="s">
        <v>536</v>
      </c>
      <c r="D34" s="547">
        <f>D33/2</f>
        <v>14529</v>
      </c>
      <c r="E34" s="535"/>
      <c r="I34" s="692"/>
    </row>
    <row r="35" spans="1:9" ht="37.5">
      <c r="A35" s="691" t="s">
        <v>537</v>
      </c>
      <c r="B35" s="688" t="s">
        <v>538</v>
      </c>
      <c r="D35" s="545"/>
      <c r="I35" s="692"/>
    </row>
    <row r="36" spans="1:9" s="530" customFormat="1" ht="12.5">
      <c r="A36" s="691" t="s">
        <v>539</v>
      </c>
      <c r="B36" s="689" t="s">
        <v>540</v>
      </c>
      <c r="C36" s="537"/>
      <c r="D36" s="555">
        <f>D34+D35</f>
        <v>14529</v>
      </c>
      <c r="I36" s="692"/>
    </row>
    <row r="37" spans="1:9" ht="12.5">
      <c r="A37" s="691" t="s">
        <v>541</v>
      </c>
      <c r="B37" s="689" t="s">
        <v>670</v>
      </c>
      <c r="D37" s="549">
        <f>D31-D36</f>
        <v>14529</v>
      </c>
      <c r="I37" s="692"/>
    </row>
    <row r="38" spans="1:9" s="530" customFormat="1" ht="62.5">
      <c r="A38" s="690">
        <v>18</v>
      </c>
      <c r="B38" s="515" t="s">
        <v>1</v>
      </c>
      <c r="D38" s="736"/>
      <c r="I38" s="692"/>
    </row>
    <row r="39" spans="1:9" ht="12.5">
      <c r="A39" s="171"/>
      <c r="D39" s="549"/>
      <c r="I39" s="692"/>
    </row>
    <row r="40" spans="1:9" ht="12.5">
      <c r="A40" s="171">
        <v>19</v>
      </c>
      <c r="B40" t="s">
        <v>43</v>
      </c>
      <c r="D40" s="546"/>
      <c r="I40" s="692"/>
    </row>
    <row r="41" spans="1:9" ht="12.5">
      <c r="A41" s="171"/>
      <c r="I41" s="692"/>
    </row>
    <row r="42" spans="1:9" ht="12.5">
      <c r="A42" s="171">
        <v>20</v>
      </c>
      <c r="B42" s="537" t="s">
        <v>42</v>
      </c>
      <c r="C42" t="s">
        <v>3</v>
      </c>
      <c r="D42" s="539">
        <f>D21+D38+D40</f>
        <v>130339</v>
      </c>
      <c r="I42" s="692"/>
    </row>
    <row r="43" spans="1:9" ht="12.5">
      <c r="A43" s="171"/>
      <c r="B43" s="537"/>
      <c r="I43" s="692"/>
    </row>
    <row r="44" spans="1:9" ht="12.5">
      <c r="A44" s="171"/>
      <c r="I44" s="692"/>
    </row>
    <row r="45" spans="1:9" ht="13">
      <c r="A45" s="171"/>
      <c r="B45" s="930" t="s">
        <v>823</v>
      </c>
      <c r="C45" s="2"/>
      <c r="D45" s="547"/>
      <c r="I45" s="692"/>
    </row>
    <row r="46" spans="1:4" ht="13">
      <c r="A46" s="887"/>
      <c r="B46" s="930" t="s">
        <v>822</v>
      </c>
      <c r="C46" s="2"/>
      <c r="D46" s="547"/>
    </row>
    <row r="47" spans="1:2" ht="13">
      <c r="A47" s="887"/>
      <c r="B47" s="528"/>
    </row>
    <row r="48" spans="1:2" ht="13">
      <c r="A48" s="171"/>
      <c r="B48" s="528"/>
    </row>
    <row r="49" spans="1:1" ht="12.5">
      <c r="A49" s="171"/>
    </row>
    <row r="50" spans="1:1" ht="12.5">
      <c r="A50" s="171"/>
    </row>
    <row r="51" spans="1:1" ht="12.5">
      <c r="A51" s="171"/>
    </row>
    <row r="52" spans="1:1" ht="12.5">
      <c r="A52" s="171"/>
    </row>
    <row r="53" spans="1:1" ht="12.5">
      <c r="A53" s="171"/>
    </row>
    <row r="54" spans="1:1" ht="12.5">
      <c r="A54" s="171"/>
    </row>
    <row r="55" spans="1:1" ht="12.5">
      <c r="A55" s="171"/>
    </row>
    <row r="56" spans="1:1" ht="12.5">
      <c r="A56" s="171"/>
    </row>
    <row r="57" spans="1:1" ht="12.5">
      <c r="A57" s="171"/>
    </row>
    <row r="58" spans="1:1" ht="12.5">
      <c r="A58" s="171"/>
    </row>
    <row r="59" spans="1:1" ht="12.5">
      <c r="A59" s="171"/>
    </row>
    <row r="60" spans="1:1" ht="12.5">
      <c r="A60" s="171"/>
    </row>
    <row r="61" spans="1:1" ht="12.5">
      <c r="A61" s="171"/>
    </row>
    <row r="62" spans="1:1" ht="12.5">
      <c r="A62" s="171"/>
    </row>
    <row r="63" spans="1:1" ht="12.5">
      <c r="A63" s="171"/>
    </row>
  </sheetData>
  <mergeCells count="2">
    <mergeCell ref="A3:D3"/>
    <mergeCell ref="A1:D1"/>
  </mergeCells>
  <printOptions horizontalCentered="1"/>
  <pageMargins left="0.5" right="0.5" top="1" bottom="1" header="0.5" footer="0.5"/>
  <pageSetup orientation="portrait" scale="67" r:id="rId1"/>
  <headerFooter alignWithMargins="0">
    <oddFooter>&amp;CPage &amp;P of 17</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I315"/>
  <sheetViews>
    <sheetView zoomScale="75" zoomScaleNormal="75" workbookViewId="0" topLeftCell="A1">
      <selection pane="topLeft" activeCell="O1" sqref="O1:O1048576"/>
    </sheetView>
  </sheetViews>
  <sheetFormatPr defaultRowHeight="12.5"/>
  <cols>
    <col min="1" max="1" width="9.28571428571429" bestFit="1" customWidth="1"/>
    <col min="2" max="2" width="3" customWidth="1"/>
    <col min="3" max="3" width="8.14285714285714" customWidth="1"/>
    <col min="4" max="4" width="38.7142857142857" customWidth="1"/>
    <col min="5" max="5" width="15.5714285714286" customWidth="1"/>
    <col min="6" max="6" width="34.2857142857143" bestFit="1" customWidth="1"/>
    <col min="7" max="7" width="28.4285714285714" bestFit="1" customWidth="1"/>
    <col min="8" max="8" width="3.85714285714286" customWidth="1"/>
    <col min="9" max="9" width="18" customWidth="1"/>
  </cols>
  <sheetData>
    <row r="1" spans="1:9" ht="18">
      <c r="A1" s="957" t="str">
        <f>+'ATT H'!A4</f>
        <v>UGI Utilities, Inc.</v>
      </c>
      <c r="B1" s="957"/>
      <c r="C1" s="957"/>
      <c r="D1" s="957"/>
      <c r="E1" s="957"/>
      <c r="F1" s="957"/>
      <c r="G1" s="957"/>
      <c r="H1" s="957"/>
      <c r="I1" s="957"/>
    </row>
    <row r="2" spans="1:9" ht="18">
      <c r="A2" s="199"/>
      <c r="B2" s="510"/>
      <c r="C2" s="510"/>
      <c r="D2" s="510"/>
      <c r="E2" s="510"/>
      <c r="F2" s="510"/>
      <c r="G2" s="510"/>
      <c r="I2" s="2"/>
    </row>
    <row r="3" spans="1:9" ht="18">
      <c r="A3" s="968" t="s">
        <v>510</v>
      </c>
      <c r="B3" s="968"/>
      <c r="C3" s="968"/>
      <c r="D3" s="968"/>
      <c r="E3" s="968"/>
      <c r="F3" s="968"/>
      <c r="G3" s="968"/>
      <c r="H3" s="968"/>
      <c r="I3" s="968"/>
    </row>
    <row r="4" ht="12.5"/>
    <row r="5" s="53" customFormat="1" ht="15.5"/>
    <row r="6" s="53" customFormat="1" ht="15.5"/>
    <row r="7" spans="3:3" s="53" customFormat="1" ht="15.5">
      <c r="C7" s="53" t="s">
        <v>511</v>
      </c>
    </row>
    <row r="8" spans="1:9" s="53" customFormat="1" ht="15.5">
      <c r="A8" s="80" t="s">
        <v>71</v>
      </c>
      <c r="B8" s="80"/>
      <c r="D8" s="53" t="s">
        <v>509</v>
      </c>
      <c r="G8" s="53" t="str">
        <f>"(Line "&amp;A55&amp;" + Line "&amp;A76&amp;")"</f>
        <v>(Line 126 + Line 141)</v>
      </c>
      <c r="I8" s="113">
        <f>+I55+I76</f>
        <v>4605420.8046665229</v>
      </c>
    </row>
    <row r="9" spans="1:2" s="53" customFormat="1" ht="15.5">
      <c r="A9" s="80"/>
      <c r="B9" s="80"/>
    </row>
    <row r="10" spans="1:9" s="53" customFormat="1" ht="15.5">
      <c r="A10" s="80" t="s">
        <v>174</v>
      </c>
      <c r="B10" s="80"/>
      <c r="D10" s="53" t="str">
        <f>I10*10000&amp;" Basis Point increase in ROE"</f>
        <v>100 Basis Point increase in ROE</v>
      </c>
      <c r="I10" s="214">
        <v>0.01</v>
      </c>
    </row>
    <row r="11" spans="1:9" s="53" customFormat="1" ht="15.5">
      <c r="A11" s="80"/>
      <c r="B11" s="80"/>
      <c r="I11" s="214"/>
    </row>
    <row r="12" spans="1:8" s="57" customFormat="1" ht="15.5">
      <c r="A12" s="80"/>
      <c r="B12" s="80"/>
      <c r="C12" s="53"/>
      <c r="D12" s="53"/>
      <c r="E12" s="53"/>
      <c r="F12" s="53"/>
      <c r="G12" s="53"/>
      <c r="H12" s="53"/>
    </row>
    <row r="13" spans="1:9" s="57" customFormat="1" ht="15.5">
      <c r="A13" s="493" t="s">
        <v>431</v>
      </c>
      <c r="B13" s="96"/>
      <c r="C13" s="96"/>
      <c r="D13" s="96"/>
      <c r="E13" s="96"/>
      <c r="F13" s="96"/>
      <c r="G13" s="96"/>
      <c r="H13" s="96"/>
      <c r="I13" s="96"/>
    </row>
    <row r="14" spans="9:9" s="53" customFormat="1" ht="15.5">
      <c r="I14" s="213"/>
    </row>
    <row r="15" spans="1:9" s="53" customFormat="1" ht="15.5">
      <c r="A15" s="80">
        <f>+'ATT H'!A104</f>
        <v>59</v>
      </c>
      <c r="C15" s="63" t="str">
        <f>+'ATT H'!B104</f>
        <v>Rate Base</v>
      </c>
      <c r="D15" s="63"/>
      <c r="F15" s="63"/>
      <c r="G15" s="63" t="str">
        <f>+'ATT H'!F104</f>
        <v>(Line 39 + Line 58)</v>
      </c>
      <c r="H15" s="63"/>
      <c r="I15" s="113">
        <f>+'ATT H'!H104</f>
        <v>40397900.280969083</v>
      </c>
    </row>
    <row r="16" spans="7:9" s="53" customFormat="1" ht="15.5">
      <c r="G16" s="63"/>
      <c r="I16" s="213"/>
    </row>
    <row r="17" spans="7:7" s="53" customFormat="1" ht="15.5">
      <c r="G17" s="63"/>
    </row>
    <row r="18" spans="1:8" s="53" customFormat="1" ht="15.5">
      <c r="A18" s="27"/>
      <c r="B18" s="63"/>
      <c r="C18" s="119" t="str">
        <f>'ATT H'!B169</f>
        <v>Long Term Interest</v>
      </c>
      <c r="D18" s="74"/>
      <c r="E18" s="37"/>
      <c r="F18" s="30"/>
      <c r="G18" s="405"/>
      <c r="H18" s="23"/>
    </row>
    <row r="19" spans="1:9" s="53" customFormat="1" ht="15.5">
      <c r="A19" s="27">
        <f>'ATT H'!A170</f>
        <v>99</v>
      </c>
      <c r="B19" s="63"/>
      <c r="C19" s="63"/>
      <c r="D19" s="74" t="str">
        <f>'ATT H'!C170</f>
        <v>Long Term Interest</v>
      </c>
      <c r="E19" s="37"/>
      <c r="F19" s="30"/>
      <c r="G19" s="405" t="str">
        <f>'ATT H'!F170</f>
        <v>p117.62.c through 67.c</v>
      </c>
      <c r="H19" s="23"/>
      <c r="I19" s="45">
        <f>+'ATT H'!H170</f>
        <v>51385335</v>
      </c>
    </row>
    <row r="20" spans="1:9" s="53" customFormat="1" ht="15.5">
      <c r="A20" s="6">
        <f>'ATT H'!A171</f>
        <v>100</v>
      </c>
      <c r="B20" s="63"/>
      <c r="C20" s="63"/>
      <c r="D20" s="54" t="str">
        <f>'ATT H'!C171</f>
        <v xml:space="preserve">    Less LTD Interest on Securitization Bonds</v>
      </c>
      <c r="E20" s="208"/>
      <c r="F20" s="209"/>
      <c r="G20" s="406" t="str">
        <f>'ATT H'!F171</f>
        <v>Attachment 8</v>
      </c>
      <c r="H20" s="90"/>
      <c r="I20" s="92">
        <f>+'ATT H'!H171</f>
        <v>0</v>
      </c>
    </row>
    <row r="21" spans="1:9" s="53" customFormat="1" ht="15.5">
      <c r="A21" s="6">
        <f>'ATT H'!A172</f>
        <v>101</v>
      </c>
      <c r="B21" s="63"/>
      <c r="C21" s="63"/>
      <c r="D21" s="54" t="str">
        <f>'ATT H'!C172</f>
        <v>Long Term Interest</v>
      </c>
      <c r="E21" s="37"/>
      <c r="F21" s="74"/>
      <c r="G21" s="407" t="str">
        <f>'ATT H'!F172</f>
        <v>(Line 99 - Line 100)</v>
      </c>
      <c r="H21" s="23"/>
      <c r="I21" s="23">
        <f>+I19-I20</f>
        <v>51385335</v>
      </c>
    </row>
    <row r="22" spans="1:9" s="53" customFormat="1" ht="15.5">
      <c r="A22" s="6"/>
      <c r="B22" s="63"/>
      <c r="C22" s="4"/>
      <c r="D22" s="54"/>
      <c r="E22" s="8"/>
      <c r="F22" s="5"/>
      <c r="G22" s="200"/>
      <c r="H22" s="5"/>
      <c r="I22" s="9"/>
    </row>
    <row r="23" spans="1:9" s="53" customFormat="1" ht="15.5">
      <c r="A23" s="29">
        <f>'ATT H'!A174</f>
        <v>102</v>
      </c>
      <c r="B23" s="63"/>
      <c r="C23" s="63" t="str">
        <f>'ATT H'!B174</f>
        <v>Preferred Dividends</v>
      </c>
      <c r="D23" s="404"/>
      <c r="E23" s="8" t="str">
        <f>'ATT H'!E174</f>
        <v xml:space="preserve"> enter positive</v>
      </c>
      <c r="F23" s="30"/>
      <c r="G23" s="122" t="str">
        <f>'ATT H'!F174</f>
        <v>p118.29.c</v>
      </c>
      <c r="H23" s="5"/>
      <c r="I23" s="45">
        <f>+'ATT H'!H174</f>
        <v>0</v>
      </c>
    </row>
    <row r="24" spans="1:9" s="53" customFormat="1" ht="15.5">
      <c r="A24" s="6"/>
      <c r="B24" s="63"/>
      <c r="C24" s="4"/>
      <c r="D24" s="54"/>
      <c r="E24" s="8"/>
      <c r="F24" s="3"/>
      <c r="G24" s="122"/>
      <c r="H24" s="5"/>
      <c r="I24" s="9"/>
    </row>
    <row r="25" spans="1:9" s="53" customFormat="1" ht="15.5">
      <c r="A25" s="6"/>
      <c r="B25" s="63"/>
      <c r="C25" s="4" t="str">
        <f>'ATT H'!B176</f>
        <v>Common Stock</v>
      </c>
      <c r="D25" s="86"/>
      <c r="E25" s="8"/>
      <c r="F25" s="30"/>
      <c r="G25" s="122"/>
      <c r="H25" s="5"/>
      <c r="I25" s="9"/>
    </row>
    <row r="26" spans="1:9" s="53" customFormat="1" ht="15.5">
      <c r="A26" s="6">
        <f>'ATT H'!A177</f>
        <v>103</v>
      </c>
      <c r="B26" s="63"/>
      <c r="C26" s="63"/>
      <c r="D26" s="54" t="str">
        <f>'ATT H'!C177</f>
        <v>Proprietary Capital</v>
      </c>
      <c r="E26" s="5"/>
      <c r="F26" s="5"/>
      <c r="G26" s="122" t="str">
        <f>'ATT H'!F177</f>
        <v>p112.16.c</v>
      </c>
      <c r="H26" s="5"/>
      <c r="I26" s="45">
        <f>+'ATT H'!H177</f>
        <v>1297408970</v>
      </c>
    </row>
    <row r="27" spans="1:9" s="53" customFormat="1" ht="15.5">
      <c r="A27" s="27">
        <f>'ATT H'!A178</f>
        <v>104</v>
      </c>
      <c r="B27" s="63"/>
      <c r="C27" s="63"/>
      <c r="D27" s="55" t="str">
        <f>'ATT H'!C178</f>
        <v xml:space="preserve">    Less Preferred Stock</v>
      </c>
      <c r="E27" s="9" t="str">
        <f>'ATT H'!E178</f>
        <v>enter negative</v>
      </c>
      <c r="F27" s="9"/>
      <c r="G27" s="408" t="str">
        <f>'ATT H'!F178</f>
        <v>(Line 113)</v>
      </c>
      <c r="H27" s="5"/>
      <c r="I27" s="9">
        <f>-I38</f>
        <v>0</v>
      </c>
    </row>
    <row r="28" spans="1:9" s="53" customFormat="1" ht="15.5">
      <c r="A28" s="6">
        <f>'ATT H'!A179</f>
        <v>105</v>
      </c>
      <c r="B28" s="63"/>
      <c r="C28" s="63"/>
      <c r="D28" s="55" t="str">
        <f>'ATT H'!C179</f>
        <v xml:space="preserve">    Plus Securitization Adjustment</v>
      </c>
      <c r="E28" s="26">
        <f>'ATT H'!E179</f>
        <v>0</v>
      </c>
      <c r="F28" s="9"/>
      <c r="G28" s="122" t="str">
        <f>'ATT H'!F179</f>
        <v>Company Exhibit</v>
      </c>
      <c r="H28" s="5"/>
      <c r="I28" s="46">
        <f>+'ATT H'!H179</f>
        <v>0</v>
      </c>
    </row>
    <row r="29" spans="1:9" s="53" customFormat="1" ht="15.5">
      <c r="A29" s="6">
        <f>'ATT H'!A180</f>
        <v>105</v>
      </c>
      <c r="B29" s="63"/>
      <c r="C29" s="63"/>
      <c r="D29" s="55" t="str">
        <f>'ATT H'!C180</f>
        <v xml:space="preserve">    Less Account 216.1</v>
      </c>
      <c r="E29" s="92" t="str">
        <f>'ATT H'!E180</f>
        <v>enter negative</v>
      </c>
      <c r="F29" s="92"/>
      <c r="G29" s="409" t="str">
        <f>'ATT H'!F180</f>
        <v>p112.12.c</v>
      </c>
      <c r="H29" s="90"/>
      <c r="I29" s="92">
        <f>+'ATT H'!H180</f>
        <v>-1287860</v>
      </c>
    </row>
    <row r="30" spans="1:9" s="53" customFormat="1" ht="15.5">
      <c r="A30" s="6">
        <f>'ATT H'!A181</f>
        <v>106</v>
      </c>
      <c r="B30" s="63"/>
      <c r="C30" s="63"/>
      <c r="D30" s="55" t="str">
        <f>'ATT H'!C181</f>
        <v>Common Stock</v>
      </c>
      <c r="E30" s="45"/>
      <c r="F30" s="100"/>
      <c r="G30" s="410" t="str">
        <f>'ATT H'!F181</f>
        <v>(Sum Lines 103 to 105)</v>
      </c>
      <c r="H30" s="97"/>
      <c r="I30" s="9">
        <f>+I26+I27+I29+I28</f>
        <v>1296121110</v>
      </c>
    </row>
    <row r="31" spans="1:9" s="53" customFormat="1" ht="15.5">
      <c r="A31" s="6"/>
      <c r="B31" s="63"/>
      <c r="C31" s="4"/>
      <c r="D31" s="54"/>
      <c r="E31" s="8"/>
      <c r="F31" s="3"/>
      <c r="G31" s="122"/>
      <c r="H31" s="30"/>
      <c r="I31" s="9"/>
    </row>
    <row r="32" spans="1:9" s="53" customFormat="1" ht="15.5">
      <c r="A32" s="6"/>
      <c r="B32" s="63"/>
      <c r="C32" s="4" t="str">
        <f>'ATT H'!B183</f>
        <v>Capitalization</v>
      </c>
      <c r="D32" s="86"/>
      <c r="E32" s="8"/>
      <c r="F32" s="30"/>
      <c r="G32" s="122"/>
      <c r="H32" s="30"/>
      <c r="I32" s="9"/>
    </row>
    <row r="33" spans="1:9" s="53" customFormat="1" ht="15.5">
      <c r="A33" s="6">
        <f>'ATT H'!A184</f>
        <v>107</v>
      </c>
      <c r="B33" s="63"/>
      <c r="C33" s="63"/>
      <c r="D33" s="54" t="str">
        <f>'ATT H'!C184</f>
        <v>Long Term Debt</v>
      </c>
      <c r="E33" s="8"/>
      <c r="F33" s="3"/>
      <c r="G33" s="4" t="str">
        <f>'ATT H'!F184</f>
        <v>p112.18.c through 21.c</v>
      </c>
      <c r="H33" s="30"/>
      <c r="I33" s="45">
        <f>+'ATT H'!H184</f>
        <v>1121250000</v>
      </c>
    </row>
    <row r="34" spans="1:9" s="53" customFormat="1" ht="15.5">
      <c r="A34" s="27">
        <f>'ATT H'!A185</f>
        <v>108</v>
      </c>
      <c r="B34" s="63"/>
      <c r="C34" s="63"/>
      <c r="D34" s="54" t="str">
        <f>'ATT H'!C185</f>
        <v xml:space="preserve">      Less Loss on Reacquired Debt </v>
      </c>
      <c r="E34" s="8" t="str">
        <f>'ATT H'!E185</f>
        <v>enter negative</v>
      </c>
      <c r="F34" s="3"/>
      <c r="G34" s="122" t="str">
        <f>'ATT H'!F185</f>
        <v>p111.81.c</v>
      </c>
      <c r="H34" s="30"/>
      <c r="I34" s="45">
        <f>+'ATT H'!H185</f>
        <v>0</v>
      </c>
    </row>
    <row r="35" spans="1:9" s="53" customFormat="1" ht="15.5">
      <c r="A35" s="27">
        <f>'ATT H'!A186</f>
        <v>109</v>
      </c>
      <c r="B35" s="63"/>
      <c r="C35" s="63"/>
      <c r="D35" s="54" t="str">
        <f>'ATT H'!C186</f>
        <v xml:space="preserve">      Plus Gain on Reacquired Debt</v>
      </c>
      <c r="E35" s="8" t="str">
        <f>'ATT H'!E186</f>
        <v>enter positive</v>
      </c>
      <c r="F35" s="3"/>
      <c r="G35" s="4" t="str">
        <f>'ATT H'!F186</f>
        <v>p113.61.c</v>
      </c>
      <c r="H35" s="30"/>
      <c r="I35" s="45">
        <f>+'ATT H'!H186</f>
        <v>0</v>
      </c>
    </row>
    <row r="36" spans="1:9" s="53" customFormat="1" ht="15.5">
      <c r="A36" s="6">
        <f>'ATT H'!A188</f>
        <v>111</v>
      </c>
      <c r="B36" s="63"/>
      <c r="C36" s="63"/>
      <c r="D36" s="54" t="str">
        <f>'ATT H'!C188</f>
        <v xml:space="preserve">      Less LTD on Securitization Bonds</v>
      </c>
      <c r="E36" s="34" t="str">
        <f>'ATT H'!E188</f>
        <v>enter negative</v>
      </c>
      <c r="F36" s="34"/>
      <c r="G36" s="122" t="str">
        <f>'ATT H'!F188</f>
        <v>Attachment 8</v>
      </c>
      <c r="H36" s="30"/>
      <c r="I36" s="45">
        <f>+'ATT H'!H188</f>
        <v>0</v>
      </c>
    </row>
    <row r="37" spans="1:9" s="53" customFormat="1" ht="15.5">
      <c r="A37" s="6">
        <f>'ATT H'!A189</f>
        <v>112</v>
      </c>
      <c r="B37" s="63"/>
      <c r="C37" s="63"/>
      <c r="D37" s="55" t="str">
        <f>'ATT H'!C189</f>
        <v>Total Long Term Debt</v>
      </c>
      <c r="E37" s="89"/>
      <c r="F37" s="50"/>
      <c r="G37" s="411" t="str">
        <f>'ATT H'!F189</f>
        <v>(Sum Lines 107 to 111)</v>
      </c>
      <c r="H37" s="58"/>
      <c r="I37" s="59">
        <f>SUM(I33:I36)</f>
        <v>1121250000</v>
      </c>
    </row>
    <row r="38" spans="1:9" s="53" customFormat="1" ht="15.5">
      <c r="A38" s="6">
        <f>'ATT H'!A190</f>
        <v>113</v>
      </c>
      <c r="B38" s="63"/>
      <c r="C38" s="63"/>
      <c r="D38" s="54" t="str">
        <f>'ATT H'!C190</f>
        <v>Preferred Stock</v>
      </c>
      <c r="E38" s="8"/>
      <c r="F38" s="3"/>
      <c r="G38" s="4" t="str">
        <f>'ATT H'!F190</f>
        <v>p112.3.c</v>
      </c>
      <c r="H38" s="30"/>
      <c r="I38" s="45">
        <f>+'ATT H'!H190</f>
        <v>0</v>
      </c>
    </row>
    <row r="39" spans="1:9" s="53" customFormat="1" ht="15.5">
      <c r="A39" s="6">
        <f>'ATT H'!A191</f>
        <v>114</v>
      </c>
      <c r="B39" s="63"/>
      <c r="C39" s="63"/>
      <c r="D39" s="54" t="str">
        <f>'ATT H'!C191</f>
        <v>Common Stock</v>
      </c>
      <c r="E39" s="30"/>
      <c r="F39" s="3"/>
      <c r="G39" s="63" t="str">
        <f>'ATT H'!F191</f>
        <v>(Line 106)</v>
      </c>
      <c r="H39" s="30"/>
      <c r="I39" s="45">
        <f>I30</f>
        <v>1296121110</v>
      </c>
    </row>
    <row r="40" spans="1:9" s="53" customFormat="1" ht="15.5">
      <c r="A40" s="6">
        <f>'ATT H'!A192</f>
        <v>115</v>
      </c>
      <c r="B40" s="63"/>
      <c r="C40" s="63"/>
      <c r="D40" s="54" t="str">
        <f>'ATT H'!C192</f>
        <v>Total  Capitalization</v>
      </c>
      <c r="E40" s="60"/>
      <c r="F40" s="77"/>
      <c r="G40" s="412" t="str">
        <f>'ATT H'!F192</f>
        <v>(Sum Lines 112 to 114)</v>
      </c>
      <c r="H40" s="33"/>
      <c r="I40" s="59">
        <f>I39+I38+I37</f>
        <v>2417371110</v>
      </c>
    </row>
    <row r="41" spans="1:9" s="53" customFormat="1" ht="15.5">
      <c r="A41" s="6"/>
      <c r="B41" s="63"/>
      <c r="C41" s="63"/>
      <c r="D41" s="54"/>
      <c r="E41" s="30"/>
      <c r="F41" s="3"/>
      <c r="G41" s="63"/>
      <c r="H41" s="5"/>
      <c r="I41" s="26"/>
    </row>
    <row r="42" spans="1:9" s="53" customFormat="1" ht="15.5">
      <c r="A42" s="66">
        <f>'ATT H'!A194</f>
        <v>116</v>
      </c>
      <c r="B42" s="63"/>
      <c r="C42" s="63"/>
      <c r="D42" s="54" t="str">
        <f>'ATT H'!C194</f>
        <v>Debt %</v>
      </c>
      <c r="E42" s="49"/>
      <c r="F42" s="121" t="str">
        <f>'ATT H'!D194</f>
        <v>Total Long Term Debt</v>
      </c>
      <c r="G42" s="63" t="str">
        <f>'ATT H'!F194</f>
        <v>(Line 112 / Line 115)</v>
      </c>
      <c r="H42" s="5"/>
      <c r="I42" s="680">
        <f>IF(I40&gt;0,I37/I40,0)</f>
        <v>0.46383031358391635</v>
      </c>
    </row>
    <row r="43" spans="1:9" s="53" customFormat="1" ht="15.5">
      <c r="A43" s="27">
        <f>'ATT H'!A195</f>
        <v>117</v>
      </c>
      <c r="B43" s="63"/>
      <c r="C43" s="63"/>
      <c r="D43" s="54" t="str">
        <f>'ATT H'!C195</f>
        <v>Preferred %</v>
      </c>
      <c r="E43" s="3"/>
      <c r="F43" s="121" t="str">
        <f>'ATT H'!D195</f>
        <v>Preferred Stock</v>
      </c>
      <c r="G43" s="63" t="str">
        <f>'ATT H'!F195</f>
        <v>(Line 113 / Line 115)</v>
      </c>
      <c r="H43" s="5"/>
      <c r="I43" s="680">
        <f>IF(I40&gt;0,I38/I40,0)</f>
        <v>0</v>
      </c>
    </row>
    <row r="44" spans="1:9" s="53" customFormat="1" ht="15.5">
      <c r="A44" s="27">
        <f>'ATT H'!A196</f>
        <v>118</v>
      </c>
      <c r="B44" s="63"/>
      <c r="C44" s="63"/>
      <c r="D44" s="54" t="str">
        <f>'ATT H'!C196</f>
        <v>Common %</v>
      </c>
      <c r="E44" s="3"/>
      <c r="F44" s="121" t="str">
        <f>'ATT H'!D196</f>
        <v>Common Stock</v>
      </c>
      <c r="G44" s="63" t="str">
        <f>'ATT H'!F196</f>
        <v>(Line 114 / Line 115)</v>
      </c>
      <c r="H44" s="5"/>
      <c r="I44" s="680">
        <f>IF(I40&gt;0,I39/I40,0)</f>
        <v>0.53616968641608365</v>
      </c>
    </row>
    <row r="45" spans="1:9" s="53" customFormat="1" ht="15.5">
      <c r="A45" s="27"/>
      <c r="B45" s="63"/>
      <c r="C45" s="63"/>
      <c r="D45" s="54"/>
      <c r="E45" s="30"/>
      <c r="F45" s="122"/>
      <c r="G45" s="63"/>
      <c r="H45" s="5"/>
      <c r="I45" s="26"/>
    </row>
    <row r="46" spans="1:9" s="53" customFormat="1" ht="15.5">
      <c r="A46" s="66">
        <f>'ATT H'!A198</f>
        <v>119</v>
      </c>
      <c r="B46" s="63"/>
      <c r="C46" s="63"/>
      <c r="D46" s="54" t="str">
        <f>'ATT H'!C198</f>
        <v>Debt Cost</v>
      </c>
      <c r="E46" s="49"/>
      <c r="F46" s="122" t="str">
        <f>'ATT H'!D198</f>
        <v>Total Long Term Debt</v>
      </c>
      <c r="G46" s="63" t="str">
        <f>'ATT H'!F198</f>
        <v>(Line 101 / Line 112)</v>
      </c>
      <c r="H46" s="5"/>
      <c r="I46" s="674">
        <f>IF(I37&gt;0,I21/I37,0)</f>
        <v>0.045828615384615384</v>
      </c>
    </row>
    <row r="47" spans="1:9" s="53" customFormat="1" ht="15.5">
      <c r="A47" s="27">
        <f>'ATT H'!A199</f>
        <v>120</v>
      </c>
      <c r="B47" s="63"/>
      <c r="C47" s="63"/>
      <c r="D47" s="54" t="str">
        <f>'ATT H'!C199</f>
        <v>Preferred Cost</v>
      </c>
      <c r="E47" s="3"/>
      <c r="F47" s="122" t="str">
        <f>'ATT H'!D199</f>
        <v>Preferred Stock</v>
      </c>
      <c r="G47" s="63" t="str">
        <f>'ATT H'!F199</f>
        <v>(Line 102 / Line 113)</v>
      </c>
      <c r="H47" s="5"/>
      <c r="I47" s="674">
        <f>IF(I38&gt;0,I23/I38,0)</f>
        <v>0</v>
      </c>
    </row>
    <row r="48" spans="1:9" s="53" customFormat="1" ht="15.5">
      <c r="A48" s="27">
        <f>'ATT H'!A200</f>
        <v>121</v>
      </c>
      <c r="B48" s="63"/>
      <c r="C48" s="63"/>
      <c r="D48" s="54" t="str">
        <f>'ATT H'!C200</f>
        <v>Common Cost</v>
      </c>
      <c r="E48" s="3" t="str">
        <f>'ATT H'!E200</f>
        <v>(Note J)</v>
      </c>
      <c r="F48" s="122" t="str">
        <f>'ATT H'!D200</f>
        <v>Common Stock</v>
      </c>
      <c r="G48" s="413" t="s">
        <v>415</v>
      </c>
      <c r="H48" s="5"/>
      <c r="I48" s="675">
        <f>'ATT H'!H200+0.01</f>
        <v>0.123</v>
      </c>
    </row>
    <row r="49" spans="1:9" s="53" customFormat="1" ht="15.5">
      <c r="A49" s="27"/>
      <c r="B49" s="63"/>
      <c r="C49" s="63"/>
      <c r="D49" s="54"/>
      <c r="E49" s="30"/>
      <c r="F49" s="122"/>
      <c r="G49" s="63"/>
      <c r="H49" s="5"/>
      <c r="I49" s="56"/>
    </row>
    <row r="50" spans="1:9" s="53" customFormat="1" ht="15.5">
      <c r="A50" s="66">
        <f>'ATT H'!A202</f>
        <v>122</v>
      </c>
      <c r="B50" s="63"/>
      <c r="C50" s="63"/>
      <c r="D50" s="54" t="str">
        <f>'ATT H'!C202</f>
        <v>Weighted Cost of Debt</v>
      </c>
      <c r="E50" s="49"/>
      <c r="F50" s="121" t="str">
        <f>'ATT H'!D202</f>
        <v>Total Long Term Debt (WCLTD)</v>
      </c>
      <c r="G50" s="63" t="str">
        <f>'ATT H'!F202</f>
        <v>(Line 116 * Line 119)</v>
      </c>
      <c r="H50" s="28"/>
      <c r="I50" s="674">
        <f>I46*I42</f>
        <v>0.021256701044962849</v>
      </c>
    </row>
    <row r="51" spans="1:9" s="53" customFormat="1" ht="15.5">
      <c r="A51" s="27">
        <f>'ATT H'!A203</f>
        <v>123</v>
      </c>
      <c r="B51" s="63"/>
      <c r="C51" s="63"/>
      <c r="D51" s="54" t="str">
        <f>'ATT H'!C203</f>
        <v>Weighted Cost of Preferred</v>
      </c>
      <c r="E51" s="3"/>
      <c r="F51" s="121" t="str">
        <f>'ATT H'!D203</f>
        <v>Preferred Stock</v>
      </c>
      <c r="G51" s="63" t="str">
        <f>'ATT H'!F203</f>
        <v>(Line 117 * Line 120)</v>
      </c>
      <c r="H51" s="65"/>
      <c r="I51" s="674">
        <f>I47*I43</f>
        <v>0</v>
      </c>
    </row>
    <row r="52" spans="1:9" s="53" customFormat="1" ht="15.5">
      <c r="A52" s="27">
        <f>'ATT H'!A204</f>
        <v>124</v>
      </c>
      <c r="B52" s="63"/>
      <c r="C52" s="63"/>
      <c r="D52" s="84" t="str">
        <f>'ATT H'!C204</f>
        <v>Weighted Cost of Common</v>
      </c>
      <c r="E52" s="127"/>
      <c r="F52" s="126" t="str">
        <f>'ATT H'!D204</f>
        <v>Common Stock</v>
      </c>
      <c r="G52" s="414" t="str">
        <f>'ATT H'!F204</f>
        <v>(Line 118 * Line 121)</v>
      </c>
      <c r="H52" s="91"/>
      <c r="I52" s="676">
        <f>I48*I44</f>
        <v>0.065948871429178282</v>
      </c>
    </row>
    <row r="53" spans="1:9" s="53" customFormat="1" ht="15.5">
      <c r="A53" s="6">
        <f>'ATT H'!A205</f>
        <v>125</v>
      </c>
      <c r="B53" s="63"/>
      <c r="C53" s="63" t="str">
        <f>'ATT H'!B205</f>
        <v>Total Return ( R )</v>
      </c>
      <c r="D53" s="63"/>
      <c r="E53" s="98"/>
      <c r="F53" s="73"/>
      <c r="G53" s="415" t="str">
        <f>'ATT H'!F205</f>
        <v>(Sum Lines 122 to 124)</v>
      </c>
      <c r="H53" s="75"/>
      <c r="I53" s="677">
        <f>SUM(I50:I52)</f>
        <v>0.087205572474141124</v>
      </c>
    </row>
    <row r="54" spans="1:9" s="53" customFormat="1" ht="15.5">
      <c r="A54" s="10"/>
      <c r="B54" s="63"/>
      <c r="C54" s="63"/>
      <c r="D54" s="63"/>
      <c r="E54" s="98"/>
      <c r="F54" s="73"/>
      <c r="G54" s="415"/>
      <c r="H54" s="75"/>
      <c r="I54" s="677"/>
    </row>
    <row r="55" spans="1:9" s="53" customFormat="1" ht="16" thickBot="1">
      <c r="A55" s="29">
        <f>'ATT H'!A207</f>
        <v>126</v>
      </c>
      <c r="B55" s="63"/>
      <c r="C55" s="63" t="str">
        <f>'ATT H'!B207</f>
        <v>Investment Return = Rate Base * Rate of Return</v>
      </c>
      <c r="D55" s="63"/>
      <c r="E55" s="87"/>
      <c r="F55" s="88"/>
      <c r="G55" s="416" t="str">
        <f>'ATT H'!F207</f>
        <v>(Line 59 * Line 125)</v>
      </c>
      <c r="H55" s="94"/>
      <c r="I55" s="678">
        <f>+I53*I15</f>
        <v>3522922.0207551755</v>
      </c>
    </row>
    <row r="56" spans="1:9" s="53" customFormat="1" ht="16" thickTop="1">
      <c r="A56" s="6"/>
      <c r="B56" s="6"/>
      <c r="C56" s="29"/>
      <c r="D56" s="3"/>
      <c r="E56" s="30"/>
      <c r="F56" s="80"/>
      <c r="G56" s="5"/>
      <c r="H56" s="5"/>
      <c r="I56" s="674"/>
    </row>
    <row r="57" spans="1:9" s="53" customFormat="1" ht="15.5">
      <c r="A57" s="614" t="s">
        <v>373</v>
      </c>
      <c r="B57" s="615"/>
      <c r="C57" s="616"/>
      <c r="D57" s="617"/>
      <c r="E57" s="388"/>
      <c r="F57" s="566"/>
      <c r="G57" s="566"/>
      <c r="H57" s="564"/>
      <c r="I57" s="566"/>
    </row>
    <row r="58" spans="1:9" s="53" customFormat="1" ht="15.5">
      <c r="A58" s="55"/>
      <c r="B58" s="55"/>
      <c r="C58" s="29"/>
      <c r="D58" s="22"/>
      <c r="E58" s="56"/>
      <c r="F58" s="18"/>
      <c r="G58" s="30"/>
      <c r="H58" s="30"/>
      <c r="I58" s="679"/>
    </row>
    <row r="59" spans="1:9" s="53" customFormat="1" ht="15.5">
      <c r="A59" s="29" t="s">
        <v>69</v>
      </c>
      <c r="B59" s="29"/>
      <c r="C59" s="102" t="s">
        <v>138</v>
      </c>
      <c r="D59" s="30"/>
      <c r="E59" s="30"/>
      <c r="F59" s="18"/>
      <c r="G59" s="5"/>
      <c r="H59" s="15"/>
      <c r="I59" s="56"/>
    </row>
    <row r="60" spans="1:9" s="53" customFormat="1" ht="15.5">
      <c r="A60" s="29">
        <f>'ATT H'!A212</f>
        <v>127</v>
      </c>
      <c r="B60" s="80"/>
      <c r="C60" s="29"/>
      <c r="D60" s="30" t="s">
        <v>136</v>
      </c>
      <c r="E60" s="30"/>
      <c r="F60" s="80"/>
      <c r="G60" s="228"/>
      <c r="H60" s="31"/>
      <c r="I60" s="681">
        <f>'ATT H'!H212</f>
        <v>0.20999999999999999</v>
      </c>
    </row>
    <row r="61" spans="1:9" s="53" customFormat="1" ht="15.5">
      <c r="A61" s="29">
        <f>'ATT H'!A213</f>
        <v>128</v>
      </c>
      <c r="B61" s="80"/>
      <c r="C61" s="29"/>
      <c r="D61" s="31" t="s">
        <v>135</v>
      </c>
      <c r="E61" s="20"/>
      <c r="F61" s="80"/>
      <c r="G61" s="228"/>
      <c r="H61" s="31"/>
      <c r="I61" s="681">
        <f>'ATT H'!H213</f>
        <v>0.099900000000000003</v>
      </c>
    </row>
    <row r="62" spans="1:9" s="53" customFormat="1" ht="15.5">
      <c r="A62" s="29">
        <f>'ATT H'!A214</f>
        <v>129</v>
      </c>
      <c r="B62" s="80"/>
      <c r="C62" s="29"/>
      <c r="D62" s="31" t="s">
        <v>328</v>
      </c>
      <c r="E62" s="31"/>
      <c r="F62" s="80"/>
      <c r="G62" s="228"/>
      <c r="H62" s="31"/>
      <c r="I62" s="681">
        <v>0</v>
      </c>
    </row>
    <row r="63" spans="1:9" s="53" customFormat="1" ht="15.5">
      <c r="A63" s="29">
        <f>'ATT H'!A215</f>
        <v>130</v>
      </c>
      <c r="B63" s="80"/>
      <c r="C63" s="29"/>
      <c r="D63" s="31" t="s">
        <v>199</v>
      </c>
      <c r="E63" s="14" t="s">
        <v>214</v>
      </c>
      <c r="F63" s="80"/>
      <c r="H63" s="31"/>
      <c r="I63" s="16">
        <f>IF(I60&gt;0,1-(((1-I61)*(1-I60))/(1-I61*I60*I62)),0)</f>
        <v>0.28892099999999998</v>
      </c>
    </row>
    <row r="64" spans="1:9" s="53" customFormat="1" ht="15.5">
      <c r="A64" s="29">
        <f>'ATT H'!A216</f>
        <v>131</v>
      </c>
      <c r="B64" s="80"/>
      <c r="C64" s="29"/>
      <c r="D64" s="31" t="s">
        <v>189</v>
      </c>
      <c r="E64" s="20"/>
      <c r="F64" s="80"/>
      <c r="G64" s="30"/>
      <c r="H64" s="31"/>
      <c r="I64" s="681">
        <f>+I63/(1-I63)</f>
        <v>0.40631350384415793</v>
      </c>
    </row>
    <row r="65" spans="1:9" s="53" customFormat="1" ht="15.5">
      <c r="A65" s="29"/>
      <c r="B65" s="29"/>
      <c r="C65" s="29"/>
      <c r="D65" s="30"/>
      <c r="E65" s="30"/>
      <c r="F65" s="13"/>
      <c r="G65" s="14"/>
      <c r="H65" s="15"/>
      <c r="I65" s="16"/>
    </row>
    <row r="66" spans="1:9" s="53" customFormat="1" ht="15.5">
      <c r="A66" s="29"/>
      <c r="B66" s="29"/>
      <c r="C66" s="102" t="s">
        <v>133</v>
      </c>
      <c r="D66" s="3"/>
      <c r="E66" s="30"/>
      <c r="F66" s="18"/>
      <c r="G66" s="5"/>
      <c r="H66" s="15"/>
      <c r="I66" s="114"/>
    </row>
    <row r="67" spans="1:9" s="53" customFormat="1" ht="15.5">
      <c r="A67" s="29">
        <f>'ATT H'!A219</f>
        <v>132</v>
      </c>
      <c r="B67" s="80"/>
      <c r="C67" s="29"/>
      <c r="D67" s="3" t="s">
        <v>180</v>
      </c>
      <c r="E67" s="30"/>
      <c r="F67" s="26" t="s">
        <v>197</v>
      </c>
      <c r="G67" s="228"/>
      <c r="H67" s="15"/>
      <c r="I67" s="9">
        <f>+'ATT H'!H219</f>
        <v>0</v>
      </c>
    </row>
    <row r="68" spans="1:9" s="53" customFormat="1" ht="15.5">
      <c r="A68" s="29">
        <f>'ATT H'!A220</f>
        <v>133</v>
      </c>
      <c r="B68" s="80"/>
      <c r="C68" s="29"/>
      <c r="D68" s="845" t="s">
        <v>635</v>
      </c>
      <c r="E68" s="30"/>
      <c r="F68" s="6"/>
      <c r="G68" s="228"/>
      <c r="H68" s="15"/>
      <c r="I68" s="162">
        <f>1/(1-I63)</f>
        <v>1.4063135038441579</v>
      </c>
    </row>
    <row r="69" spans="1:9" s="53" customFormat="1" ht="15.5">
      <c r="A69" s="29">
        <f>'ATT H'!A221</f>
        <v>134</v>
      </c>
      <c r="B69" s="80"/>
      <c r="C69" s="67"/>
      <c r="D69" s="82" t="s">
        <v>122</v>
      </c>
      <c r="E69" s="83"/>
      <c r="F69" s="125"/>
      <c r="G69" s="228"/>
      <c r="H69" s="70"/>
      <c r="I69" s="99">
        <f>+'ATT H'!H35</f>
        <v>0.27770063870200501</v>
      </c>
    </row>
    <row r="70" spans="1:9" s="53" customFormat="1" ht="15.5">
      <c r="A70" s="29">
        <f>'ATT H'!A222</f>
        <v>135</v>
      </c>
      <c r="B70" s="80"/>
      <c r="C70" s="29"/>
      <c r="D70" s="104" t="s">
        <v>134</v>
      </c>
      <c r="E70" s="58"/>
      <c r="F70" s="155" t="s">
        <v>213</v>
      </c>
      <c r="G70" s="228"/>
      <c r="H70" s="72"/>
      <c r="I70" s="851">
        <f>+I67*I68*I69</f>
        <v>0</v>
      </c>
    </row>
    <row r="71" spans="1:9" s="53" customFormat="1" ht="15.5">
      <c r="A71" s="6"/>
      <c r="B71" s="6"/>
      <c r="C71" s="29"/>
      <c r="D71" s="118"/>
      <c r="E71" s="69"/>
      <c r="F71" s="167"/>
      <c r="G71" s="164"/>
      <c r="H71" s="70"/>
      <c r="I71" s="165"/>
    </row>
    <row r="72" spans="1:9" s="53" customFormat="1" ht="15.5">
      <c r="A72" s="6"/>
      <c r="B72" s="6"/>
      <c r="C72" s="29"/>
      <c r="D72" s="118"/>
      <c r="E72" s="69"/>
      <c r="F72" s="167"/>
      <c r="G72" s="164"/>
      <c r="H72" s="70"/>
      <c r="I72" s="166"/>
    </row>
    <row r="73" spans="1:9" s="53" customFormat="1" ht="15.5">
      <c r="A73" s="29"/>
      <c r="B73" s="29"/>
      <c r="C73" s="29"/>
      <c r="D73" s="30"/>
      <c r="E73" s="30"/>
      <c r="F73" s="13"/>
      <c r="G73" s="14"/>
      <c r="H73" s="15"/>
      <c r="I73" s="163"/>
    </row>
    <row r="74" spans="1:9" s="53" customFormat="1" ht="15.5">
      <c r="A74" s="29">
        <f>'ATT H'!A232</f>
        <v>140</v>
      </c>
      <c r="B74" s="80"/>
      <c r="C74" s="1" t="s">
        <v>164</v>
      </c>
      <c r="E74" s="8" t="s">
        <v>167</v>
      </c>
      <c r="F74" s="18"/>
      <c r="G74" s="23"/>
      <c r="H74" s="30"/>
      <c r="I74" s="123">
        <f>+I64*(1-I50/I53)*I55</f>
        <v>1082498.7839113469</v>
      </c>
    </row>
    <row r="75" spans="1:9" s="53" customFormat="1" ht="15.5">
      <c r="A75" s="29"/>
      <c r="B75" s="29"/>
      <c r="C75" s="29"/>
      <c r="D75" s="68"/>
      <c r="E75" s="69"/>
      <c r="F75" s="141"/>
      <c r="G75" s="23"/>
      <c r="H75" s="70"/>
      <c r="I75" s="62"/>
    </row>
    <row r="76" spans="1:9" s="53" customFormat="1" ht="16" thickBot="1">
      <c r="A76" s="29">
        <f>A74+1</f>
        <v>141</v>
      </c>
      <c r="B76" s="80"/>
      <c r="C76" s="93" t="s">
        <v>44</v>
      </c>
      <c r="D76" s="93"/>
      <c r="E76" s="87"/>
      <c r="F76" s="135"/>
      <c r="G76" s="44"/>
      <c r="H76" s="101"/>
      <c r="I76" s="124">
        <f>+I74+I70</f>
        <v>1082498.7839113469</v>
      </c>
    </row>
    <row r="77" spans="1:9" s="53" customFormat="1" ht="16" thickTop="1">
      <c r="A77" s="29"/>
      <c r="B77" s="29"/>
      <c r="C77" s="29"/>
      <c r="D77" s="14"/>
      <c r="E77" s="30"/>
      <c r="F77" s="80"/>
      <c r="G77" s="17"/>
      <c r="H77" s="7"/>
      <c r="I77" s="103"/>
    </row>
    <row r="78" s="53" customFormat="1" ht="15.5"/>
    <row r="79" ht="12.5"/>
    <row r="80" ht="12.5"/>
    <row r="81" ht="12.5"/>
    <row r="82" ht="12.5"/>
    <row r="83" ht="12.5"/>
    <row r="84" ht="12.5"/>
    <row r="85" ht="12.5"/>
    <row r="86" ht="12.5"/>
    <row r="87" ht="12.5"/>
    <row r="88" ht="12.5"/>
    <row r="89" ht="12.5"/>
    <row r="90" ht="12.5"/>
    <row r="91" ht="12.5"/>
    <row r="92" ht="12.5"/>
    <row r="93" ht="12.5"/>
    <row r="94" ht="12.5"/>
    <row r="95" ht="12.5"/>
    <row r="96" ht="12.5"/>
    <row r="97" ht="12.5"/>
    <row r="98" ht="12.5"/>
    <row r="99" ht="12.5"/>
    <row r="100" ht="12.5"/>
    <row r="101" ht="12.5"/>
    <row r="102" ht="12.5"/>
    <row r="103" ht="12.5"/>
    <row r="104" ht="12.5"/>
    <row r="105" ht="12.5"/>
    <row r="106" ht="12.5"/>
    <row r="107" ht="12.5"/>
    <row r="108" ht="12.5"/>
    <row r="109" ht="12.5"/>
    <row r="110" ht="12.5"/>
    <row r="111" ht="12.5"/>
    <row r="112" ht="12.5"/>
    <row r="113" ht="12.5"/>
    <row r="114" ht="12.5"/>
    <row r="115" ht="12.5"/>
    <row r="116" ht="12.5"/>
    <row r="117" ht="12.5"/>
    <row r="118" ht="12.5"/>
    <row r="119" ht="12.5"/>
    <row r="120" ht="12.5"/>
    <row r="121" ht="12.5"/>
    <row r="122" ht="12.5"/>
    <row r="123" ht="12.5"/>
    <row r="124" ht="12.5"/>
    <row r="125" ht="12.5"/>
    <row r="126" ht="12.5"/>
    <row r="127" ht="12.5"/>
    <row r="128" ht="12.5"/>
    <row r="129" ht="12.5"/>
    <row r="130" ht="12.5"/>
    <row r="131" ht="12.5"/>
    <row r="132" ht="12.5"/>
    <row r="133" ht="12.5"/>
    <row r="134" ht="12.5"/>
    <row r="135" ht="12.5"/>
    <row r="136" ht="12.5"/>
    <row r="137" ht="12.5"/>
    <row r="138" ht="12.5"/>
    <row r="139" ht="12.5"/>
    <row r="140" ht="12.5"/>
    <row r="141" ht="12.5"/>
    <row r="142" ht="12.5"/>
    <row r="143" ht="12.5"/>
    <row r="144" ht="12.5"/>
    <row r="145" ht="12.5"/>
    <row r="146" ht="12.5"/>
    <row r="147" ht="12.5"/>
    <row r="148" ht="12.5"/>
    <row r="149" ht="12.5"/>
    <row r="150" ht="12.5"/>
    <row r="151" ht="12.5"/>
    <row r="152" ht="12.5"/>
    <row r="153" ht="12.5"/>
    <row r="154" ht="12.5"/>
    <row r="155" ht="12.5"/>
    <row r="156" ht="12.5"/>
    <row r="157" ht="12.5"/>
    <row r="158" ht="12.5"/>
    <row r="159" ht="12.5"/>
    <row r="160" ht="12.5"/>
    <row r="161" ht="12.5"/>
    <row r="162" ht="12.5"/>
    <row r="163" ht="12.5"/>
    <row r="164" ht="12.5"/>
    <row r="165" ht="12.5"/>
    <row r="166" ht="12.5"/>
    <row r="167" ht="12.5"/>
    <row r="168" ht="12.5"/>
    <row r="169" ht="12.5"/>
    <row r="170" ht="12.5"/>
    <row r="171" ht="12.5"/>
    <row r="172" ht="12.5"/>
    <row r="173" ht="12.5"/>
    <row r="174" ht="12.5"/>
    <row r="175" ht="12.5"/>
    <row r="176" ht="12.5"/>
    <row r="177" ht="12.5"/>
    <row r="178" ht="12.5"/>
    <row r="179" ht="12.5"/>
    <row r="180" ht="12.5"/>
    <row r="181" ht="12.5"/>
    <row r="182" ht="12.5"/>
    <row r="183" ht="12.5"/>
    <row r="184" ht="12.5"/>
    <row r="185" ht="12.5"/>
    <row r="186" ht="12.5"/>
    <row r="187" ht="12.5"/>
    <row r="188" ht="12.5"/>
    <row r="189" ht="12.5"/>
    <row r="190" ht="12.5"/>
    <row r="191" ht="12.5"/>
    <row r="192" ht="12.5"/>
    <row r="193" ht="12.5"/>
    <row r="194" ht="12.5"/>
    <row r="195" ht="12.5"/>
    <row r="196" ht="12.5"/>
    <row r="197" ht="12.5"/>
    <row r="198" ht="12.5"/>
    <row r="199" ht="12.5"/>
    <row r="200" ht="12.5"/>
    <row r="201" ht="12.5"/>
    <row r="202" ht="12.5"/>
    <row r="203" ht="12.5"/>
    <row r="204" ht="12.5"/>
    <row r="205" ht="12.5"/>
    <row r="206" ht="12.5"/>
    <row r="207" ht="12.5"/>
    <row r="208" ht="12.5"/>
    <row r="209" ht="12.5"/>
    <row r="210" ht="12.5"/>
    <row r="211" ht="12.5"/>
    <row r="212" ht="12.5"/>
    <row r="213" ht="12.5"/>
    <row r="214" ht="12.5"/>
    <row r="215" ht="12.5"/>
    <row r="216" ht="12.5"/>
    <row r="217" ht="12.5"/>
    <row r="218" ht="12.5"/>
    <row r="219" ht="12.5"/>
    <row r="220" ht="12.5"/>
    <row r="221" ht="12.5"/>
    <row r="222" ht="12.5"/>
    <row r="223" ht="12.5"/>
    <row r="224" ht="12.5"/>
    <row r="225" ht="12.5"/>
    <row r="226" ht="12.5"/>
    <row r="227" ht="12.5"/>
    <row r="228" ht="12.5"/>
    <row r="229" ht="12.5"/>
    <row r="230" ht="12.5"/>
    <row r="231" ht="12.5"/>
    <row r="232" ht="12.5"/>
    <row r="233" ht="12.5"/>
    <row r="234" ht="12.5"/>
    <row r="235" ht="12.5"/>
    <row r="236" ht="12.5"/>
    <row r="237" ht="12.5"/>
    <row r="238" ht="12.5"/>
    <row r="239" ht="12.5"/>
    <row r="240" ht="12.5"/>
    <row r="241" ht="12.5"/>
    <row r="242" ht="12.5"/>
    <row r="243" ht="12.5"/>
    <row r="244" ht="12.5"/>
    <row r="245" ht="12.5"/>
    <row r="246" ht="12.5"/>
    <row r="247" ht="12.5"/>
    <row r="248" ht="12.5"/>
    <row r="249" ht="12.5"/>
    <row r="250" ht="12.5"/>
    <row r="251" ht="12.5"/>
    <row r="252" ht="12.5"/>
    <row r="253" ht="12.5"/>
    <row r="254" ht="12.5"/>
    <row r="255" ht="12.5"/>
    <row r="256" ht="12.5"/>
    <row r="257" ht="12.5"/>
    <row r="258" ht="12.5"/>
    <row r="259" ht="12.5"/>
    <row r="260" ht="12.5"/>
    <row r="261" ht="12.5"/>
    <row r="262" ht="12.5"/>
    <row r="263" ht="12.5"/>
    <row r="264" ht="12.5"/>
    <row r="265" ht="12.5"/>
    <row r="266" ht="12.5"/>
    <row r="267" ht="12.5"/>
    <row r="268" ht="12.5"/>
    <row r="269" ht="12.5"/>
    <row r="270" ht="12.5"/>
    <row r="271" ht="12.5"/>
    <row r="272" ht="12.5"/>
    <row r="273" ht="12.5"/>
    <row r="274" ht="12.5"/>
    <row r="275" ht="12.5"/>
    <row r="276" ht="12.5"/>
    <row r="277" ht="12.5"/>
    <row r="278" ht="12.5"/>
    <row r="279" ht="12.5"/>
    <row r="280" ht="12.5"/>
    <row r="281" ht="12.5"/>
    <row r="282" ht="12.5"/>
    <row r="283" ht="12.5"/>
    <row r="284" ht="12.5"/>
    <row r="285" ht="12.5"/>
    <row r="286" ht="12.5"/>
    <row r="287" ht="12.5"/>
    <row r="288" ht="12.5"/>
    <row r="289" ht="12.5"/>
    <row r="290" ht="12.5"/>
    <row r="291" ht="12.5"/>
    <row r="292" ht="12.5"/>
    <row r="293" ht="12.5"/>
    <row r="294" ht="12.5"/>
    <row r="295" ht="12.5"/>
    <row r="296" ht="12.5"/>
    <row r="297" ht="12.5"/>
    <row r="298" ht="12.5"/>
    <row r="299" ht="12.5"/>
    <row r="300" ht="12.5"/>
    <row r="301" ht="12.5"/>
    <row r="302" ht="12.5"/>
    <row r="303" ht="12.5"/>
    <row r="304" ht="12.5"/>
    <row r="305" ht="12.5"/>
    <row r="306" ht="12.5"/>
    <row r="307" spans="1:6" ht="12.5">
      <c r="A307" s="472"/>
      <c r="B307" s="472"/>
      <c r="C307" s="472"/>
      <c r="D307" s="472"/>
      <c r="E307" s="472"/>
      <c r="F307" s="472"/>
    </row>
    <row r="308" spans="1:6" ht="12.5">
      <c r="A308" s="472"/>
      <c r="B308" s="472"/>
      <c r="C308" s="472"/>
      <c r="D308" s="472"/>
      <c r="E308" s="472"/>
      <c r="F308" s="472"/>
    </row>
    <row r="309" spans="1:6" ht="12.5">
      <c r="A309" s="472"/>
      <c r="B309" s="472"/>
      <c r="C309" s="472"/>
      <c r="D309" s="472"/>
      <c r="E309" s="472"/>
      <c r="F309" s="472"/>
    </row>
    <row r="310" spans="1:6" ht="12.5">
      <c r="A310" s="472"/>
      <c r="B310" s="472"/>
      <c r="C310" s="472"/>
      <c r="D310" s="472"/>
      <c r="E310" s="472"/>
      <c r="F310" s="472"/>
    </row>
    <row r="311" spans="1:6" ht="12.5">
      <c r="A311" s="472"/>
      <c r="B311" s="472"/>
      <c r="C311" s="472"/>
      <c r="D311" s="472"/>
      <c r="E311" s="472"/>
      <c r="F311" s="472"/>
    </row>
    <row r="312" spans="1:6" ht="12.5">
      <c r="A312" s="472"/>
      <c r="B312" s="472"/>
      <c r="C312" s="472"/>
      <c r="D312" s="472"/>
      <c r="E312" s="472"/>
      <c r="F312" s="472"/>
    </row>
    <row r="313" spans="1:6" ht="12.5">
      <c r="A313" s="472"/>
      <c r="B313" s="472"/>
      <c r="C313" s="472"/>
      <c r="D313" s="472"/>
      <c r="E313" s="472"/>
      <c r="F313" s="472"/>
    </row>
    <row r="314" spans="1:6" ht="12.5">
      <c r="A314" s="472"/>
      <c r="B314" s="472"/>
      <c r="C314" s="472"/>
      <c r="D314" s="472"/>
      <c r="E314" s="472"/>
      <c r="F314" s="472"/>
    </row>
    <row r="315" spans="1:6" ht="12.5">
      <c r="A315" s="472"/>
      <c r="B315" s="472"/>
      <c r="C315" s="472"/>
      <c r="D315" s="472"/>
      <c r="E315" s="472"/>
      <c r="F315" s="472"/>
    </row>
  </sheetData>
  <mergeCells count="2">
    <mergeCell ref="A3:I3"/>
    <mergeCell ref="A1:I1"/>
  </mergeCells>
  <printOptions horizontalCentered="1"/>
  <pageMargins left="0.5" right="0.5" top="0.5" bottom="0.5" header="0.5" footer="0.5"/>
  <pageSetup orientation="portrait" scale="61" r:id="rId1"/>
  <headerFooter alignWithMargins="0">
    <oddFooter>&amp;CPage &amp;P of 17</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2:S506"/>
  <sheetViews>
    <sheetView workbookViewId="0" topLeftCell="D289">
      <selection pane="topLeft" activeCell="J308" sqref="J308:Q308"/>
    </sheetView>
  </sheetViews>
  <sheetFormatPr defaultRowHeight="12.5"/>
  <cols>
    <col min="1" max="1" width="6.42857142857143" customWidth="1"/>
    <col min="2" max="2" width="4.28571428571429" customWidth="1"/>
    <col min="3" max="3" width="58" customWidth="1"/>
    <col min="4" max="4" width="16" customWidth="1"/>
    <col min="5" max="5" width="14.1428571428571" customWidth="1"/>
    <col min="6" max="6" width="20.8571428571429" customWidth="1"/>
    <col min="7" max="7" width="16.5714285714286" customWidth="1"/>
    <col min="8" max="8" width="16.4285714285714" customWidth="1"/>
    <col min="9" max="9" width="15.1428571428571" customWidth="1"/>
    <col min="10" max="10" width="13.7142857142857" customWidth="1"/>
    <col min="11" max="11" width="11.5714285714286" customWidth="1"/>
    <col min="12" max="16" width="9.71428571428571" customWidth="1"/>
    <col min="17" max="17" width="10.1428571428571" customWidth="1"/>
    <col min="18" max="18" width="33.2857142857143" bestFit="1" customWidth="1"/>
  </cols>
  <sheetData>
    <row r="1" ht="12.5" hidden="1"/>
    <row r="2" spans="7:17" ht="12.5">
      <c r="G2" s="171" t="s">
        <v>277</v>
      </c>
      <c r="H2" s="171" t="s">
        <v>277</v>
      </c>
      <c r="I2" s="171" t="s">
        <v>277</v>
      </c>
      <c r="J2" s="171" t="s">
        <v>277</v>
      </c>
      <c r="K2" s="171" t="s">
        <v>277</v>
      </c>
      <c r="L2" s="171" t="s">
        <v>277</v>
      </c>
      <c r="M2" s="171" t="s">
        <v>277</v>
      </c>
      <c r="N2" s="171" t="s">
        <v>277</v>
      </c>
      <c r="O2" s="171" t="s">
        <v>277</v>
      </c>
      <c r="P2" s="171" t="s">
        <v>277</v>
      </c>
      <c r="Q2" s="171" t="s">
        <v>277</v>
      </c>
    </row>
    <row r="3" spans="7:17" ht="12.5" thickBot="1">
      <c r="G3" s="171" t="s">
        <v>335</v>
      </c>
      <c r="H3" s="171" t="s">
        <v>51</v>
      </c>
      <c r="I3" s="171" t="s">
        <v>174</v>
      </c>
      <c r="J3" s="171" t="s">
        <v>73</v>
      </c>
      <c r="K3" s="171" t="s">
        <v>344</v>
      </c>
      <c r="L3" s="171" t="s">
        <v>59</v>
      </c>
      <c r="M3" s="171" t="s">
        <v>147</v>
      </c>
      <c r="N3" s="171" t="s">
        <v>103</v>
      </c>
      <c r="O3" s="171" t="s">
        <v>199</v>
      </c>
      <c r="P3" s="171" t="s">
        <v>324</v>
      </c>
      <c r="Q3" s="171" t="s">
        <v>104</v>
      </c>
    </row>
    <row r="4" spans="1:17" ht="87.75" customHeight="1">
      <c r="A4" s="1010" t="s">
        <v>427</v>
      </c>
      <c r="B4" s="1011"/>
      <c r="C4" s="1011"/>
      <c r="D4" s="1011"/>
      <c r="E4" s="1011"/>
      <c r="F4" s="1012"/>
      <c r="G4" s="381" t="s">
        <v>416</v>
      </c>
      <c r="H4" s="381" t="s">
        <v>418</v>
      </c>
      <c r="I4" s="381" t="s">
        <v>417</v>
      </c>
      <c r="J4" s="381" t="s">
        <v>419</v>
      </c>
      <c r="K4" s="381" t="s">
        <v>420</v>
      </c>
      <c r="L4" s="381" t="s">
        <v>421</v>
      </c>
      <c r="M4" s="381" t="s">
        <v>334</v>
      </c>
      <c r="N4" s="381" t="s">
        <v>422</v>
      </c>
      <c r="O4" s="381" t="s">
        <v>424</v>
      </c>
      <c r="P4" s="381" t="s">
        <v>425</v>
      </c>
      <c r="Q4" s="382" t="s">
        <v>423</v>
      </c>
    </row>
    <row r="5" spans="1:17" ht="15.5">
      <c r="A5" s="288"/>
      <c r="B5" s="282" t="str">
        <f>'ATT H'!B9</f>
        <v>Wages &amp; Salary Allocation Factor</v>
      </c>
      <c r="C5" s="148"/>
      <c r="D5" s="148"/>
      <c r="E5" s="254"/>
      <c r="F5" s="289"/>
      <c r="G5" s="188"/>
      <c r="H5" s="188"/>
      <c r="I5" s="188"/>
      <c r="J5" s="188"/>
      <c r="K5" s="188"/>
      <c r="L5" s="188"/>
      <c r="M5" s="188"/>
      <c r="N5" s="188"/>
      <c r="O5" s="188"/>
      <c r="P5" s="188"/>
      <c r="Q5" s="372"/>
    </row>
    <row r="6" spans="1:17" ht="15.5">
      <c r="A6" s="290">
        <f>'ATT H'!A10</f>
        <v>1</v>
      </c>
      <c r="B6" s="261"/>
      <c r="C6" s="236" t="str">
        <f>'ATT H'!C10</f>
        <v>Transmission Wages Expense</v>
      </c>
      <c r="D6" s="291"/>
      <c r="E6" s="267"/>
      <c r="F6" s="289" t="str">
        <f>'ATT H'!F10</f>
        <v>p354.21.b</v>
      </c>
      <c r="G6" s="188"/>
      <c r="H6" s="188"/>
      <c r="I6" s="188"/>
      <c r="J6" s="188"/>
      <c r="K6" s="188"/>
      <c r="L6" s="188"/>
      <c r="M6" s="188"/>
      <c r="N6" s="188"/>
      <c r="O6" s="188"/>
      <c r="P6" s="188"/>
      <c r="Q6" s="372"/>
    </row>
    <row r="7" spans="1:17" ht="15.5" hidden="1">
      <c r="A7" s="292"/>
      <c r="B7" s="148"/>
      <c r="C7" s="148"/>
      <c r="D7" s="148"/>
      <c r="E7" s="237"/>
      <c r="F7" s="293"/>
      <c r="G7" s="188"/>
      <c r="H7" s="188"/>
      <c r="I7" s="188"/>
      <c r="J7" s="188"/>
      <c r="K7" s="188"/>
      <c r="L7" s="188"/>
      <c r="M7" s="188"/>
      <c r="N7" s="188"/>
      <c r="O7" s="188"/>
      <c r="P7" s="188"/>
      <c r="Q7" s="372"/>
    </row>
    <row r="8" spans="1:17" ht="15.5">
      <c r="A8" s="290">
        <f>'ATT H'!A12</f>
        <v>2</v>
      </c>
      <c r="B8" s="261"/>
      <c r="C8" s="236" t="str">
        <f>'ATT H'!C12</f>
        <v>Total Wages Expense</v>
      </c>
      <c r="D8" s="236"/>
      <c r="E8" s="237"/>
      <c r="F8" s="294" t="str">
        <f>'ATT H'!F12</f>
        <v>Attachment 5</v>
      </c>
      <c r="G8" s="188"/>
      <c r="H8" s="188"/>
      <c r="I8" s="188"/>
      <c r="J8" s="188"/>
      <c r="K8" s="188"/>
      <c r="L8" s="188"/>
      <c r="M8" s="188"/>
      <c r="N8" s="188"/>
      <c r="O8" s="188"/>
      <c r="P8" s="188"/>
      <c r="Q8" s="372"/>
    </row>
    <row r="9" spans="1:17" ht="15.5">
      <c r="A9" s="290">
        <f>'ATT H'!A13</f>
        <v>3</v>
      </c>
      <c r="B9" s="261"/>
      <c r="C9" s="236" t="str">
        <f>'ATT H'!C13</f>
        <v>Less A&amp;G Wages Expense</v>
      </c>
      <c r="D9" s="236"/>
      <c r="E9" s="237"/>
      <c r="F9" s="294" t="str">
        <f>'ATT H'!F13</f>
        <v>Attachment 5</v>
      </c>
      <c r="G9" s="188"/>
      <c r="H9" s="188"/>
      <c r="I9" s="188"/>
      <c r="J9" s="188"/>
      <c r="K9" s="188"/>
      <c r="L9" s="188"/>
      <c r="M9" s="188"/>
      <c r="N9" s="188"/>
      <c r="O9" s="188"/>
      <c r="P9" s="188"/>
      <c r="Q9" s="372"/>
    </row>
    <row r="10" spans="1:17" ht="15.75" customHeight="1">
      <c r="A10" s="290">
        <f>'ATT H'!A14</f>
        <v>4</v>
      </c>
      <c r="B10" s="261"/>
      <c r="C10" s="238" t="str">
        <f>'ATT H'!C14</f>
        <v>Total</v>
      </c>
      <c r="D10" s="239"/>
      <c r="E10" s="240"/>
      <c r="F10" s="295" t="str">
        <f>'ATT H'!F14</f>
        <v>(Line 2 - 3)</v>
      </c>
      <c r="G10" s="188"/>
      <c r="H10" s="188"/>
      <c r="I10" s="188"/>
      <c r="J10" s="188"/>
      <c r="K10" s="188"/>
      <c r="L10" s="188"/>
      <c r="M10" s="188"/>
      <c r="N10" s="188"/>
      <c r="O10" s="188"/>
      <c r="P10" s="188"/>
      <c r="Q10" s="372"/>
    </row>
    <row r="11" spans="1:17" ht="15.5" hidden="1">
      <c r="A11" s="290"/>
      <c r="B11" s="261"/>
      <c r="C11" s="253"/>
      <c r="D11" s="148"/>
      <c r="E11" s="254"/>
      <c r="F11" s="296"/>
      <c r="G11" s="188"/>
      <c r="H11" s="188"/>
      <c r="I11" s="188"/>
      <c r="J11" s="188"/>
      <c r="K11" s="188"/>
      <c r="L11" s="188"/>
      <c r="M11" s="188"/>
      <c r="N11" s="188"/>
      <c r="O11" s="188"/>
      <c r="P11" s="188"/>
      <c r="Q11" s="372"/>
    </row>
    <row r="12" spans="1:17" ht="16" thickBot="1">
      <c r="A12" s="290">
        <f>'ATT H'!A16</f>
        <v>5</v>
      </c>
      <c r="B12" s="241" t="str">
        <f>'ATT H'!B16</f>
        <v>Wages &amp; Salary Allocator</v>
      </c>
      <c r="C12" s="241"/>
      <c r="D12" s="242"/>
      <c r="E12" s="243"/>
      <c r="F12" s="297" t="str">
        <f>'ATT H'!F16</f>
        <v>(Line 1 / 4)</v>
      </c>
      <c r="G12" s="188"/>
      <c r="H12" s="188"/>
      <c r="I12" s="188"/>
      <c r="J12" s="188"/>
      <c r="K12" s="188"/>
      <c r="L12" s="188"/>
      <c r="M12" s="188"/>
      <c r="N12" s="188"/>
      <c r="O12" s="188"/>
      <c r="P12" s="188"/>
      <c r="Q12" s="372"/>
    </row>
    <row r="13" spans="1:17" ht="16.5" customHeight="1" hidden="1" thickTop="1">
      <c r="A13" s="290"/>
      <c r="B13" s="261"/>
      <c r="C13" s="282"/>
      <c r="D13" s="246"/>
      <c r="E13" s="298"/>
      <c r="F13" s="296"/>
      <c r="G13" s="188"/>
      <c r="H13" s="188"/>
      <c r="I13" s="188"/>
      <c r="J13" s="188"/>
      <c r="K13" s="188"/>
      <c r="L13" s="188"/>
      <c r="M13" s="188"/>
      <c r="N13" s="188"/>
      <c r="O13" s="188"/>
      <c r="P13" s="188"/>
      <c r="Q13" s="372"/>
    </row>
    <row r="14" spans="1:17" ht="15.5">
      <c r="A14" s="292"/>
      <c r="B14" s="282" t="str">
        <f>'ATT H'!B18</f>
        <v>Plant Allocation Factors</v>
      </c>
      <c r="C14" s="148"/>
      <c r="D14" s="272"/>
      <c r="E14" s="237"/>
      <c r="F14" s="293"/>
      <c r="G14" s="188"/>
      <c r="H14" s="188"/>
      <c r="I14" s="188"/>
      <c r="J14" s="188"/>
      <c r="K14" s="188"/>
      <c r="L14" s="188"/>
      <c r="M14" s="188"/>
      <c r="N14" s="188"/>
      <c r="O14" s="188"/>
      <c r="P14" s="188"/>
      <c r="Q14" s="372"/>
    </row>
    <row r="15" spans="1:17" ht="15.5">
      <c r="A15" s="299">
        <f>'ATT H'!A19</f>
        <v>6</v>
      </c>
      <c r="B15" s="272"/>
      <c r="C15" s="236" t="str">
        <f>'ATT H'!C19</f>
        <v>Electric Plant in Service1</v>
      </c>
      <c r="D15" s="148"/>
      <c r="E15" s="245" t="str">
        <f>'ATT H'!E19</f>
        <v>(Note B)</v>
      </c>
      <c r="F15" s="294" t="str">
        <f>'ATT H'!F19</f>
        <v>p207.104.g</v>
      </c>
      <c r="G15" s="188"/>
      <c r="H15" s="188"/>
      <c r="I15" s="232" t="s">
        <v>336</v>
      </c>
      <c r="J15" s="188"/>
      <c r="K15" s="188"/>
      <c r="L15" s="188"/>
      <c r="M15" s="188"/>
      <c r="N15" s="188"/>
      <c r="O15" s="188"/>
      <c r="P15" s="188"/>
      <c r="Q15" s="372"/>
    </row>
    <row r="16" spans="1:17" ht="15.5">
      <c r="A16" s="299">
        <f>'ATT H'!A20</f>
        <v>7</v>
      </c>
      <c r="B16" s="272"/>
      <c r="C16" s="236" t="str">
        <f>'ATT H'!C20</f>
        <v>Common Plant In Service - Electric</v>
      </c>
      <c r="D16" s="148"/>
      <c r="E16" s="245">
        <f>'ATT H'!E20</f>
        <v>0</v>
      </c>
      <c r="F16" s="300" t="str">
        <f>'ATT H'!F20</f>
        <v>(Line 24)</v>
      </c>
      <c r="G16" s="232" t="s">
        <v>336</v>
      </c>
      <c r="H16" s="188"/>
      <c r="I16" s="232" t="s">
        <v>336</v>
      </c>
      <c r="J16" s="188"/>
      <c r="K16" s="188"/>
      <c r="L16" s="188"/>
      <c r="M16" s="188"/>
      <c r="N16" s="188"/>
      <c r="O16" s="188"/>
      <c r="P16" s="188"/>
      <c r="Q16" s="372"/>
    </row>
    <row r="17" spans="1:17" ht="15.5">
      <c r="A17" s="299">
        <f>'ATT H'!A21</f>
        <v>8</v>
      </c>
      <c r="B17" s="272"/>
      <c r="C17" s="236" t="str">
        <f>'ATT H'!C21</f>
        <v>Total Plant In Service</v>
      </c>
      <c r="D17" s="148"/>
      <c r="E17" s="267"/>
      <c r="F17" s="300" t="str">
        <f>'ATT H'!F21</f>
        <v>(Sum Lines 6 &amp; 7)</v>
      </c>
      <c r="G17" s="188"/>
      <c r="H17" s="188"/>
      <c r="I17" s="188"/>
      <c r="J17" s="188"/>
      <c r="K17" s="188"/>
      <c r="L17" s="188"/>
      <c r="M17" s="188"/>
      <c r="N17" s="188"/>
      <c r="O17" s="188"/>
      <c r="P17" s="188"/>
      <c r="Q17" s="372"/>
    </row>
    <row r="18" spans="1:17" ht="15.5" hidden="1">
      <c r="A18" s="290"/>
      <c r="B18" s="261"/>
      <c r="C18" s="282"/>
      <c r="D18" s="246"/>
      <c r="E18" s="298"/>
      <c r="F18" s="296"/>
      <c r="G18" s="188"/>
      <c r="H18" s="188"/>
      <c r="I18" s="188"/>
      <c r="J18" s="188"/>
      <c r="K18" s="188"/>
      <c r="L18" s="188"/>
      <c r="M18" s="188"/>
      <c r="N18" s="188"/>
      <c r="O18" s="188"/>
      <c r="P18" s="188"/>
      <c r="Q18" s="372"/>
    </row>
    <row r="19" spans="1:17" ht="15.5">
      <c r="A19" s="299">
        <f>'ATT H'!A23</f>
        <v>9</v>
      </c>
      <c r="B19" s="272"/>
      <c r="C19" s="236" t="str">
        <f>'ATT H'!C23</f>
        <v>Accumulated Depreciation (Total Electric Plant)1</v>
      </c>
      <c r="D19" s="148"/>
      <c r="E19" s="237"/>
      <c r="F19" s="294" t="str">
        <f>'ATT H'!F23</f>
        <v>p219.19.c</v>
      </c>
      <c r="G19" s="188"/>
      <c r="H19" s="188"/>
      <c r="I19" s="188"/>
      <c r="J19" s="188"/>
      <c r="K19" s="188"/>
      <c r="L19" s="188"/>
      <c r="M19" s="188"/>
      <c r="N19" s="188"/>
      <c r="O19" s="188"/>
      <c r="P19" s="188"/>
      <c r="Q19" s="372"/>
    </row>
    <row r="20" spans="1:17" ht="15.5">
      <c r="A20" s="299">
        <f>'ATT H'!A24</f>
        <v>10</v>
      </c>
      <c r="B20" s="272"/>
      <c r="C20" s="236" t="str">
        <f>'ATT H'!C24</f>
        <v>Accumulated Intangible Amortization</v>
      </c>
      <c r="D20" s="148"/>
      <c r="E20" s="245" t="str">
        <f>'ATT H'!E24</f>
        <v>(Note A)</v>
      </c>
      <c r="F20" s="289" t="str">
        <f>'ATT H'!F24</f>
        <v>p200.21.c</v>
      </c>
      <c r="G20" s="232" t="s">
        <v>336</v>
      </c>
      <c r="H20" s="188"/>
      <c r="I20" s="188"/>
      <c r="J20" s="188"/>
      <c r="K20" s="188"/>
      <c r="L20" s="188"/>
      <c r="M20" s="188"/>
      <c r="N20" s="188"/>
      <c r="O20" s="188"/>
      <c r="P20" s="188"/>
      <c r="Q20" s="372"/>
    </row>
    <row r="21" spans="1:17" ht="15.5">
      <c r="A21" s="299">
        <f>'ATT H'!A25</f>
        <v>11</v>
      </c>
      <c r="B21" s="272"/>
      <c r="C21" s="236" t="str">
        <f>'ATT H'!C25</f>
        <v>Accumulated Common Amortization - Electric</v>
      </c>
      <c r="D21" s="148"/>
      <c r="E21" s="245" t="str">
        <f>'ATT H'!E25</f>
        <v>(Note A)</v>
      </c>
      <c r="F21" s="289" t="str">
        <f>'ATT H'!F25</f>
        <v>Attachment 5</v>
      </c>
      <c r="G21" s="232" t="s">
        <v>336</v>
      </c>
      <c r="H21" s="188"/>
      <c r="I21" s="188"/>
      <c r="J21" s="188"/>
      <c r="K21" s="188"/>
      <c r="L21" s="188"/>
      <c r="M21" s="188"/>
      <c r="N21" s="188"/>
      <c r="O21" s="188"/>
      <c r="P21" s="188"/>
      <c r="Q21" s="372"/>
    </row>
    <row r="22" spans="1:17" ht="15.5">
      <c r="A22" s="299">
        <f>'ATT H'!A26</f>
        <v>12</v>
      </c>
      <c r="B22" s="148"/>
      <c r="C22" s="246" t="str">
        <f>'ATT H'!C26</f>
        <v>Accumulated Common Plant Depreciation - Electric</v>
      </c>
      <c r="D22" s="148"/>
      <c r="E22" s="245" t="str">
        <f>'ATT H'!E26</f>
        <v>(Note A)</v>
      </c>
      <c r="F22" s="289" t="str">
        <f>'ATT H'!F26</f>
        <v>Attachment 5</v>
      </c>
      <c r="G22" s="232" t="s">
        <v>336</v>
      </c>
      <c r="H22" s="188"/>
      <c r="I22" s="188"/>
      <c r="J22" s="188"/>
      <c r="K22" s="188"/>
      <c r="L22" s="188"/>
      <c r="M22" s="188"/>
      <c r="N22" s="188"/>
      <c r="O22" s="188"/>
      <c r="P22" s="188"/>
      <c r="Q22" s="372"/>
    </row>
    <row r="23" spans="1:17" ht="15.5">
      <c r="A23" s="299">
        <f>'ATT H'!A27</f>
        <v>13</v>
      </c>
      <c r="B23" s="148"/>
      <c r="C23" s="236" t="str">
        <f>'ATT H'!C27</f>
        <v>Total Accumulated Depreciation</v>
      </c>
      <c r="D23" s="148"/>
      <c r="E23" s="237"/>
      <c r="F23" s="289" t="str">
        <f>'ATT H'!F27</f>
        <v>(Sum Lines 9 to 12)</v>
      </c>
      <c r="G23" s="188"/>
      <c r="H23" s="188"/>
      <c r="I23" s="188"/>
      <c r="J23" s="188"/>
      <c r="K23" s="188"/>
      <c r="L23" s="188"/>
      <c r="M23" s="188"/>
      <c r="N23" s="188"/>
      <c r="O23" s="188"/>
      <c r="P23" s="188"/>
      <c r="Q23" s="372"/>
    </row>
    <row r="24" spans="1:17" ht="15.5" hidden="1">
      <c r="A24" s="290"/>
      <c r="B24" s="261"/>
      <c r="C24" s="282"/>
      <c r="D24" s="246"/>
      <c r="E24" s="298"/>
      <c r="F24" s="296"/>
      <c r="G24" s="188"/>
      <c r="H24" s="188"/>
      <c r="I24" s="188"/>
      <c r="J24" s="188"/>
      <c r="K24" s="188"/>
      <c r="L24" s="188"/>
      <c r="M24" s="188"/>
      <c r="N24" s="188"/>
      <c r="O24" s="188"/>
      <c r="P24" s="188"/>
      <c r="Q24" s="372"/>
    </row>
    <row r="25" spans="1:17" ht="15.5">
      <c r="A25" s="290">
        <f>'ATT H'!A29</f>
        <v>14</v>
      </c>
      <c r="B25" s="272"/>
      <c r="C25" s="272" t="str">
        <f>'ATT H'!C29</f>
        <v>Net Plant</v>
      </c>
      <c r="D25" s="272"/>
      <c r="E25" s="237"/>
      <c r="F25" s="289" t="str">
        <f>'ATT H'!F29</f>
        <v>(Line 8 - Line 13)</v>
      </c>
      <c r="G25" s="188"/>
      <c r="H25" s="188"/>
      <c r="I25" s="188"/>
      <c r="J25" s="188"/>
      <c r="K25" s="188"/>
      <c r="L25" s="188"/>
      <c r="M25" s="188"/>
      <c r="N25" s="188"/>
      <c r="O25" s="188"/>
      <c r="P25" s="188"/>
      <c r="Q25" s="372"/>
    </row>
    <row r="26" spans="1:17" ht="15.5" hidden="1">
      <c r="A26" s="290"/>
      <c r="B26" s="261"/>
      <c r="C26" s="282"/>
      <c r="D26" s="246"/>
      <c r="E26" s="298"/>
      <c r="F26" s="296"/>
      <c r="G26" s="188"/>
      <c r="H26" s="188"/>
      <c r="I26" s="188"/>
      <c r="J26" s="188"/>
      <c r="K26" s="188"/>
      <c r="L26" s="188"/>
      <c r="M26" s="188"/>
      <c r="N26" s="188"/>
      <c r="O26" s="188"/>
      <c r="P26" s="188"/>
      <c r="Q26" s="372"/>
    </row>
    <row r="27" spans="1:17" ht="15.5">
      <c r="A27" s="299">
        <f>'ATT H'!A31</f>
        <v>15</v>
      </c>
      <c r="B27" s="272"/>
      <c r="C27" s="272" t="str">
        <f>'ATT H'!C31</f>
        <v>Transmission Gross Plant</v>
      </c>
      <c r="D27" s="272"/>
      <c r="E27" s="237"/>
      <c r="F27" s="289" t="str">
        <f>'ATT H'!F31</f>
        <v>(Line 29 - Line 28)</v>
      </c>
      <c r="G27" s="188"/>
      <c r="H27" s="188"/>
      <c r="I27" s="188"/>
      <c r="J27" s="188"/>
      <c r="K27" s="188"/>
      <c r="L27" s="188"/>
      <c r="M27" s="188"/>
      <c r="N27" s="188"/>
      <c r="O27" s="188"/>
      <c r="P27" s="188"/>
      <c r="Q27" s="372"/>
    </row>
    <row r="28" spans="1:17" ht="15.5">
      <c r="A28" s="290">
        <f>'ATT H'!A32</f>
        <v>16</v>
      </c>
      <c r="B28" s="321" t="str">
        <f>'ATT H'!B32</f>
        <v>Gross Plant Allocator</v>
      </c>
      <c r="C28" s="321"/>
      <c r="D28" s="272"/>
      <c r="E28" s="237"/>
      <c r="F28" s="289" t="str">
        <f>'ATT H'!F32</f>
        <v>(Line 15 / Line 8)</v>
      </c>
      <c r="G28" s="188"/>
      <c r="H28" s="188"/>
      <c r="I28" s="188"/>
      <c r="J28" s="188"/>
      <c r="K28" s="188"/>
      <c r="L28" s="188"/>
      <c r="M28" s="188"/>
      <c r="N28" s="188"/>
      <c r="O28" s="188"/>
      <c r="P28" s="188"/>
      <c r="Q28" s="372"/>
    </row>
    <row r="29" spans="1:17" ht="15.5" hidden="1">
      <c r="A29" s="292"/>
      <c r="B29" s="148"/>
      <c r="C29" s="148"/>
      <c r="D29" s="148"/>
      <c r="E29" s="237"/>
      <c r="F29" s="293"/>
      <c r="G29" s="188"/>
      <c r="H29" s="188"/>
      <c r="I29" s="188"/>
      <c r="J29" s="188"/>
      <c r="K29" s="188"/>
      <c r="L29" s="188"/>
      <c r="M29" s="188"/>
      <c r="N29" s="188"/>
      <c r="O29" s="188"/>
      <c r="P29" s="188"/>
      <c r="Q29" s="372"/>
    </row>
    <row r="30" spans="1:17" ht="15.5">
      <c r="A30" s="299">
        <f>'ATT H'!A34</f>
        <v>17</v>
      </c>
      <c r="B30" s="261"/>
      <c r="C30" s="257" t="str">
        <f>'ATT H'!C34</f>
        <v>Transmission Net Plant</v>
      </c>
      <c r="D30" s="246"/>
      <c r="E30" s="298"/>
      <c r="F30" s="289" t="str">
        <f>'ATT H'!F34</f>
        <v>(Line 39 - Line 28)</v>
      </c>
      <c r="G30" s="188"/>
      <c r="H30" s="188"/>
      <c r="I30" s="188"/>
      <c r="J30" s="188"/>
      <c r="K30" s="188"/>
      <c r="L30" s="188"/>
      <c r="M30" s="188"/>
      <c r="N30" s="188"/>
      <c r="O30" s="188"/>
      <c r="P30" s="188"/>
      <c r="Q30" s="372"/>
    </row>
    <row r="31" spans="1:17" ht="15.5">
      <c r="A31" s="290">
        <f>'ATT H'!A35</f>
        <v>18</v>
      </c>
      <c r="B31" s="321" t="str">
        <f>'ATT H'!B35</f>
        <v>Net Plant Allocator</v>
      </c>
      <c r="C31" s="321"/>
      <c r="D31" s="272"/>
      <c r="E31" s="237"/>
      <c r="F31" s="289" t="str">
        <f>'ATT H'!F35</f>
        <v>(Line 17 / Line 14)</v>
      </c>
      <c r="G31" s="188"/>
      <c r="H31" s="188"/>
      <c r="I31" s="188"/>
      <c r="J31" s="188"/>
      <c r="K31" s="188"/>
      <c r="L31" s="188"/>
      <c r="M31" s="188"/>
      <c r="N31" s="188"/>
      <c r="O31" s="188"/>
      <c r="P31" s="188"/>
      <c r="Q31" s="372"/>
    </row>
    <row r="32" spans="1:17" ht="15.5" hidden="1">
      <c r="A32" s="301"/>
      <c r="B32" s="261"/>
      <c r="C32" s="282"/>
      <c r="D32" s="246"/>
      <c r="E32" s="298"/>
      <c r="F32" s="296"/>
      <c r="G32" s="188"/>
      <c r="H32" s="188"/>
      <c r="I32" s="188"/>
      <c r="J32" s="188"/>
      <c r="K32" s="188"/>
      <c r="L32" s="188"/>
      <c r="M32" s="188"/>
      <c r="N32" s="188"/>
      <c r="O32" s="188"/>
      <c r="P32" s="188"/>
      <c r="Q32" s="372"/>
    </row>
    <row r="33" spans="1:17" ht="15.5">
      <c r="A33" s="302" t="str">
        <f>'ATT H'!A37</f>
        <v>Plant Calculations</v>
      </c>
      <c r="B33" s="247"/>
      <c r="C33" s="248"/>
      <c r="D33" s="248"/>
      <c r="E33" s="249"/>
      <c r="F33" s="303"/>
      <c r="G33" s="188"/>
      <c r="H33" s="188"/>
      <c r="I33" s="188"/>
      <c r="J33" s="188"/>
      <c r="K33" s="188"/>
      <c r="L33" s="188"/>
      <c r="M33" s="188"/>
      <c r="N33" s="188"/>
      <c r="O33" s="188"/>
      <c r="P33" s="188"/>
      <c r="Q33" s="372"/>
    </row>
    <row r="34" spans="1:17" ht="15.5">
      <c r="A34" s="304">
        <f>'ATT H'!A38</f>
        <v>0</v>
      </c>
      <c r="B34" s="250"/>
      <c r="C34" s="246"/>
      <c r="D34" s="246"/>
      <c r="E34" s="251"/>
      <c r="F34" s="294"/>
      <c r="G34" s="188"/>
      <c r="H34" s="188"/>
      <c r="I34" s="188"/>
      <c r="J34" s="188"/>
      <c r="K34" s="188"/>
      <c r="L34" s="188"/>
      <c r="M34" s="188"/>
      <c r="N34" s="188"/>
      <c r="O34" s="188"/>
      <c r="P34" s="188"/>
      <c r="Q34" s="372"/>
    </row>
    <row r="35" spans="1:17" ht="15.5">
      <c r="A35" s="292"/>
      <c r="B35" s="282" t="str">
        <f>'ATT H'!B39</f>
        <v>Plant In Service</v>
      </c>
      <c r="C35" s="148"/>
      <c r="D35" s="148"/>
      <c r="E35" s="298"/>
      <c r="F35" s="300"/>
      <c r="G35" s="188"/>
      <c r="H35" s="188"/>
      <c r="I35" s="188"/>
      <c r="J35" s="188"/>
      <c r="K35" s="188"/>
      <c r="L35" s="188"/>
      <c r="M35" s="188"/>
      <c r="N35" s="188"/>
      <c r="O35" s="188"/>
      <c r="P35" s="188"/>
      <c r="Q35" s="372"/>
    </row>
    <row r="36" spans="1:17" ht="15.5">
      <c r="A36" s="299">
        <f>'ATT H'!A40</f>
        <v>19</v>
      </c>
      <c r="B36" s="261"/>
      <c r="C36" s="268" t="str">
        <f>'ATT H'!C40</f>
        <v>Transmission Plant In Service1</v>
      </c>
      <c r="D36" s="148"/>
      <c r="E36" s="245" t="str">
        <f>'ATT H'!E40</f>
        <v>(Note B)</v>
      </c>
      <c r="F36" s="300" t="str">
        <f>'ATT H'!F40</f>
        <v>p207.58.g</v>
      </c>
      <c r="G36" s="188"/>
      <c r="H36" s="188"/>
      <c r="I36" s="232" t="s">
        <v>336</v>
      </c>
      <c r="J36" s="188"/>
      <c r="K36" s="188"/>
      <c r="L36" s="188"/>
      <c r="M36" s="188"/>
      <c r="N36" s="188"/>
      <c r="O36" s="188"/>
      <c r="P36" s="188"/>
      <c r="Q36" s="372"/>
    </row>
    <row r="37" spans="1:17" ht="15.5" hidden="1">
      <c r="A37" s="290"/>
      <c r="B37" s="261"/>
      <c r="C37" s="282"/>
      <c r="D37" s="246"/>
      <c r="E37" s="298"/>
      <c r="F37" s="296"/>
      <c r="G37" s="188"/>
      <c r="H37" s="188"/>
      <c r="I37" s="188"/>
      <c r="J37" s="188"/>
      <c r="K37" s="188"/>
      <c r="L37" s="188"/>
      <c r="M37" s="188"/>
      <c r="N37" s="188"/>
      <c r="O37" s="188"/>
      <c r="P37" s="188"/>
      <c r="Q37" s="372"/>
    </row>
    <row r="38" spans="1:17" ht="15.5">
      <c r="A38" s="299">
        <f>'ATT H'!A45</f>
        <v>23</v>
      </c>
      <c r="B38" s="261"/>
      <c r="C38" s="253" t="str">
        <f>'ATT H'!C45</f>
        <v>General &amp; Intangible</v>
      </c>
      <c r="D38" s="148"/>
      <c r="E38" s="237"/>
      <c r="F38" s="300" t="str">
        <f>'ATT H'!F45</f>
        <v>p205.5.g &amp; p207.99.g</v>
      </c>
      <c r="G38" s="188"/>
      <c r="H38" s="188"/>
      <c r="I38" s="188"/>
      <c r="J38" s="188"/>
      <c r="K38" s="188"/>
      <c r="L38" s="188"/>
      <c r="M38" s="188"/>
      <c r="N38" s="188"/>
      <c r="O38" s="188"/>
      <c r="P38" s="188"/>
      <c r="Q38" s="372"/>
    </row>
    <row r="39" spans="1:17" ht="15.5">
      <c r="A39" s="299">
        <f>'ATT H'!A46</f>
        <v>24</v>
      </c>
      <c r="B39" s="261"/>
      <c r="C39" s="253" t="str">
        <f>'ATT H'!C46</f>
        <v>Common Plant (Electric Only)</v>
      </c>
      <c r="D39" s="148"/>
      <c r="E39" s="245" t="str">
        <f>'ATT H'!E46</f>
        <v>(Notes A &amp; B)</v>
      </c>
      <c r="F39" s="300" t="str">
        <f>'ATT H'!F46</f>
        <v>Attachment 5</v>
      </c>
      <c r="G39" s="232" t="s">
        <v>336</v>
      </c>
      <c r="H39" s="188"/>
      <c r="I39" s="232" t="s">
        <v>336</v>
      </c>
      <c r="J39" s="188"/>
      <c r="K39" s="188"/>
      <c r="L39" s="188"/>
      <c r="M39" s="188"/>
      <c r="N39" s="188"/>
      <c r="O39" s="188"/>
      <c r="P39" s="188"/>
      <c r="Q39" s="372"/>
    </row>
    <row r="40" spans="1:17" ht="15.5">
      <c r="A40" s="299">
        <f>'ATT H'!A47</f>
        <v>25</v>
      </c>
      <c r="B40" s="261"/>
      <c r="C40" s="253" t="str">
        <f>'ATT H'!C47</f>
        <v>Total General &amp; Common</v>
      </c>
      <c r="D40" s="148"/>
      <c r="E40" s="237"/>
      <c r="F40" s="289" t="str">
        <f>'ATT H'!F47</f>
        <v>(Line 23 + Line 24)</v>
      </c>
      <c r="G40" s="188"/>
      <c r="H40" s="188"/>
      <c r="I40" s="188"/>
      <c r="J40" s="188"/>
      <c r="K40" s="188"/>
      <c r="L40" s="188"/>
      <c r="M40" s="188"/>
      <c r="N40" s="188"/>
      <c r="O40" s="188"/>
      <c r="P40" s="188"/>
      <c r="Q40" s="372"/>
    </row>
    <row r="41" spans="1:17" ht="15.5">
      <c r="A41" s="299">
        <f>'ATT H'!A48</f>
        <v>26</v>
      </c>
      <c r="B41" s="261"/>
      <c r="C41" s="263" t="str">
        <f>'ATT H'!C48</f>
        <v>Wage &amp; Salary Allocation Factor</v>
      </c>
      <c r="D41" s="257"/>
      <c r="E41" s="298"/>
      <c r="F41" s="289" t="str">
        <f>'ATT H'!F48</f>
        <v>(Line 5)</v>
      </c>
      <c r="G41" s="188"/>
      <c r="H41" s="188"/>
      <c r="I41" s="188"/>
      <c r="J41" s="188"/>
      <c r="K41" s="188"/>
      <c r="L41" s="188"/>
      <c r="M41" s="188"/>
      <c r="N41" s="188"/>
      <c r="O41" s="188"/>
      <c r="P41" s="188"/>
      <c r="Q41" s="372"/>
    </row>
    <row r="42" spans="1:17" ht="15.5">
      <c r="A42" s="299">
        <f>'ATT H'!A49</f>
        <v>27</v>
      </c>
      <c r="B42" s="272"/>
      <c r="C42" s="282" t="str">
        <f>'ATT H'!C49</f>
        <v>General &amp; Common Plant Allocated to Transmission</v>
      </c>
      <c r="D42" s="236"/>
      <c r="E42" s="254"/>
      <c r="F42" s="289" t="str">
        <f>'ATT H'!F49</f>
        <v>(Line 25 * Line 26)</v>
      </c>
      <c r="G42" s="188"/>
      <c r="H42" s="188"/>
      <c r="I42" s="188"/>
      <c r="J42" s="188"/>
      <c r="K42" s="188"/>
      <c r="L42" s="188"/>
      <c r="M42" s="188"/>
      <c r="N42" s="188"/>
      <c r="O42" s="188"/>
      <c r="P42" s="188"/>
      <c r="Q42" s="372"/>
    </row>
    <row r="43" spans="1:17" ht="15.5" hidden="1">
      <c r="A43" s="290"/>
      <c r="B43" s="261"/>
      <c r="C43" s="282"/>
      <c r="D43" s="246"/>
      <c r="E43" s="298"/>
      <c r="F43" s="296"/>
      <c r="G43" s="188"/>
      <c r="H43" s="188"/>
      <c r="I43" s="188"/>
      <c r="J43" s="188"/>
      <c r="K43" s="188"/>
      <c r="L43" s="188"/>
      <c r="M43" s="188"/>
      <c r="N43" s="188"/>
      <c r="O43" s="188"/>
      <c r="P43" s="188"/>
      <c r="Q43" s="372"/>
    </row>
    <row r="44" spans="1:17" ht="15.5">
      <c r="A44" s="299">
        <f>'ATT H'!A51</f>
        <v>28</v>
      </c>
      <c r="B44" s="261"/>
      <c r="C44" s="282" t="str">
        <f>'ATT H'!C51</f>
        <v>Plant Held for Future Use (Including Land)</v>
      </c>
      <c r="D44" s="339"/>
      <c r="E44" s="259" t="str">
        <f>'ATT H'!E51</f>
        <v>(Note C)</v>
      </c>
      <c r="F44" s="289" t="str">
        <f>'ATT H'!F51</f>
        <v>Attachment 5</v>
      </c>
      <c r="G44" s="188"/>
      <c r="H44" s="232" t="s">
        <v>336</v>
      </c>
      <c r="I44" s="188"/>
      <c r="J44" s="188"/>
      <c r="K44" s="188"/>
      <c r="L44" s="188"/>
      <c r="M44" s="188"/>
      <c r="N44" s="188"/>
      <c r="O44" s="188"/>
      <c r="P44" s="188"/>
      <c r="Q44" s="372"/>
    </row>
    <row r="45" spans="1:17" ht="15.5" hidden="1">
      <c r="A45" s="290"/>
      <c r="B45" s="261"/>
      <c r="C45" s="282"/>
      <c r="D45" s="246"/>
      <c r="E45" s="298"/>
      <c r="F45" s="296"/>
      <c r="G45" s="188"/>
      <c r="H45" s="188"/>
      <c r="I45" s="188"/>
      <c r="J45" s="188"/>
      <c r="K45" s="188"/>
      <c r="L45" s="188"/>
      <c r="M45" s="188"/>
      <c r="N45" s="188"/>
      <c r="O45" s="188"/>
      <c r="P45" s="188"/>
      <c r="Q45" s="372"/>
    </row>
    <row r="46" spans="1:17" ht="15.5">
      <c r="A46" s="299">
        <f>'ATT H'!A53</f>
        <v>29</v>
      </c>
      <c r="B46" s="321" t="str">
        <f>'ATT H'!B53</f>
        <v>TOTAL Plant In Service</v>
      </c>
      <c r="C46" s="321"/>
      <c r="D46" s="321"/>
      <c r="E46" s="270"/>
      <c r="F46" s="334" t="str">
        <f>'ATT H'!F53</f>
        <v>(Line 22 + Line 27 + Line 28)</v>
      </c>
      <c r="G46" s="188"/>
      <c r="H46" s="188"/>
      <c r="I46" s="188"/>
      <c r="J46" s="188"/>
      <c r="K46" s="188"/>
      <c r="L46" s="188"/>
      <c r="M46" s="188"/>
      <c r="N46" s="188"/>
      <c r="O46" s="188"/>
      <c r="P46" s="188"/>
      <c r="Q46" s="372"/>
    </row>
    <row r="47" spans="1:17" ht="15.5" hidden="1">
      <c r="A47" s="290"/>
      <c r="B47" s="261"/>
      <c r="C47" s="282"/>
      <c r="D47" s="246"/>
      <c r="E47" s="298"/>
      <c r="F47" s="296"/>
      <c r="G47" s="188"/>
      <c r="H47" s="188"/>
      <c r="I47" s="188"/>
      <c r="J47" s="188"/>
      <c r="K47" s="188"/>
      <c r="L47" s="188"/>
      <c r="M47" s="188"/>
      <c r="N47" s="188"/>
      <c r="O47" s="188"/>
      <c r="P47" s="188"/>
      <c r="Q47" s="372"/>
    </row>
    <row r="48" spans="1:17" ht="15.5">
      <c r="A48" s="299"/>
      <c r="B48" s="282" t="str">
        <f>'ATT H'!B55</f>
        <v>Accumulated Depreciation</v>
      </c>
      <c r="C48" s="282"/>
      <c r="D48" s="256"/>
      <c r="E48" s="254"/>
      <c r="F48" s="289"/>
      <c r="G48" s="188"/>
      <c r="H48" s="188"/>
      <c r="I48" s="188"/>
      <c r="J48" s="188"/>
      <c r="K48" s="188"/>
      <c r="L48" s="188"/>
      <c r="M48" s="188"/>
      <c r="N48" s="188"/>
      <c r="O48" s="188"/>
      <c r="P48" s="188"/>
      <c r="Q48" s="372"/>
    </row>
    <row r="49" spans="1:17" ht="15.5" hidden="1">
      <c r="A49" s="290"/>
      <c r="B49" s="261"/>
      <c r="C49" s="282"/>
      <c r="D49" s="246"/>
      <c r="E49" s="298"/>
      <c r="F49" s="296"/>
      <c r="G49" s="188"/>
      <c r="H49" s="188"/>
      <c r="I49" s="188"/>
      <c r="J49" s="188"/>
      <c r="K49" s="188"/>
      <c r="L49" s="188"/>
      <c r="M49" s="188"/>
      <c r="N49" s="188"/>
      <c r="O49" s="188"/>
      <c r="P49" s="188"/>
      <c r="Q49" s="372"/>
    </row>
    <row r="50" spans="1:17" ht="15.5">
      <c r="A50" s="299">
        <f>'ATT H'!A57</f>
        <v>30</v>
      </c>
      <c r="B50" s="261"/>
      <c r="C50" s="268" t="str">
        <f>'ATT H'!C57</f>
        <v>Transmission Accumulated Depreciation</v>
      </c>
      <c r="D50" s="148"/>
      <c r="E50" s="237"/>
      <c r="F50" s="300" t="str">
        <f>'ATT H'!F57</f>
        <v>Attachment 5</v>
      </c>
      <c r="G50" s="188"/>
      <c r="H50" s="188"/>
      <c r="I50" s="188"/>
      <c r="J50" s="188"/>
      <c r="K50" s="188"/>
      <c r="L50" s="188"/>
      <c r="M50" s="188"/>
      <c r="N50" s="188"/>
      <c r="O50" s="188"/>
      <c r="P50" s="188"/>
      <c r="Q50" s="372"/>
    </row>
    <row r="51" spans="1:17" ht="15.5" hidden="1">
      <c r="A51" s="290"/>
      <c r="B51" s="261"/>
      <c r="C51" s="282"/>
      <c r="D51" s="246"/>
      <c r="E51" s="298"/>
      <c r="F51" s="296"/>
      <c r="G51" s="188"/>
      <c r="H51" s="188"/>
      <c r="I51" s="188"/>
      <c r="J51" s="188"/>
      <c r="K51" s="188"/>
      <c r="L51" s="188"/>
      <c r="M51" s="188"/>
      <c r="N51" s="188"/>
      <c r="O51" s="188"/>
      <c r="P51" s="188"/>
      <c r="Q51" s="372"/>
    </row>
    <row r="52" spans="1:17" ht="15.5">
      <c r="A52" s="299">
        <f>'ATT H'!A59</f>
        <v>31</v>
      </c>
      <c r="B52" s="261"/>
      <c r="C52" s="253" t="str">
        <f>'ATT H'!C59</f>
        <v>Accumulated General Depreciation</v>
      </c>
      <c r="D52" s="148"/>
      <c r="E52" s="237"/>
      <c r="F52" s="300" t="str">
        <f>'ATT H'!F59</f>
        <v>Attachment 5</v>
      </c>
      <c r="G52" s="188"/>
      <c r="H52" s="188"/>
      <c r="I52" s="188"/>
      <c r="J52" s="188"/>
      <c r="K52" s="188"/>
      <c r="L52" s="188"/>
      <c r="M52" s="188"/>
      <c r="N52" s="188"/>
      <c r="O52" s="188"/>
      <c r="P52" s="188"/>
      <c r="Q52" s="372"/>
    </row>
    <row r="53" spans="1:17" ht="15.5">
      <c r="A53" s="299">
        <f>'ATT H'!A60</f>
        <v>32</v>
      </c>
      <c r="B53" s="261"/>
      <c r="C53" s="253" t="str">
        <f>'ATT H'!C60</f>
        <v>Accumulated Intangible Amortization</v>
      </c>
      <c r="D53" s="148"/>
      <c r="E53" s="237"/>
      <c r="F53" s="289" t="str">
        <f>'ATT H'!F60</f>
        <v>(Line 10)</v>
      </c>
      <c r="G53" s="188"/>
      <c r="H53" s="188"/>
      <c r="I53" s="188"/>
      <c r="J53" s="188"/>
      <c r="K53" s="188"/>
      <c r="L53" s="188"/>
      <c r="M53" s="188"/>
      <c r="N53" s="188"/>
      <c r="O53" s="188"/>
      <c r="P53" s="188"/>
      <c r="Q53" s="372"/>
    </row>
    <row r="54" spans="1:17" ht="15.5">
      <c r="A54" s="299">
        <f>'ATT H'!A61</f>
        <v>33</v>
      </c>
      <c r="B54" s="261"/>
      <c r="C54" s="253" t="str">
        <f>'ATT H'!C61</f>
        <v>Accumulated Common Amortization - Electric</v>
      </c>
      <c r="D54" s="148"/>
      <c r="E54" s="245">
        <f>'ATT H'!E61</f>
        <v>0</v>
      </c>
      <c r="F54" s="289" t="str">
        <f>'ATT H'!F61</f>
        <v>(Line 11)</v>
      </c>
      <c r="G54" s="232" t="s">
        <v>336</v>
      </c>
      <c r="H54" s="188"/>
      <c r="I54" s="188"/>
      <c r="J54" s="188"/>
      <c r="K54" s="188"/>
      <c r="L54" s="188"/>
      <c r="M54" s="188"/>
      <c r="N54" s="188"/>
      <c r="O54" s="188"/>
      <c r="P54" s="188"/>
      <c r="Q54" s="372"/>
    </row>
    <row r="55" spans="1:17" ht="15.5">
      <c r="A55" s="299">
        <f>'ATT H'!A62</f>
        <v>34</v>
      </c>
      <c r="B55" s="261"/>
      <c r="C55" s="253" t="str">
        <f>'ATT H'!C62</f>
        <v>Common Plant Accumulated Depreciation (Electric Only)</v>
      </c>
      <c r="D55" s="148"/>
      <c r="E55" s="245">
        <f>'ATT H'!E62</f>
        <v>0</v>
      </c>
      <c r="F55" s="289" t="str">
        <f>'ATT H'!F62</f>
        <v>(Line 12)</v>
      </c>
      <c r="G55" s="232" t="s">
        <v>336</v>
      </c>
      <c r="H55" s="188"/>
      <c r="I55" s="188"/>
      <c r="J55" s="188"/>
      <c r="K55" s="188"/>
      <c r="L55" s="188"/>
      <c r="M55" s="188"/>
      <c r="N55" s="188"/>
      <c r="O55" s="188"/>
      <c r="P55" s="188"/>
      <c r="Q55" s="372"/>
    </row>
    <row r="56" spans="1:17" ht="15.5">
      <c r="A56" s="299">
        <f>'ATT H'!A63</f>
        <v>35</v>
      </c>
      <c r="B56" s="261"/>
      <c r="C56" s="253" t="str">
        <f>'ATT H'!C63</f>
        <v>Total Accumulated Depreciation</v>
      </c>
      <c r="D56" s="148"/>
      <c r="E56" s="254"/>
      <c r="F56" s="289" t="str">
        <f>'ATT H'!F63</f>
        <v>(Sum Lines 31 to 34)</v>
      </c>
      <c r="G56" s="188"/>
      <c r="H56" s="188"/>
      <c r="I56" s="188"/>
      <c r="J56" s="188"/>
      <c r="K56" s="188"/>
      <c r="L56" s="188"/>
      <c r="M56" s="188"/>
      <c r="N56" s="188"/>
      <c r="O56" s="188"/>
      <c r="P56" s="188"/>
      <c r="Q56" s="372"/>
    </row>
    <row r="57" spans="1:17" ht="15.5">
      <c r="A57" s="299">
        <f>'ATT H'!A64</f>
        <v>36</v>
      </c>
      <c r="B57" s="261"/>
      <c r="C57" s="253" t="str">
        <f>'ATT H'!C64</f>
        <v>Wage &amp; Salary Allocation Factor</v>
      </c>
      <c r="D57" s="148"/>
      <c r="E57" s="254"/>
      <c r="F57" s="289" t="str">
        <f>'ATT H'!F64</f>
        <v>(Line 5)</v>
      </c>
      <c r="G57" s="188"/>
      <c r="H57" s="188"/>
      <c r="I57" s="188"/>
      <c r="J57" s="188"/>
      <c r="K57" s="188"/>
      <c r="L57" s="188"/>
      <c r="M57" s="188"/>
      <c r="N57" s="188"/>
      <c r="O57" s="188"/>
      <c r="P57" s="188"/>
      <c r="Q57" s="372"/>
    </row>
    <row r="58" spans="1:17" ht="15.5">
      <c r="A58" s="299">
        <f>'ATT H'!A65</f>
        <v>37</v>
      </c>
      <c r="B58" s="272"/>
      <c r="C58" s="268" t="str">
        <f>'ATT H'!C65</f>
        <v>General &amp; Common Allocated to Transmission</v>
      </c>
      <c r="D58" s="272"/>
      <c r="E58" s="237"/>
      <c r="F58" s="289" t="str">
        <f>'ATT H'!F65</f>
        <v>(Line 35 * Line 36)</v>
      </c>
      <c r="G58" s="188"/>
      <c r="H58" s="188"/>
      <c r="I58" s="188"/>
      <c r="J58" s="188"/>
      <c r="K58" s="188"/>
      <c r="L58" s="188"/>
      <c r="M58" s="188"/>
      <c r="N58" s="188"/>
      <c r="O58" s="188"/>
      <c r="P58" s="188"/>
      <c r="Q58" s="372"/>
    </row>
    <row r="59" spans="1:17" ht="15.5" hidden="1">
      <c r="A59" s="290"/>
      <c r="B59" s="261"/>
      <c r="C59" s="282"/>
      <c r="D59" s="246"/>
      <c r="E59" s="298"/>
      <c r="F59" s="296"/>
      <c r="G59" s="188"/>
      <c r="H59" s="188"/>
      <c r="I59" s="188"/>
      <c r="J59" s="188"/>
      <c r="K59" s="188"/>
      <c r="L59" s="188"/>
      <c r="M59" s="188"/>
      <c r="N59" s="188"/>
      <c r="O59" s="188"/>
      <c r="P59" s="188"/>
      <c r="Q59" s="372"/>
    </row>
    <row r="60" spans="1:17" ht="15.5">
      <c r="A60" s="299">
        <f>'ATT H'!A67</f>
        <v>38</v>
      </c>
      <c r="B60" s="321" t="str">
        <f>'ATT H'!B67</f>
        <v>TOTAL Accumulated Depreciation</v>
      </c>
      <c r="C60" s="321"/>
      <c r="D60" s="321"/>
      <c r="E60" s="270"/>
      <c r="F60" s="334" t="str">
        <f>'ATT H'!F67</f>
        <v>(Line 30 + Line 37)</v>
      </c>
      <c r="G60" s="188"/>
      <c r="H60" s="188"/>
      <c r="I60" s="188"/>
      <c r="J60" s="188"/>
      <c r="K60" s="188"/>
      <c r="L60" s="188"/>
      <c r="M60" s="188"/>
      <c r="N60" s="188"/>
      <c r="O60" s="188"/>
      <c r="P60" s="188"/>
      <c r="Q60" s="372"/>
    </row>
    <row r="61" spans="1:17" ht="15.5" hidden="1">
      <c r="A61" s="290"/>
      <c r="B61" s="261"/>
      <c r="C61" s="282"/>
      <c r="D61" s="246"/>
      <c r="E61" s="298"/>
      <c r="F61" s="296"/>
      <c r="G61" s="188"/>
      <c r="H61" s="188"/>
      <c r="I61" s="188"/>
      <c r="J61" s="188"/>
      <c r="K61" s="188"/>
      <c r="L61" s="188"/>
      <c r="M61" s="188"/>
      <c r="N61" s="188"/>
      <c r="O61" s="188"/>
      <c r="P61" s="188"/>
      <c r="Q61" s="372"/>
    </row>
    <row r="62" spans="1:17" ht="15.5">
      <c r="A62" s="299">
        <f>'ATT H'!A69</f>
        <v>39</v>
      </c>
      <c r="B62" s="321" t="str">
        <f>'ATT H'!B69</f>
        <v>TOTAL Net Property, Plant &amp; Equipment</v>
      </c>
      <c r="C62" s="321"/>
      <c r="D62" s="321"/>
      <c r="E62" s="270"/>
      <c r="F62" s="334" t="str">
        <f>'ATT H'!F69</f>
        <v>(Line 29 - Line 38)</v>
      </c>
      <c r="G62" s="188"/>
      <c r="H62" s="188"/>
      <c r="I62" s="188"/>
      <c r="J62" s="188"/>
      <c r="K62" s="188"/>
      <c r="L62" s="188"/>
      <c r="M62" s="188"/>
      <c r="N62" s="188"/>
      <c r="O62" s="188"/>
      <c r="P62" s="188"/>
      <c r="Q62" s="372"/>
    </row>
    <row r="63" spans="1:17" ht="15.5" hidden="1">
      <c r="A63" s="290"/>
      <c r="B63" s="261"/>
      <c r="C63" s="282"/>
      <c r="D63" s="246"/>
      <c r="E63" s="298"/>
      <c r="F63" s="296"/>
      <c r="G63" s="188"/>
      <c r="H63" s="188"/>
      <c r="I63" s="188"/>
      <c r="J63" s="188"/>
      <c r="K63" s="188"/>
      <c r="L63" s="188"/>
      <c r="M63" s="188"/>
      <c r="N63" s="188"/>
      <c r="O63" s="188"/>
      <c r="P63" s="188"/>
      <c r="Q63" s="372"/>
    </row>
    <row r="64" spans="1:17" ht="15.5">
      <c r="A64" s="302" t="str">
        <f>'ATT H'!A71</f>
        <v>Adjustment To Rate Base</v>
      </c>
      <c r="B64" s="248"/>
      <c r="C64" s="248"/>
      <c r="D64" s="248"/>
      <c r="E64" s="249"/>
      <c r="F64" s="303"/>
      <c r="G64" s="188"/>
      <c r="H64" s="188"/>
      <c r="I64" s="188"/>
      <c r="J64" s="188"/>
      <c r="K64" s="188"/>
      <c r="L64" s="188"/>
      <c r="M64" s="188"/>
      <c r="N64" s="188"/>
      <c r="O64" s="188"/>
      <c r="P64" s="188"/>
      <c r="Q64" s="372"/>
    </row>
    <row r="65" spans="1:17" ht="15.5" hidden="1">
      <c r="A65" s="290"/>
      <c r="B65" s="261"/>
      <c r="C65" s="282"/>
      <c r="D65" s="246"/>
      <c r="E65" s="298"/>
      <c r="F65" s="296"/>
      <c r="G65" s="188"/>
      <c r="H65" s="188"/>
      <c r="I65" s="188"/>
      <c r="J65" s="188"/>
      <c r="K65" s="188"/>
      <c r="L65" s="188"/>
      <c r="M65" s="188"/>
      <c r="N65" s="188"/>
      <c r="O65" s="188"/>
      <c r="P65" s="188"/>
      <c r="Q65" s="372"/>
    </row>
    <row r="66" spans="1:17" ht="15.5">
      <c r="A66" s="305"/>
      <c r="B66" s="255" t="str">
        <f>'ATT H'!B73</f>
        <v>Accumulated Deferred Income Taxes</v>
      </c>
      <c r="C66" s="148"/>
      <c r="D66" s="236"/>
      <c r="E66" s="306"/>
      <c r="F66" s="293"/>
      <c r="G66" s="188"/>
      <c r="H66" s="188"/>
      <c r="I66" s="188"/>
      <c r="J66" s="188"/>
      <c r="K66" s="188"/>
      <c r="L66" s="188"/>
      <c r="M66" s="188"/>
      <c r="N66" s="188"/>
      <c r="O66" s="188"/>
      <c r="P66" s="188"/>
      <c r="Q66" s="372"/>
    </row>
    <row r="67" spans="1:17" ht="15.5">
      <c r="A67" s="305">
        <f>'ATT H'!A74</f>
        <v>40</v>
      </c>
      <c r="B67" s="255"/>
      <c r="C67" s="148" t="str">
        <f>'ATT H'!C74</f>
        <v>ADIT net of FASB 106 and 109</v>
      </c>
      <c r="D67" s="236"/>
      <c r="E67" s="237"/>
      <c r="F67" s="307" t="str">
        <f>'ATT H'!F74</f>
        <v>Attachment 1</v>
      </c>
      <c r="G67" s="188"/>
      <c r="H67" s="188"/>
      <c r="I67" s="188"/>
      <c r="J67" s="188"/>
      <c r="K67" s="188"/>
      <c r="L67" s="188"/>
      <c r="M67" s="188"/>
      <c r="N67" s="188"/>
      <c r="O67" s="188"/>
      <c r="P67" s="188"/>
      <c r="Q67" s="372"/>
    </row>
    <row r="68" spans="1:17" ht="15.5">
      <c r="A68" s="299" t="e">
        <f>'ATT H'!#REF!</f>
        <v>#REF!</v>
      </c>
      <c r="B68" s="236"/>
      <c r="C68" s="257" t="e">
        <f>'ATT H'!#REF!</f>
        <v>#REF!</v>
      </c>
      <c r="D68" s="308"/>
      <c r="E68" s="309"/>
      <c r="F68" s="300" t="e">
        <f>'ATT H'!#REF!</f>
        <v>#REF!</v>
      </c>
      <c r="G68" s="188"/>
      <c r="H68" s="188"/>
      <c r="I68" s="188"/>
      <c r="J68" s="188"/>
      <c r="K68" s="188"/>
      <c r="L68" s="188"/>
      <c r="M68" s="188"/>
      <c r="N68" s="188"/>
      <c r="O68" s="188"/>
      <c r="P68" s="188"/>
      <c r="Q68" s="372"/>
    </row>
    <row r="69" spans="1:17" ht="15.5">
      <c r="A69" s="299" t="e">
        <f>'ATT H'!#REF!</f>
        <v>#REF!</v>
      </c>
      <c r="B69" s="236"/>
      <c r="C69" s="257" t="e">
        <f>'ATT H'!#REF!</f>
        <v>#REF!</v>
      </c>
      <c r="D69" s="308"/>
      <c r="E69" s="309"/>
      <c r="F69" s="300" t="e">
        <f>'ATT H'!#REF!</f>
        <v>#REF!</v>
      </c>
      <c r="G69" s="188"/>
      <c r="H69" s="188"/>
      <c r="I69" s="188"/>
      <c r="J69" s="188"/>
      <c r="K69" s="188"/>
      <c r="L69" s="188"/>
      <c r="M69" s="188"/>
      <c r="N69" s="188"/>
      <c r="O69" s="188"/>
      <c r="P69" s="188"/>
      <c r="Q69" s="372"/>
    </row>
    <row r="70" spans="1:17" ht="15.5">
      <c r="A70" s="299">
        <f>'ATT H'!A75</f>
        <v>41</v>
      </c>
      <c r="B70" s="236"/>
      <c r="C70" s="257" t="str">
        <f>'ATT H'!C75</f>
        <v>Accumulated Investment Tax Credit Account No. 255</v>
      </c>
      <c r="D70" s="258"/>
      <c r="E70" s="259" t="str">
        <f>'ATT H'!E75</f>
        <v>(Notes A &amp; I)</v>
      </c>
      <c r="F70" s="300" t="str">
        <f>'ATT H'!F75</f>
        <v>Attachment 5</v>
      </c>
      <c r="G70" s="232" t="s">
        <v>336</v>
      </c>
      <c r="H70" s="188"/>
      <c r="I70" s="188"/>
      <c r="J70" s="188"/>
      <c r="K70" s="188"/>
      <c r="L70" s="188"/>
      <c r="M70" s="232" t="s">
        <v>336</v>
      </c>
      <c r="N70" s="188"/>
      <c r="O70" s="188"/>
      <c r="P70" s="188"/>
      <c r="Q70" s="372"/>
    </row>
    <row r="71" spans="1:17" ht="15.5">
      <c r="A71" s="299">
        <f>'ATT H'!A76</f>
        <v>42</v>
      </c>
      <c r="B71" s="236"/>
      <c r="C71" s="263" t="s">
        <v>428</v>
      </c>
      <c r="D71" s="236"/>
      <c r="E71" s="267"/>
      <c r="F71" s="300" t="str">
        <f>'ATT H'!F76</f>
        <v>(Line 18)</v>
      </c>
      <c r="G71" s="188"/>
      <c r="H71" s="188"/>
      <c r="I71" s="188"/>
      <c r="J71" s="188"/>
      <c r="K71" s="188"/>
      <c r="L71" s="188"/>
      <c r="M71" s="188"/>
      <c r="N71" s="188"/>
      <c r="O71" s="188"/>
      <c r="P71" s="188"/>
      <c r="Q71" s="372"/>
    </row>
    <row r="72" spans="1:17" ht="15.5">
      <c r="A72" s="310">
        <f>'ATT H'!A77</f>
        <v>43</v>
      </c>
      <c r="B72" s="236"/>
      <c r="C72" s="255" t="s">
        <v>429</v>
      </c>
      <c r="D72" s="236"/>
      <c r="E72" s="267"/>
      <c r="F72" s="300" t="str">
        <f>'ATT H'!F77</f>
        <v>(Line 41 * Line 42) + Line 40</v>
      </c>
      <c r="G72" s="188"/>
      <c r="H72" s="188"/>
      <c r="I72" s="188"/>
      <c r="J72" s="188"/>
      <c r="K72" s="188"/>
      <c r="L72" s="188"/>
      <c r="M72" s="188"/>
      <c r="N72" s="188"/>
      <c r="O72" s="188"/>
      <c r="P72" s="188"/>
      <c r="Q72" s="372"/>
    </row>
    <row r="73" spans="1:17" ht="15.5" hidden="1">
      <c r="A73" s="290"/>
      <c r="B73" s="261"/>
      <c r="C73" s="282"/>
      <c r="D73" s="246"/>
      <c r="E73" s="298"/>
      <c r="F73" s="296"/>
      <c r="G73" s="188"/>
      <c r="H73" s="188"/>
      <c r="I73" s="188"/>
      <c r="J73" s="188"/>
      <c r="K73" s="188"/>
      <c r="L73" s="188"/>
      <c r="M73" s="188"/>
      <c r="N73" s="188"/>
      <c r="O73" s="188"/>
      <c r="P73" s="188"/>
      <c r="Q73" s="372"/>
    </row>
    <row r="74" spans="1:17" ht="15.5" hidden="1">
      <c r="A74" s="290"/>
      <c r="B74" s="261"/>
      <c r="C74" s="282"/>
      <c r="D74" s="246"/>
      <c r="E74" s="298"/>
      <c r="F74" s="296"/>
      <c r="G74" s="188"/>
      <c r="H74" s="188"/>
      <c r="I74" s="188"/>
      <c r="J74" s="188"/>
      <c r="K74" s="188"/>
      <c r="L74" s="188"/>
      <c r="M74" s="188"/>
      <c r="N74" s="188"/>
      <c r="O74" s="188"/>
      <c r="P74" s="188"/>
      <c r="Q74" s="372"/>
    </row>
    <row r="75" spans="1:17" ht="15.5">
      <c r="A75" s="299"/>
      <c r="B75" s="255" t="str">
        <f>'ATT H'!B80</f>
        <v>Prepayments</v>
      </c>
      <c r="C75" s="263"/>
      <c r="D75" s="148"/>
      <c r="E75" s="237"/>
      <c r="F75" s="311"/>
      <c r="G75" s="188"/>
      <c r="H75" s="188"/>
      <c r="I75" s="188"/>
      <c r="J75" s="188"/>
      <c r="K75" s="188"/>
      <c r="L75" s="188"/>
      <c r="M75" s="188"/>
      <c r="N75" s="188"/>
      <c r="O75" s="188"/>
      <c r="P75" s="188"/>
      <c r="Q75" s="372"/>
    </row>
    <row r="76" spans="1:17" ht="15.5">
      <c r="A76" s="299">
        <f>'ATT H'!A81</f>
        <v>44</v>
      </c>
      <c r="B76" s="312"/>
      <c r="C76" s="263" t="str">
        <f>'ATT H'!C81</f>
        <v>Prepayments (Account 165)</v>
      </c>
      <c r="D76" s="245"/>
      <c r="E76" s="285" t="str">
        <f>'ATT H'!E81</f>
        <v>(Note A)</v>
      </c>
      <c r="F76" s="313" t="str">
        <f>'ATT H'!F81</f>
        <v>Attachment 5</v>
      </c>
      <c r="G76" s="232" t="s">
        <v>336</v>
      </c>
      <c r="H76" s="188"/>
      <c r="I76" s="188"/>
      <c r="J76" s="188"/>
      <c r="K76" s="188"/>
      <c r="L76" s="188"/>
      <c r="M76" s="188"/>
      <c r="N76" s="188"/>
      <c r="O76" s="188"/>
      <c r="P76" s="188"/>
      <c r="Q76" s="372"/>
    </row>
    <row r="77" spans="1:17" ht="15.5">
      <c r="A77" s="290">
        <f>'ATT H'!A82</f>
        <v>45</v>
      </c>
      <c r="B77" s="314"/>
      <c r="C77" s="263" t="str">
        <f>'ATT H'!C82</f>
        <v>Net Plant Allocation Factor</v>
      </c>
      <c r="D77" s="260"/>
      <c r="E77" s="261"/>
      <c r="F77" s="289" t="str">
        <f>'ATT H'!F82</f>
        <v>(Line 18)</v>
      </c>
      <c r="G77" s="188"/>
      <c r="H77" s="188"/>
      <c r="I77" s="188"/>
      <c r="J77" s="188"/>
      <c r="K77" s="188"/>
      <c r="L77" s="188"/>
      <c r="M77" s="188"/>
      <c r="N77" s="188"/>
      <c r="O77" s="188"/>
      <c r="P77" s="188"/>
      <c r="Q77" s="372"/>
    </row>
    <row r="78" spans="1:17" ht="15.5">
      <c r="A78" s="290">
        <f>'ATT H'!A83</f>
        <v>46</v>
      </c>
      <c r="B78" s="314"/>
      <c r="C78" s="284" t="str">
        <f>'ATT H'!C83</f>
        <v>Total Prepayments Allocated to Transmission</v>
      </c>
      <c r="D78" s="148"/>
      <c r="E78" s="261"/>
      <c r="F78" s="289" t="str">
        <f>'ATT H'!F83</f>
        <v>(Line 44 * Line 45)</v>
      </c>
      <c r="G78" s="188"/>
      <c r="H78" s="188"/>
      <c r="I78" s="188"/>
      <c r="J78" s="188"/>
      <c r="K78" s="188"/>
      <c r="L78" s="188"/>
      <c r="M78" s="188"/>
      <c r="N78" s="188"/>
      <c r="O78" s="188"/>
      <c r="P78" s="188"/>
      <c r="Q78" s="372"/>
    </row>
    <row r="79" spans="1:17" ht="15.5" hidden="1">
      <c r="A79" s="290"/>
      <c r="B79" s="261"/>
      <c r="C79" s="282"/>
      <c r="D79" s="246"/>
      <c r="E79" s="298"/>
      <c r="F79" s="296"/>
      <c r="G79" s="188"/>
      <c r="H79" s="188"/>
      <c r="I79" s="188"/>
      <c r="J79" s="188"/>
      <c r="K79" s="188"/>
      <c r="L79" s="188"/>
      <c r="M79" s="188"/>
      <c r="N79" s="188"/>
      <c r="O79" s="188"/>
      <c r="P79" s="188"/>
      <c r="Q79" s="372"/>
    </row>
    <row r="80" spans="1:17" ht="15.5">
      <c r="A80" s="299"/>
      <c r="B80" s="255" t="str">
        <f>'ATT H'!B85</f>
        <v>Materials and Supplies</v>
      </c>
      <c r="C80" s="236"/>
      <c r="D80" s="236"/>
      <c r="E80" s="315"/>
      <c r="F80" s="316"/>
      <c r="G80" s="188"/>
      <c r="H80" s="188"/>
      <c r="I80" s="188"/>
      <c r="J80" s="188"/>
      <c r="K80" s="188"/>
      <c r="L80" s="188"/>
      <c r="M80" s="188"/>
      <c r="N80" s="188"/>
      <c r="O80" s="188"/>
      <c r="P80" s="188"/>
      <c r="Q80" s="372"/>
    </row>
    <row r="81" spans="1:17" ht="15.5">
      <c r="A81" s="305">
        <f>'ATT H'!A86</f>
        <v>47</v>
      </c>
      <c r="B81" s="236"/>
      <c r="C81" s="236" t="str">
        <f>'ATT H'!C86</f>
        <v>Undistributed Stores Exp</v>
      </c>
      <c r="D81" s="246"/>
      <c r="E81" s="285" t="str">
        <f>'ATT H'!E86</f>
        <v>(Note A)</v>
      </c>
      <c r="F81" s="317" t="str">
        <f>'ATT H'!F86</f>
        <v>Attachment 5</v>
      </c>
      <c r="G81" s="232" t="s">
        <v>336</v>
      </c>
      <c r="H81" s="188"/>
      <c r="I81" s="188"/>
      <c r="J81" s="188"/>
      <c r="K81" s="188"/>
      <c r="L81" s="188"/>
      <c r="M81" s="188"/>
      <c r="N81" s="188"/>
      <c r="O81" s="188"/>
      <c r="P81" s="188"/>
      <c r="Q81" s="372"/>
    </row>
    <row r="82" spans="1:17" ht="15.5">
      <c r="A82" s="299">
        <f>'ATT H'!A87</f>
        <v>48</v>
      </c>
      <c r="B82" s="314"/>
      <c r="C82" s="263" t="str">
        <f>'ATT H'!C87</f>
        <v>Wage &amp; Salary Allocation Factor</v>
      </c>
      <c r="D82" s="260"/>
      <c r="E82" s="280"/>
      <c r="F82" s="289" t="str">
        <f>'ATT H'!F87</f>
        <v>(Line 5)</v>
      </c>
      <c r="G82" s="188"/>
      <c r="H82" s="188"/>
      <c r="I82" s="188"/>
      <c r="J82" s="188"/>
      <c r="K82" s="188"/>
      <c r="L82" s="188"/>
      <c r="M82" s="188"/>
      <c r="N82" s="188"/>
      <c r="O82" s="188"/>
      <c r="P82" s="188"/>
      <c r="Q82" s="372"/>
    </row>
    <row r="83" spans="1:17" ht="15.5">
      <c r="A83" s="299">
        <f>'ATT H'!A88</f>
        <v>49</v>
      </c>
      <c r="B83" s="314"/>
      <c r="C83" s="263" t="str">
        <f>'ATT H'!C88</f>
        <v>Total Transmission Allocated</v>
      </c>
      <c r="D83" s="246"/>
      <c r="E83" s="267"/>
      <c r="F83" s="289" t="str">
        <f>'ATT H'!F88</f>
        <v>(Line 47 * Line 48)</v>
      </c>
      <c r="G83" s="188"/>
      <c r="H83" s="188"/>
      <c r="I83" s="188"/>
      <c r="J83" s="188"/>
      <c r="K83" s="188"/>
      <c r="L83" s="188"/>
      <c r="M83" s="188"/>
      <c r="N83" s="188"/>
      <c r="O83" s="188"/>
      <c r="P83" s="188"/>
      <c r="Q83" s="372"/>
    </row>
    <row r="84" spans="1:17" ht="15.5">
      <c r="A84" s="299">
        <f>'ATT H'!A89</f>
        <v>50</v>
      </c>
      <c r="B84" s="314"/>
      <c r="C84" s="263" t="str">
        <f>'ATT H'!C89</f>
        <v>Transmission Materials &amp; Supplies</v>
      </c>
      <c r="D84" s="246"/>
      <c r="E84" s="280"/>
      <c r="F84" s="317" t="str">
        <f>'ATT H'!F89</f>
        <v>Attachment 5</v>
      </c>
      <c r="G84" s="188"/>
      <c r="H84" s="188"/>
      <c r="I84" s="188"/>
      <c r="J84" s="188"/>
      <c r="K84" s="188"/>
      <c r="L84" s="188"/>
      <c r="M84" s="188"/>
      <c r="N84" s="188"/>
      <c r="O84" s="188"/>
      <c r="P84" s="188"/>
      <c r="Q84" s="372"/>
    </row>
    <row r="85" spans="1:17" ht="15.5">
      <c r="A85" s="299">
        <f>'ATT H'!A90</f>
        <v>51</v>
      </c>
      <c r="B85" s="314"/>
      <c r="C85" s="284" t="str">
        <f>'ATT H'!C90</f>
        <v>Total Materials &amp; Supplies Allocated to Transmission</v>
      </c>
      <c r="D85" s="269"/>
      <c r="E85" s="340"/>
      <c r="F85" s="289" t="str">
        <f>'ATT H'!F90</f>
        <v>(Line 49 + Line 50)</v>
      </c>
      <c r="G85" s="188"/>
      <c r="H85" s="188"/>
      <c r="I85" s="188"/>
      <c r="J85" s="188"/>
      <c r="K85" s="188"/>
      <c r="L85" s="188"/>
      <c r="M85" s="188"/>
      <c r="N85" s="188"/>
      <c r="O85" s="188"/>
      <c r="P85" s="188"/>
      <c r="Q85" s="372"/>
    </row>
    <row r="86" spans="1:17" ht="15.5" hidden="1">
      <c r="A86" s="290"/>
      <c r="B86" s="261"/>
      <c r="C86" s="282"/>
      <c r="D86" s="246"/>
      <c r="E86" s="298"/>
      <c r="F86" s="296"/>
      <c r="G86" s="188"/>
      <c r="H86" s="188"/>
      <c r="I86" s="188"/>
      <c r="J86" s="188"/>
      <c r="K86" s="188"/>
      <c r="L86" s="188"/>
      <c r="M86" s="188"/>
      <c r="N86" s="188"/>
      <c r="O86" s="188"/>
      <c r="P86" s="188"/>
      <c r="Q86" s="372"/>
    </row>
    <row r="87" spans="1:17" ht="15.5">
      <c r="A87" s="299"/>
      <c r="B87" s="255" t="str">
        <f>'ATT H'!B92</f>
        <v>Cash Working Capital</v>
      </c>
      <c r="C87" s="236"/>
      <c r="D87" s="148"/>
      <c r="E87" s="237"/>
      <c r="F87" s="311"/>
      <c r="G87" s="188"/>
      <c r="H87" s="188"/>
      <c r="I87" s="188"/>
      <c r="J87" s="188"/>
      <c r="K87" s="188"/>
      <c r="L87" s="188"/>
      <c r="M87" s="188"/>
      <c r="N87" s="188"/>
      <c r="O87" s="188"/>
      <c r="P87" s="188"/>
      <c r="Q87" s="372"/>
    </row>
    <row r="88" spans="1:17" ht="15.5">
      <c r="A88" s="299">
        <f>'ATT H'!A93</f>
        <v>52</v>
      </c>
      <c r="B88" s="314"/>
      <c r="C88" s="263" t="str">
        <f>'ATT H'!C93</f>
        <v>Operation &amp; Maintenance Expense</v>
      </c>
      <c r="D88" s="318"/>
      <c r="E88" s="237"/>
      <c r="F88" s="289" t="str">
        <f>'ATT H'!F93</f>
        <v>(Line 84)</v>
      </c>
      <c r="G88" s="188"/>
      <c r="H88" s="188"/>
      <c r="I88" s="188"/>
      <c r="J88" s="188"/>
      <c r="K88" s="188"/>
      <c r="L88" s="188"/>
      <c r="M88" s="188"/>
      <c r="N88" s="188"/>
      <c r="O88" s="188"/>
      <c r="P88" s="188"/>
      <c r="Q88" s="372"/>
    </row>
    <row r="89" spans="1:17" ht="15.5">
      <c r="A89" s="299">
        <f>'ATT H'!A94</f>
        <v>53</v>
      </c>
      <c r="B89" s="314"/>
      <c r="C89" s="260" t="str">
        <f>'ATT H'!C94</f>
        <v>1/8th Rule</v>
      </c>
      <c r="D89" s="318"/>
      <c r="E89" s="237"/>
      <c r="F89" s="313" t="str">
        <f>'ATT H'!F94</f>
        <v>x 1/8</v>
      </c>
      <c r="G89" s="188"/>
      <c r="H89" s="188"/>
      <c r="I89" s="188"/>
      <c r="J89" s="188"/>
      <c r="K89" s="188"/>
      <c r="L89" s="188"/>
      <c r="M89" s="188"/>
      <c r="N89" s="188"/>
      <c r="O89" s="188"/>
      <c r="P89" s="188"/>
      <c r="Q89" s="372"/>
    </row>
    <row r="90" spans="1:17" ht="15.5">
      <c r="A90" s="299">
        <f>'ATT H'!A95</f>
        <v>54</v>
      </c>
      <c r="B90" s="319"/>
      <c r="C90" s="255" t="str">
        <f>'ATT H'!C95</f>
        <v>Total Cash Working Capital Allocated to Transmission</v>
      </c>
      <c r="D90" s="262"/>
      <c r="E90" s="270"/>
      <c r="F90" s="289" t="str">
        <f>'ATT H'!F95</f>
        <v>(Line 52 * Line 53)</v>
      </c>
      <c r="G90" s="188"/>
      <c r="H90" s="188"/>
      <c r="I90" s="188"/>
      <c r="J90" s="188"/>
      <c r="K90" s="188"/>
      <c r="L90" s="188"/>
      <c r="M90" s="188"/>
      <c r="N90" s="188"/>
      <c r="O90" s="188"/>
      <c r="P90" s="188"/>
      <c r="Q90" s="372"/>
    </row>
    <row r="91" spans="1:17" ht="15.5" hidden="1">
      <c r="A91" s="290"/>
      <c r="B91" s="261"/>
      <c r="C91" s="282"/>
      <c r="D91" s="246"/>
      <c r="E91" s="298"/>
      <c r="F91" s="296"/>
      <c r="G91" s="188"/>
      <c r="H91" s="188"/>
      <c r="I91" s="188"/>
      <c r="J91" s="188"/>
      <c r="K91" s="188"/>
      <c r="L91" s="188"/>
      <c r="M91" s="188"/>
      <c r="N91" s="188"/>
      <c r="O91" s="188"/>
      <c r="P91" s="188"/>
      <c r="Q91" s="372"/>
    </row>
    <row r="92" spans="1:17" ht="15.5">
      <c r="A92" s="320"/>
      <c r="B92" s="255" t="str">
        <f>'ATT H'!B97</f>
        <v>Network Credits</v>
      </c>
      <c r="C92" s="321"/>
      <c r="D92" s="262"/>
      <c r="F92" s="289"/>
      <c r="G92" s="188"/>
      <c r="H92" s="188"/>
      <c r="I92" s="188"/>
      <c r="J92" s="188"/>
      <c r="K92" s="188"/>
      <c r="L92" s="188"/>
      <c r="M92" s="188"/>
      <c r="N92" s="188"/>
      <c r="O92" s="188"/>
      <c r="P92" s="232" t="s">
        <v>336</v>
      </c>
      <c r="Q92" s="372"/>
    </row>
    <row r="93" spans="1:17" ht="15.5">
      <c r="A93" s="299">
        <f>'ATT H'!A98</f>
        <v>55</v>
      </c>
      <c r="B93" s="272"/>
      <c r="C93" s="272" t="str">
        <f>'ATT H'!C98</f>
        <v>Outstanding Network Credits</v>
      </c>
      <c r="D93" s="272"/>
      <c r="E93" s="322" t="str">
        <f>'ATT H'!E98</f>
        <v>(Note N)</v>
      </c>
      <c r="F93" s="293" t="str">
        <f>'ATT H'!F98</f>
        <v>From PJM</v>
      </c>
      <c r="G93" s="188"/>
      <c r="H93" s="188"/>
      <c r="I93" s="188"/>
      <c r="J93" s="188"/>
      <c r="K93" s="188"/>
      <c r="L93" s="188"/>
      <c r="M93" s="188"/>
      <c r="N93" s="188"/>
      <c r="O93" s="188"/>
      <c r="P93" s="188"/>
      <c r="Q93" s="372"/>
    </row>
    <row r="94" spans="1:17" ht="15.5">
      <c r="A94" s="292">
        <f>'ATT H'!A99</f>
        <v>56</v>
      </c>
      <c r="B94" s="272"/>
      <c r="C94" s="272" t="str">
        <f>'ATT H'!C99</f>
        <v xml:space="preserve">    Less Accumulated Depreciation Associated with Facilities with Outstanding Network Credits</v>
      </c>
      <c r="D94" s="272"/>
      <c r="E94" s="237"/>
      <c r="F94" s="293" t="str">
        <f>'ATT H'!F99</f>
        <v>From PJM</v>
      </c>
      <c r="G94" s="188"/>
      <c r="H94" s="188"/>
      <c r="I94" s="188"/>
      <c r="J94" s="188"/>
      <c r="K94" s="188"/>
      <c r="L94" s="188"/>
      <c r="M94" s="188"/>
      <c r="N94" s="188"/>
      <c r="O94" s="188"/>
      <c r="P94" s="188"/>
      <c r="Q94" s="372"/>
    </row>
    <row r="95" spans="1:17" ht="15.5">
      <c r="A95" s="292">
        <f>'ATT H'!A100</f>
        <v>57</v>
      </c>
      <c r="B95" s="272"/>
      <c r="C95" s="272" t="str">
        <f>'ATT H'!C100</f>
        <v>Net Outstanding Credits</v>
      </c>
      <c r="D95" s="272"/>
      <c r="E95" s="237"/>
      <c r="F95" s="289" t="str">
        <f>'ATT H'!F100</f>
        <v>(Line 55 - Line 56)</v>
      </c>
      <c r="G95" s="188"/>
      <c r="H95" s="188"/>
      <c r="I95" s="188"/>
      <c r="J95" s="188"/>
      <c r="K95" s="188"/>
      <c r="L95" s="188"/>
      <c r="M95" s="188"/>
      <c r="N95" s="188"/>
      <c r="O95" s="188"/>
      <c r="P95" s="188"/>
      <c r="Q95" s="372"/>
    </row>
    <row r="96" spans="1:17" ht="15.5" hidden="1">
      <c r="A96" s="290"/>
      <c r="B96" s="261"/>
      <c r="C96" s="282"/>
      <c r="D96" s="246"/>
      <c r="E96" s="298"/>
      <c r="F96" s="296"/>
      <c r="G96" s="188"/>
      <c r="H96" s="188"/>
      <c r="I96" s="188"/>
      <c r="J96" s="188"/>
      <c r="K96" s="188"/>
      <c r="L96" s="188"/>
      <c r="M96" s="188"/>
      <c r="N96" s="188"/>
      <c r="O96" s="188"/>
      <c r="P96" s="188"/>
      <c r="Q96" s="372"/>
    </row>
    <row r="97" spans="1:17" ht="15.5">
      <c r="A97" s="292">
        <f>'ATT H'!A102</f>
        <v>58</v>
      </c>
      <c r="B97" s="321" t="str">
        <f>'ATT H'!B102</f>
        <v>TOTAL Adjustment to Rate Base</v>
      </c>
      <c r="C97" s="321"/>
      <c r="D97" s="321"/>
      <c r="E97" s="270"/>
      <c r="F97" s="289" t="str">
        <f>'ATT H'!F102</f>
        <v>(Lines 43 + 46 + 51 + 54 - 57)</v>
      </c>
      <c r="G97" s="188"/>
      <c r="H97" s="188"/>
      <c r="I97" s="188"/>
      <c r="J97" s="188"/>
      <c r="K97" s="188"/>
      <c r="L97" s="188"/>
      <c r="M97" s="188"/>
      <c r="N97" s="188"/>
      <c r="O97" s="188"/>
      <c r="P97" s="188"/>
      <c r="Q97" s="372"/>
    </row>
    <row r="98" spans="1:17" ht="15.5" hidden="1">
      <c r="A98" s="290"/>
      <c r="B98" s="261"/>
      <c r="C98" s="282"/>
      <c r="D98" s="246"/>
      <c r="E98" s="298"/>
      <c r="F98" s="296"/>
      <c r="G98" s="188"/>
      <c r="H98" s="188"/>
      <c r="I98" s="188"/>
      <c r="J98" s="188"/>
      <c r="K98" s="188"/>
      <c r="L98" s="188"/>
      <c r="M98" s="188"/>
      <c r="N98" s="188"/>
      <c r="O98" s="188"/>
      <c r="P98" s="188"/>
      <c r="Q98" s="372"/>
    </row>
    <row r="99" spans="1:17" ht="15.5">
      <c r="A99" s="290">
        <f>'ATT H'!A104</f>
        <v>59</v>
      </c>
      <c r="B99" s="321" t="str">
        <f>'ATT H'!B104</f>
        <v>Rate Base</v>
      </c>
      <c r="C99" s="321"/>
      <c r="D99" s="321"/>
      <c r="E99" s="270"/>
      <c r="F99" s="289" t="str">
        <f>'ATT H'!F104</f>
        <v>(Line 39 + Line 58)</v>
      </c>
      <c r="G99" s="188"/>
      <c r="H99" s="188"/>
      <c r="I99" s="188"/>
      <c r="J99" s="188"/>
      <c r="K99" s="188"/>
      <c r="L99" s="188"/>
      <c r="M99" s="188"/>
      <c r="N99" s="188"/>
      <c r="O99" s="188"/>
      <c r="P99" s="188"/>
      <c r="Q99" s="372"/>
    </row>
    <row r="100" spans="1:17" ht="15.5" hidden="1">
      <c r="A100" s="290"/>
      <c r="B100" s="261"/>
      <c r="C100" s="282"/>
      <c r="D100" s="246"/>
      <c r="E100" s="298"/>
      <c r="F100" s="296"/>
      <c r="G100" s="188"/>
      <c r="H100" s="188"/>
      <c r="I100" s="188"/>
      <c r="J100" s="188"/>
      <c r="K100" s="188"/>
      <c r="L100" s="188"/>
      <c r="M100" s="188"/>
      <c r="N100" s="188"/>
      <c r="O100" s="188"/>
      <c r="P100" s="188"/>
      <c r="Q100" s="372"/>
    </row>
    <row r="101" spans="1:17" ht="15.5">
      <c r="A101" s="302" t="str">
        <f>'ATT H'!A106</f>
        <v>O&amp;M</v>
      </c>
      <c r="B101" s="247"/>
      <c r="C101" s="323"/>
      <c r="D101" s="248"/>
      <c r="E101" s="249"/>
      <c r="F101" s="303"/>
      <c r="G101" s="188"/>
      <c r="H101" s="188"/>
      <c r="I101" s="188"/>
      <c r="J101" s="188"/>
      <c r="K101" s="188"/>
      <c r="L101" s="188"/>
      <c r="M101" s="188"/>
      <c r="N101" s="188"/>
      <c r="O101" s="188"/>
      <c r="P101" s="188"/>
      <c r="Q101" s="372"/>
    </row>
    <row r="102" spans="1:17" ht="15.5" hidden="1">
      <c r="A102" s="290"/>
      <c r="B102" s="261"/>
      <c r="C102" s="282"/>
      <c r="D102" s="246"/>
      <c r="E102" s="298"/>
      <c r="F102" s="296"/>
      <c r="G102" s="188"/>
      <c r="H102" s="188"/>
      <c r="I102" s="188"/>
      <c r="J102" s="188"/>
      <c r="K102" s="188"/>
      <c r="L102" s="188"/>
      <c r="M102" s="188"/>
      <c r="N102" s="188"/>
      <c r="O102" s="188"/>
      <c r="P102" s="188"/>
      <c r="Q102" s="372"/>
    </row>
    <row r="103" spans="1:17" ht="15.5">
      <c r="A103" s="290">
        <f>'ATT H'!A108</f>
        <v>0</v>
      </c>
      <c r="B103" s="282" t="str">
        <f>'ATT H'!B108</f>
        <v>Transmission O&amp;M</v>
      </c>
      <c r="C103" s="148"/>
      <c r="D103" s="252"/>
      <c r="E103" s="254"/>
      <c r="F103" s="293"/>
      <c r="G103" s="188"/>
      <c r="H103" s="188"/>
      <c r="I103" s="188"/>
      <c r="J103" s="188"/>
      <c r="K103" s="188"/>
      <c r="L103" s="188"/>
      <c r="M103" s="188"/>
      <c r="N103" s="188"/>
      <c r="O103" s="188"/>
      <c r="P103" s="188"/>
      <c r="Q103" s="372"/>
    </row>
    <row r="104" spans="1:17" ht="15.5">
      <c r="A104" s="290">
        <f>'ATT H'!A109</f>
        <v>60</v>
      </c>
      <c r="B104" s="261"/>
      <c r="C104" s="257" t="str">
        <f>'ATT H'!C109</f>
        <v>Transmission O&amp;M</v>
      </c>
      <c r="D104" s="246"/>
      <c r="E104" s="267"/>
      <c r="F104" s="300" t="str">
        <f>'ATT H'!F109</f>
        <v>p321.112.b</v>
      </c>
      <c r="G104" s="188"/>
      <c r="H104" s="188"/>
      <c r="I104" s="188"/>
      <c r="J104" s="188"/>
      <c r="K104" s="188"/>
      <c r="L104" s="188"/>
      <c r="M104" s="188"/>
      <c r="N104" s="188"/>
      <c r="O104" s="188"/>
      <c r="P104" s="188"/>
      <c r="Q104" s="372"/>
    </row>
    <row r="105" spans="1:17" ht="15.5">
      <c r="A105" s="290">
        <f>'ATT H'!A112</f>
        <v>63</v>
      </c>
      <c r="B105" s="261"/>
      <c r="C105" s="257" t="str">
        <f>'ATT H'!C112</f>
        <v xml:space="preserve">     Less Account 565 and other excluded transmission expenses</v>
      </c>
      <c r="D105" s="246"/>
      <c r="E105" s="267"/>
      <c r="F105" s="300" t="str">
        <f>'ATT H'!F112</f>
        <v>Attachment 5</v>
      </c>
      <c r="G105" s="188"/>
      <c r="H105" s="188"/>
      <c r="I105" s="188"/>
      <c r="J105" s="188"/>
      <c r="K105" s="188"/>
      <c r="L105" s="188"/>
      <c r="M105" s="188"/>
      <c r="N105" s="188"/>
      <c r="O105" s="188"/>
      <c r="P105" s="188"/>
      <c r="Q105" s="372"/>
    </row>
    <row r="106" spans="1:17" ht="15.5">
      <c r="A106" s="290">
        <f>'ATT H'!A114</f>
        <v>65</v>
      </c>
      <c r="B106" s="261"/>
      <c r="C106" s="257" t="str">
        <f>'ATT H'!C114</f>
        <v xml:space="preserve">     Plus Transmission Lease Payments</v>
      </c>
      <c r="D106" s="256"/>
      <c r="E106" s="231"/>
      <c r="F106" s="300" t="str">
        <f>'ATT H'!F114</f>
        <v>Attachment 5</v>
      </c>
      <c r="G106" s="188"/>
      <c r="H106" s="188"/>
      <c r="I106" s="188"/>
      <c r="J106" s="188"/>
      <c r="K106" s="188"/>
      <c r="L106" s="188"/>
      <c r="M106" s="188"/>
      <c r="N106" s="188"/>
      <c r="O106" s="188"/>
      <c r="P106" s="188"/>
      <c r="Q106" s="372"/>
    </row>
    <row r="107" spans="1:17" ht="15.5">
      <c r="A107" s="299">
        <f>'ATT H'!A115</f>
        <v>66</v>
      </c>
      <c r="B107" s="246"/>
      <c r="C107" s="282" t="str">
        <f>'ATT H'!C115</f>
        <v>Transmission O&amp;M</v>
      </c>
      <c r="D107" s="246"/>
      <c r="E107" s="267"/>
      <c r="F107" s="300" t="str">
        <f>'ATT H'!F115</f>
        <v>(Lines 60 - 61 + 62 - 63 + 64 + 65)</v>
      </c>
      <c r="G107" s="188"/>
      <c r="H107" s="188"/>
      <c r="I107" s="188"/>
      <c r="J107" s="188"/>
      <c r="K107" s="188"/>
      <c r="L107" s="188"/>
      <c r="M107" s="188"/>
      <c r="N107" s="188"/>
      <c r="O107" s="188"/>
      <c r="P107" s="188"/>
      <c r="Q107" s="372"/>
    </row>
    <row r="108" spans="1:17" ht="15.5" hidden="1">
      <c r="A108" s="290"/>
      <c r="B108" s="261"/>
      <c r="C108" s="282"/>
      <c r="D108" s="246"/>
      <c r="E108" s="298"/>
      <c r="F108" s="296"/>
      <c r="G108" s="188"/>
      <c r="H108" s="188"/>
      <c r="I108" s="188"/>
      <c r="J108" s="188"/>
      <c r="K108" s="188"/>
      <c r="L108" s="188"/>
      <c r="M108" s="188"/>
      <c r="N108" s="188"/>
      <c r="O108" s="188"/>
      <c r="P108" s="188"/>
      <c r="Q108" s="372"/>
    </row>
    <row r="109" spans="1:17" ht="15.5">
      <c r="A109" s="299"/>
      <c r="B109" s="282" t="str">
        <f>'ATT H'!B117</f>
        <v>Allocated General &amp; Common Expenses</v>
      </c>
      <c r="C109" s="246"/>
      <c r="D109" s="246"/>
      <c r="E109" s="298"/>
      <c r="F109" s="324"/>
      <c r="G109" s="188"/>
      <c r="H109" s="188"/>
      <c r="I109" s="188"/>
      <c r="J109" s="188"/>
      <c r="K109" s="188"/>
      <c r="L109" s="188"/>
      <c r="M109" s="188"/>
      <c r="N109" s="188"/>
      <c r="O109" s="188"/>
      <c r="P109" s="188"/>
      <c r="Q109" s="372"/>
    </row>
    <row r="110" spans="1:17" ht="15.5">
      <c r="A110" s="299">
        <f>'ATT H'!A118</f>
        <v>67</v>
      </c>
      <c r="B110" s="280"/>
      <c r="C110" s="257" t="str">
        <f>'ATT H'!C118</f>
        <v>Common Plant O&amp;M</v>
      </c>
      <c r="D110" s="246"/>
      <c r="E110" s="322" t="str">
        <f>'ATT H'!E118</f>
        <v>(Note A)</v>
      </c>
      <c r="F110" s="289" t="str">
        <f>'ATT H'!F118</f>
        <v>Attachment 5</v>
      </c>
      <c r="G110" s="232" t="s">
        <v>336</v>
      </c>
      <c r="H110" s="188"/>
      <c r="I110" s="188"/>
      <c r="J110" s="188"/>
      <c r="K110" s="188"/>
      <c r="L110" s="188"/>
      <c r="M110" s="188"/>
      <c r="N110" s="188"/>
      <c r="O110" s="188"/>
      <c r="P110" s="188"/>
      <c r="Q110" s="372"/>
    </row>
    <row r="111" spans="1:17" ht="15.5">
      <c r="A111" s="299">
        <f>'ATT H'!A119</f>
        <v>68</v>
      </c>
      <c r="B111" s="280"/>
      <c r="C111" s="257" t="str">
        <f>'ATT H'!C119</f>
        <v>Total A&amp;G2</v>
      </c>
      <c r="D111" s="246"/>
      <c r="E111" s="267"/>
      <c r="F111" s="300" t="str">
        <f>'ATT H'!F119</f>
        <v>p323.197.b</v>
      </c>
      <c r="G111" s="188"/>
      <c r="H111" s="188"/>
      <c r="I111" s="188"/>
      <c r="J111" s="188"/>
      <c r="K111" s="188"/>
      <c r="L111" s="188"/>
      <c r="M111" s="188"/>
      <c r="N111" s="188"/>
      <c r="O111" s="188"/>
      <c r="P111" s="188"/>
      <c r="Q111" s="372"/>
    </row>
    <row r="112" spans="1:17" ht="15.5">
      <c r="A112" s="299">
        <f>'ATT H'!A120</f>
        <v>69</v>
      </c>
      <c r="B112" s="280"/>
      <c r="C112" s="257" t="str">
        <f>'ATT H'!C120</f>
        <v xml:space="preserve">    Less Property Insurance Account 924</v>
      </c>
      <c r="D112" s="256"/>
      <c r="E112" s="267"/>
      <c r="F112" s="325" t="str">
        <f>'ATT H'!F120</f>
        <v>p323.185b</v>
      </c>
      <c r="G112" s="188"/>
      <c r="H112" s="188"/>
      <c r="I112" s="188"/>
      <c r="J112" s="188"/>
      <c r="K112" s="188"/>
      <c r="L112" s="188"/>
      <c r="M112" s="188"/>
      <c r="N112" s="188"/>
      <c r="O112" s="188"/>
      <c r="P112" s="188"/>
      <c r="Q112" s="372"/>
    </row>
    <row r="113" spans="1:17" ht="15.5">
      <c r="A113" s="299">
        <f>'ATT H'!A121</f>
        <v>70</v>
      </c>
      <c r="B113" s="280"/>
      <c r="C113" s="257" t="str">
        <f>'ATT H'!C121</f>
        <v xml:space="preserve">    Less Regulatory Commission Exp Account 928</v>
      </c>
      <c r="D113" s="256"/>
      <c r="E113" s="328" t="str">
        <f>'ATT H'!E121</f>
        <v>(Note E)</v>
      </c>
      <c r="F113" s="325" t="str">
        <f>'ATT H'!F121</f>
        <v>Attachment 5</v>
      </c>
      <c r="G113" s="188"/>
      <c r="H113" s="188"/>
      <c r="I113" s="188"/>
      <c r="J113" s="188"/>
      <c r="K113" s="232" t="s">
        <v>336</v>
      </c>
      <c r="L113" s="188"/>
      <c r="M113" s="188"/>
      <c r="N113" s="188"/>
      <c r="O113" s="188"/>
      <c r="P113" s="188"/>
      <c r="Q113" s="372"/>
    </row>
    <row r="114" spans="1:17" ht="15.5">
      <c r="A114" s="299">
        <f>'ATT H'!A122</f>
        <v>71</v>
      </c>
      <c r="B114" s="280"/>
      <c r="C114" s="257" t="str">
        <f>'ATT H'!C122</f>
        <v xml:space="preserve">    Less General Advertising Exp Account 930.1</v>
      </c>
      <c r="D114" s="256"/>
      <c r="E114" s="267"/>
      <c r="F114" s="325" t="str">
        <f>'ATT H'!F122</f>
        <v>Attachment 5</v>
      </c>
      <c r="G114" s="188"/>
      <c r="H114" s="188"/>
      <c r="I114" s="188"/>
      <c r="J114" s="188"/>
      <c r="K114" s="188"/>
      <c r="L114" s="188"/>
      <c r="M114" s="188"/>
      <c r="N114" s="188"/>
      <c r="O114" s="188"/>
      <c r="P114" s="188"/>
      <c r="Q114" s="372"/>
    </row>
    <row r="115" spans="1:17" ht="15.5">
      <c r="A115" s="299">
        <f>'ATT H'!A123</f>
        <v>72</v>
      </c>
      <c r="B115" s="280"/>
      <c r="C115" s="257" t="str">
        <f>'ATT H'!C123</f>
        <v xml:space="preserve">    Less EPRI Dues</v>
      </c>
      <c r="D115" s="272"/>
      <c r="E115" s="259" t="str">
        <f>'ATT H'!E123</f>
        <v>(Note D)</v>
      </c>
      <c r="F115" s="300" t="str">
        <f>'ATT H'!F123</f>
        <v>Attachment 5</v>
      </c>
      <c r="G115" s="188"/>
      <c r="H115" s="188"/>
      <c r="I115" s="188"/>
      <c r="J115" s="232" t="s">
        <v>336</v>
      </c>
      <c r="K115" s="188"/>
      <c r="L115" s="188"/>
      <c r="M115" s="188"/>
      <c r="N115" s="188"/>
      <c r="O115" s="188"/>
      <c r="P115" s="188"/>
      <c r="Q115" s="372"/>
    </row>
    <row r="116" spans="1:17" ht="15.5">
      <c r="A116" s="299">
        <f>'ATT H'!A124</f>
        <v>73</v>
      </c>
      <c r="B116" s="280"/>
      <c r="C116" s="282" t="str">
        <f>'ATT H'!C124</f>
        <v>General &amp; Common Expenses</v>
      </c>
      <c r="D116" s="246"/>
      <c r="E116" s="298"/>
      <c r="F116" s="289" t="str">
        <f>'ATT H'!F124</f>
        <v>(Lines 67 + 68 -  Sum (69 to 72)</v>
      </c>
      <c r="G116" s="188"/>
      <c r="H116" s="188"/>
      <c r="I116" s="188"/>
      <c r="J116" s="188"/>
      <c r="K116" s="188"/>
      <c r="L116" s="188"/>
      <c r="M116" s="188"/>
      <c r="N116" s="188"/>
      <c r="O116" s="188"/>
      <c r="P116" s="188"/>
      <c r="Q116" s="372"/>
    </row>
    <row r="117" spans="1:17" ht="15.5">
      <c r="A117" s="299">
        <f>'ATT H'!A125</f>
        <v>74</v>
      </c>
      <c r="B117" s="280"/>
      <c r="C117" s="263" t="str">
        <f>'ATT H'!C125</f>
        <v>Wage &amp; Salary Allocation Factor</v>
      </c>
      <c r="D117" s="260"/>
      <c r="E117" s="237"/>
      <c r="F117" s="324" t="str">
        <f>'ATT H'!F125</f>
        <v>(Line 5)</v>
      </c>
      <c r="G117" s="188"/>
      <c r="H117" s="188"/>
      <c r="I117" s="188"/>
      <c r="J117" s="188"/>
      <c r="K117" s="188"/>
      <c r="L117" s="188"/>
      <c r="M117" s="188"/>
      <c r="N117" s="188"/>
      <c r="O117" s="188"/>
      <c r="P117" s="188"/>
      <c r="Q117" s="372"/>
    </row>
    <row r="118" spans="1:17" ht="15.5">
      <c r="A118" s="299">
        <f>'ATT H'!A126</f>
        <v>75</v>
      </c>
      <c r="B118" s="280"/>
      <c r="C118" s="282" t="str">
        <f>'ATT H'!C126</f>
        <v>General &amp; Common Expenses Allocated to Transmission</v>
      </c>
      <c r="D118" s="246"/>
      <c r="E118" s="254"/>
      <c r="F118" s="289" t="str">
        <f>'ATT H'!F126</f>
        <v>(Line 73 * Line 74)</v>
      </c>
      <c r="G118" s="188"/>
      <c r="H118" s="188"/>
      <c r="I118" s="188"/>
      <c r="J118" s="188"/>
      <c r="K118" s="188"/>
      <c r="L118" s="188"/>
      <c r="M118" s="188"/>
      <c r="N118" s="188"/>
      <c r="O118" s="188"/>
      <c r="P118" s="188"/>
      <c r="Q118" s="372"/>
    </row>
    <row r="119" spans="1:17" ht="15.5" hidden="1">
      <c r="A119" s="290"/>
      <c r="B119" s="261"/>
      <c r="C119" s="282"/>
      <c r="D119" s="246"/>
      <c r="E119" s="298"/>
      <c r="F119" s="296"/>
      <c r="G119" s="188"/>
      <c r="H119" s="188"/>
      <c r="I119" s="188"/>
      <c r="J119" s="188"/>
      <c r="K119" s="188"/>
      <c r="L119" s="188"/>
      <c r="M119" s="188"/>
      <c r="N119" s="188"/>
      <c r="O119" s="188"/>
      <c r="P119" s="188"/>
      <c r="Q119" s="372"/>
    </row>
    <row r="120" spans="1:17" ht="15.5">
      <c r="A120" s="299"/>
      <c r="B120" s="282" t="str">
        <f>'ATT H'!B128</f>
        <v>Directly Assigned A&amp;G</v>
      </c>
      <c r="C120" s="236"/>
      <c r="D120" s="246"/>
      <c r="E120" s="254"/>
      <c r="F120" s="296"/>
      <c r="G120" s="188"/>
      <c r="H120" s="188"/>
      <c r="I120" s="188"/>
      <c r="J120" s="188"/>
      <c r="K120" s="188"/>
      <c r="L120" s="188"/>
      <c r="M120" s="188"/>
      <c r="N120" s="188"/>
      <c r="O120" s="188"/>
      <c r="P120" s="188"/>
      <c r="Q120" s="372"/>
    </row>
    <row r="121" spans="1:17" ht="15.5">
      <c r="A121" s="299">
        <f>'ATT H'!A129</f>
        <v>76</v>
      </c>
      <c r="B121" s="314"/>
      <c r="C121" s="263" t="str">
        <f>'ATT H'!C129</f>
        <v>Regulatory Commission Exp Account 9282</v>
      </c>
      <c r="D121" s="245"/>
      <c r="E121" s="285" t="str">
        <f>'ATT H'!E129</f>
        <v>(Note G)</v>
      </c>
      <c r="F121" s="317" t="str">
        <f>'ATT H'!F129</f>
        <v>Attachment 5</v>
      </c>
      <c r="G121" s="188"/>
      <c r="H121" s="232" t="s">
        <v>336</v>
      </c>
      <c r="I121" s="188"/>
      <c r="J121" s="188"/>
      <c r="K121" s="188"/>
      <c r="L121" s="188"/>
      <c r="M121" s="188"/>
      <c r="N121" s="188"/>
      <c r="O121" s="188"/>
      <c r="P121" s="188"/>
      <c r="Q121" s="372"/>
    </row>
    <row r="122" spans="1:17" ht="15.5">
      <c r="A122" s="290">
        <f>'ATT H'!A130</f>
        <v>77</v>
      </c>
      <c r="B122" s="314"/>
      <c r="C122" s="263" t="str">
        <f>'ATT H'!C130</f>
        <v>General Advertising Exp Account 930.1</v>
      </c>
      <c r="D122" s="339"/>
      <c r="E122" s="245" t="str">
        <f>'ATT H'!E130</f>
        <v>(Note K)</v>
      </c>
      <c r="F122" s="317" t="str">
        <f>'ATT H'!F130</f>
        <v>Attachment 5</v>
      </c>
      <c r="G122" s="188"/>
      <c r="H122" s="188"/>
      <c r="I122" s="188"/>
      <c r="J122" s="188"/>
      <c r="K122" s="188"/>
      <c r="L122" s="188"/>
      <c r="M122" s="188"/>
      <c r="N122" s="232" t="s">
        <v>336</v>
      </c>
      <c r="O122" s="188"/>
      <c r="P122" s="188"/>
      <c r="Q122" s="372"/>
    </row>
    <row r="123" spans="1:17" ht="15.5">
      <c r="A123" s="290">
        <f>'ATT H'!A131</f>
        <v>78</v>
      </c>
      <c r="B123" s="314"/>
      <c r="C123" s="263" t="str">
        <f>'ATT H'!C131</f>
        <v>Subtotal - Transmission Related</v>
      </c>
      <c r="D123" s="246"/>
      <c r="E123" s="315"/>
      <c r="F123" s="289" t="str">
        <f>'ATT H'!F131</f>
        <v>(Line 76 + Line 77)</v>
      </c>
      <c r="G123" s="188"/>
      <c r="H123" s="188"/>
      <c r="I123" s="188"/>
      <c r="J123" s="188"/>
      <c r="K123" s="188"/>
      <c r="L123" s="188"/>
      <c r="M123" s="188"/>
      <c r="N123" s="188"/>
      <c r="O123" s="188"/>
      <c r="P123" s="188"/>
      <c r="Q123" s="372"/>
    </row>
    <row r="124" spans="1:17" ht="15.5" hidden="1">
      <c r="A124" s="290"/>
      <c r="B124" s="261"/>
      <c r="C124" s="282"/>
      <c r="D124" s="246"/>
      <c r="E124" s="298"/>
      <c r="F124" s="296"/>
      <c r="G124" s="188"/>
      <c r="H124" s="188"/>
      <c r="I124" s="188"/>
      <c r="J124" s="188"/>
      <c r="K124" s="188"/>
      <c r="L124" s="188"/>
      <c r="M124" s="188"/>
      <c r="N124" s="188"/>
      <c r="O124" s="188"/>
      <c r="P124" s="188"/>
      <c r="Q124" s="372"/>
    </row>
    <row r="125" spans="1:17" ht="15.5">
      <c r="A125" s="290">
        <f>'ATT H'!A133</f>
        <v>79</v>
      </c>
      <c r="B125" s="314"/>
      <c r="C125" s="263" t="str">
        <f>'ATT H'!C133</f>
        <v>Property Insurance Account 924</v>
      </c>
      <c r="D125" s="246"/>
      <c r="E125" s="237"/>
      <c r="F125" s="317" t="str">
        <f>'ATT H'!F133</f>
        <v>(Line 69)</v>
      </c>
      <c r="G125" s="188"/>
      <c r="H125" s="188"/>
      <c r="I125" s="188"/>
      <c r="J125" s="188"/>
      <c r="K125" s="188"/>
      <c r="L125" s="188"/>
      <c r="M125" s="188"/>
      <c r="N125" s="188"/>
      <c r="O125" s="188"/>
      <c r="P125" s="188"/>
      <c r="Q125" s="372"/>
    </row>
    <row r="126" spans="1:17" ht="15.5">
      <c r="A126" s="290">
        <f>'ATT H'!A134</f>
        <v>80</v>
      </c>
      <c r="B126" s="314"/>
      <c r="C126" s="263" t="str">
        <f>'ATT H'!C134</f>
        <v>General Advertising Exp Account 930.1</v>
      </c>
      <c r="D126" s="246"/>
      <c r="E126" s="245" t="str">
        <f>'ATT H'!E134</f>
        <v>(Note F)</v>
      </c>
      <c r="F126" s="317" t="str">
        <f>'ATT H'!F134</f>
        <v>Attachment 5</v>
      </c>
      <c r="G126" s="188"/>
      <c r="H126" s="188"/>
      <c r="I126" s="188"/>
      <c r="J126" s="188"/>
      <c r="K126" s="188"/>
      <c r="L126" s="232" t="s">
        <v>336</v>
      </c>
      <c r="M126" s="188"/>
      <c r="N126" s="188"/>
      <c r="O126" s="188"/>
      <c r="P126" s="188"/>
      <c r="Q126" s="372"/>
    </row>
    <row r="127" spans="1:17" ht="15.5">
      <c r="A127" s="299">
        <f>'ATT H'!A135</f>
        <v>81</v>
      </c>
      <c r="B127" s="314"/>
      <c r="C127" s="263" t="str">
        <f>'ATT H'!C135</f>
        <v>Total</v>
      </c>
      <c r="D127" s="246"/>
      <c r="E127" s="237"/>
      <c r="F127" s="289" t="str">
        <f>'ATT H'!F135</f>
        <v>(Line 79 + Line 80)</v>
      </c>
      <c r="G127" s="188"/>
      <c r="H127" s="188"/>
      <c r="I127" s="188"/>
      <c r="J127" s="188"/>
      <c r="K127" s="188"/>
      <c r="L127" s="188"/>
      <c r="M127" s="188"/>
      <c r="N127" s="188"/>
      <c r="O127" s="188"/>
      <c r="P127" s="188"/>
      <c r="Q127" s="372"/>
    </row>
    <row r="128" spans="1:17" ht="15.5">
      <c r="A128" s="290">
        <f>'ATT H'!A136</f>
        <v>82</v>
      </c>
      <c r="B128" s="280"/>
      <c r="C128" s="263" t="str">
        <f>'ATT H'!C136</f>
        <v>Net Plant Allocation Factor</v>
      </c>
      <c r="D128" s="260"/>
      <c r="E128" s="261"/>
      <c r="F128" s="289" t="str">
        <f>'ATT H'!F136</f>
        <v>(Line 18)</v>
      </c>
      <c r="G128" s="188"/>
      <c r="H128" s="188"/>
      <c r="I128" s="188"/>
      <c r="J128" s="188"/>
      <c r="K128" s="188"/>
      <c r="L128" s="188"/>
      <c r="M128" s="188"/>
      <c r="N128" s="188"/>
      <c r="O128" s="188"/>
      <c r="P128" s="188"/>
      <c r="Q128" s="372"/>
    </row>
    <row r="129" spans="1:17" ht="15.5">
      <c r="A129" s="299">
        <f>'ATT H'!A137</f>
        <v>83</v>
      </c>
      <c r="B129" s="280"/>
      <c r="C129" s="282" t="str">
        <f>'ATT H'!C137</f>
        <v>A&amp;G Directly Assigned to Transmission</v>
      </c>
      <c r="D129" s="246"/>
      <c r="E129" s="254"/>
      <c r="F129" s="289" t="str">
        <f>'ATT H'!F137</f>
        <v>(Line 81 * Line 82)</v>
      </c>
      <c r="G129" s="188"/>
      <c r="H129" s="188"/>
      <c r="I129" s="188"/>
      <c r="J129" s="188"/>
      <c r="K129" s="188"/>
      <c r="L129" s="188"/>
      <c r="M129" s="188"/>
      <c r="N129" s="188"/>
      <c r="O129" s="188"/>
      <c r="P129" s="188"/>
      <c r="Q129" s="372"/>
    </row>
    <row r="130" spans="1:17" ht="15.5" hidden="1">
      <c r="A130" s="290"/>
      <c r="B130" s="261"/>
      <c r="C130" s="282"/>
      <c r="D130" s="246"/>
      <c r="E130" s="298"/>
      <c r="F130" s="296"/>
      <c r="G130" s="188"/>
      <c r="H130" s="188"/>
      <c r="I130" s="188"/>
      <c r="J130" s="188"/>
      <c r="K130" s="188"/>
      <c r="L130" s="188"/>
      <c r="M130" s="188"/>
      <c r="N130" s="188"/>
      <c r="O130" s="188"/>
      <c r="P130" s="188"/>
      <c r="Q130" s="372"/>
    </row>
    <row r="131" spans="1:17" ht="15.5">
      <c r="A131" s="290">
        <f>'ATT H'!A139</f>
        <v>84</v>
      </c>
      <c r="B131" s="261"/>
      <c r="C131" s="282" t="str">
        <f>'ATT H'!C139</f>
        <v>Total Transmission O&amp;M</v>
      </c>
      <c r="D131" s="246"/>
      <c r="E131" s="254"/>
      <c r="F131" s="334" t="str">
        <f>'ATT H'!F139</f>
        <v>(Lines 66 + 75 + 78 + 83)</v>
      </c>
      <c r="G131" s="188"/>
      <c r="H131" s="188"/>
      <c r="I131" s="188"/>
      <c r="J131" s="188"/>
      <c r="K131" s="188"/>
      <c r="L131" s="188"/>
      <c r="M131" s="188"/>
      <c r="N131" s="188"/>
      <c r="O131" s="188"/>
      <c r="P131" s="188"/>
      <c r="Q131" s="372"/>
    </row>
    <row r="132" spans="1:17" ht="15.5" hidden="1">
      <c r="A132" s="290"/>
      <c r="B132" s="261"/>
      <c r="C132" s="282"/>
      <c r="D132" s="246"/>
      <c r="E132" s="298"/>
      <c r="F132" s="296"/>
      <c r="G132" s="188"/>
      <c r="H132" s="188"/>
      <c r="I132" s="188"/>
      <c r="J132" s="188"/>
      <c r="K132" s="188"/>
      <c r="L132" s="188"/>
      <c r="M132" s="188"/>
      <c r="N132" s="188"/>
      <c r="O132" s="188"/>
      <c r="P132" s="188"/>
      <c r="Q132" s="372"/>
    </row>
    <row r="133" spans="1:17" ht="15.5">
      <c r="A133" s="302" t="str">
        <f>'ATT H'!A141</f>
        <v>Depreciation &amp; Amortization Expense</v>
      </c>
      <c r="B133" s="247"/>
      <c r="C133" s="323"/>
      <c r="D133" s="248"/>
      <c r="E133" s="249"/>
      <c r="F133" s="303"/>
      <c r="G133" s="188"/>
      <c r="H133" s="188"/>
      <c r="I133" s="188"/>
      <c r="J133" s="188"/>
      <c r="K133" s="188"/>
      <c r="L133" s="188"/>
      <c r="M133" s="188"/>
      <c r="N133" s="188"/>
      <c r="O133" s="188"/>
      <c r="P133" s="188"/>
      <c r="Q133" s="372"/>
    </row>
    <row r="134" spans="1:17" ht="15.5" hidden="1">
      <c r="A134" s="290"/>
      <c r="B134" s="261"/>
      <c r="C134" s="282"/>
      <c r="D134" s="246"/>
      <c r="E134" s="298"/>
      <c r="F134" s="296"/>
      <c r="G134" s="188"/>
      <c r="H134" s="188"/>
      <c r="I134" s="188"/>
      <c r="J134" s="188"/>
      <c r="K134" s="188"/>
      <c r="L134" s="188"/>
      <c r="M134" s="188"/>
      <c r="N134" s="188"/>
      <c r="O134" s="188"/>
      <c r="P134" s="188"/>
      <c r="Q134" s="372"/>
    </row>
    <row r="135" spans="1:17" ht="15.5">
      <c r="A135" s="292"/>
      <c r="B135" s="276" t="str">
        <f>'ATT H'!B143</f>
        <v>Depreciation Expense</v>
      </c>
      <c r="C135" s="272"/>
      <c r="D135" s="148"/>
      <c r="E135" s="237"/>
      <c r="F135" s="326"/>
      <c r="G135" s="188"/>
      <c r="H135" s="188"/>
      <c r="I135" s="188"/>
      <c r="J135" s="188"/>
      <c r="K135" s="188"/>
      <c r="L135" s="188"/>
      <c r="M135" s="188"/>
      <c r="N135" s="188"/>
      <c r="O135" s="188"/>
      <c r="P135" s="188"/>
      <c r="Q135" s="372"/>
    </row>
    <row r="136" spans="1:17" ht="15.5">
      <c r="A136" s="290">
        <f>'ATT H'!A144</f>
        <v>85</v>
      </c>
      <c r="B136" s="327"/>
      <c r="C136" s="264" t="str">
        <f>'ATT H'!C144</f>
        <v>Transmission Depreciation Expense</v>
      </c>
      <c r="D136" s="148"/>
      <c r="E136" s="261"/>
      <c r="F136" s="313" t="str">
        <f>'ATT H'!F144</f>
        <v>Attachment 5</v>
      </c>
      <c r="G136" s="188"/>
      <c r="H136" s="188"/>
      <c r="I136" s="188"/>
      <c r="J136" s="188"/>
      <c r="K136" s="188"/>
      <c r="L136" s="188"/>
      <c r="M136" s="188"/>
      <c r="N136" s="188"/>
      <c r="O136" s="188"/>
      <c r="P136" s="188"/>
      <c r="Q136" s="372"/>
    </row>
    <row r="137" spans="1:17" ht="15.5" hidden="1">
      <c r="A137" s="290"/>
      <c r="B137" s="261"/>
      <c r="C137" s="282"/>
      <c r="D137" s="246"/>
      <c r="E137" s="298"/>
      <c r="F137" s="296"/>
      <c r="G137" s="188"/>
      <c r="H137" s="188"/>
      <c r="I137" s="188"/>
      <c r="J137" s="188"/>
      <c r="K137" s="188"/>
      <c r="L137" s="188"/>
      <c r="M137" s="188"/>
      <c r="N137" s="188"/>
      <c r="O137" s="188"/>
      <c r="P137" s="188"/>
      <c r="Q137" s="372"/>
    </row>
    <row r="138" spans="1:17" ht="15.5">
      <c r="A138" s="290">
        <f>'ATT H'!A146</f>
        <v>86</v>
      </c>
      <c r="B138" s="327"/>
      <c r="C138" s="264" t="str">
        <f>'ATT H'!C146</f>
        <v>General Depreciation</v>
      </c>
      <c r="D138" s="148"/>
      <c r="E138" s="261"/>
      <c r="F138" s="313" t="str">
        <f>'ATT H'!F146</f>
        <v>Attachment 5</v>
      </c>
      <c r="G138" s="188"/>
      <c r="H138" s="188"/>
      <c r="I138" s="188"/>
      <c r="J138" s="188"/>
      <c r="K138" s="188"/>
      <c r="L138" s="188"/>
      <c r="M138" s="188"/>
      <c r="N138" s="188"/>
      <c r="O138" s="188"/>
      <c r="P138" s="188"/>
      <c r="Q138" s="372"/>
    </row>
    <row r="139" spans="1:17" ht="15.5">
      <c r="A139" s="290">
        <f>'ATT H'!A147</f>
        <v>87</v>
      </c>
      <c r="B139" s="327"/>
      <c r="C139" s="264" t="str">
        <f>'ATT H'!C147</f>
        <v>Intangible Amortization</v>
      </c>
      <c r="D139" s="148"/>
      <c r="E139" s="341" t="str">
        <f>'ATT H'!E147</f>
        <v>(Note A)</v>
      </c>
      <c r="F139" s="317" t="str">
        <f>'ATT H'!F147</f>
        <v>Attachment 5</v>
      </c>
      <c r="G139" s="188"/>
      <c r="H139" s="232" t="s">
        <v>336</v>
      </c>
      <c r="I139" s="188"/>
      <c r="J139" s="188"/>
      <c r="K139" s="188"/>
      <c r="L139" s="188"/>
      <c r="M139" s="188"/>
      <c r="N139" s="188"/>
      <c r="O139" s="188"/>
      <c r="P139" s="188"/>
      <c r="Q139" s="372"/>
    </row>
    <row r="140" spans="1:17" ht="15.5">
      <c r="A140" s="290">
        <f>'ATT H'!A148</f>
        <v>88</v>
      </c>
      <c r="B140" s="327"/>
      <c r="C140" s="264" t="str">
        <f>'ATT H'!C148</f>
        <v>Total</v>
      </c>
      <c r="D140" s="148"/>
      <c r="E140" s="261"/>
      <c r="F140" s="289" t="str">
        <f>'ATT H'!F148</f>
        <v>(Line 86 + Line 87)</v>
      </c>
      <c r="G140" s="188"/>
      <c r="H140" s="188"/>
      <c r="I140" s="188"/>
      <c r="J140" s="188"/>
      <c r="K140" s="188"/>
      <c r="L140" s="188"/>
      <c r="M140" s="188"/>
      <c r="N140" s="188"/>
      <c r="O140" s="188"/>
      <c r="P140" s="188"/>
      <c r="Q140" s="372"/>
    </row>
    <row r="141" spans="1:17" ht="15.5">
      <c r="A141" s="290">
        <f>'ATT H'!A149</f>
        <v>89</v>
      </c>
      <c r="B141" s="327"/>
      <c r="C141" s="263" t="str">
        <f>'ATT H'!C149</f>
        <v>Wage &amp; Salary Allocation Factor</v>
      </c>
      <c r="D141" s="260"/>
      <c r="E141" s="237"/>
      <c r="F141" s="324" t="str">
        <f>'ATT H'!F149</f>
        <v>(Line 5)</v>
      </c>
      <c r="G141" s="188"/>
      <c r="H141" s="188"/>
      <c r="I141" s="188"/>
      <c r="J141" s="188"/>
      <c r="K141" s="188"/>
      <c r="L141" s="188"/>
      <c r="M141" s="188"/>
      <c r="N141" s="188"/>
      <c r="O141" s="188"/>
      <c r="P141" s="188"/>
      <c r="Q141" s="372"/>
    </row>
    <row r="142" spans="1:17" ht="15.5">
      <c r="A142" s="290">
        <f>'ATT H'!A150</f>
        <v>90</v>
      </c>
      <c r="B142" s="327"/>
      <c r="C142" s="276" t="str">
        <f>'ATT H'!C150</f>
        <v>General Depreciation Allocated to Transmission</v>
      </c>
      <c r="D142" s="148"/>
      <c r="E142" s="261"/>
      <c r="F142" s="289" t="str">
        <f>'ATT H'!F150</f>
        <v>(Line 88 * Line 89)</v>
      </c>
      <c r="G142" s="188"/>
      <c r="H142" s="188"/>
      <c r="I142" s="188"/>
      <c r="J142" s="188"/>
      <c r="K142" s="188"/>
      <c r="L142" s="188"/>
      <c r="M142" s="188"/>
      <c r="N142" s="188"/>
      <c r="O142" s="188"/>
      <c r="P142" s="188"/>
      <c r="Q142" s="372"/>
    </row>
    <row r="143" spans="1:17" ht="15.5" hidden="1">
      <c r="A143" s="290"/>
      <c r="B143" s="261"/>
      <c r="C143" s="282"/>
      <c r="D143" s="246"/>
      <c r="E143" s="298"/>
      <c r="F143" s="296"/>
      <c r="G143" s="188"/>
      <c r="H143" s="188"/>
      <c r="I143" s="188"/>
      <c r="J143" s="188"/>
      <c r="K143" s="188"/>
      <c r="L143" s="188"/>
      <c r="M143" s="188"/>
      <c r="N143" s="188"/>
      <c r="O143" s="188"/>
      <c r="P143" s="188"/>
      <c r="Q143" s="372"/>
    </row>
    <row r="144" spans="1:17" ht="15.5">
      <c r="A144" s="290">
        <f>'ATT H'!A152</f>
        <v>91</v>
      </c>
      <c r="B144" s="314"/>
      <c r="C144" s="263" t="str">
        <f>'ATT H'!C152</f>
        <v>Common Depreciation - Electric Only</v>
      </c>
      <c r="D144" s="246"/>
      <c r="E144" s="328" t="str">
        <f>'ATT H'!E152</f>
        <v>(Note A)</v>
      </c>
      <c r="F144" s="317" t="str">
        <f>'ATT H'!F152</f>
        <v>Attachment 5</v>
      </c>
      <c r="G144" s="188"/>
      <c r="H144" s="232" t="s">
        <v>336</v>
      </c>
      <c r="I144" s="188"/>
      <c r="J144" s="188"/>
      <c r="K144" s="188"/>
      <c r="L144" s="188"/>
      <c r="M144" s="188"/>
      <c r="N144" s="188"/>
      <c r="O144" s="188"/>
      <c r="P144" s="188"/>
      <c r="Q144" s="372"/>
    </row>
    <row r="145" spans="1:17" ht="15.5">
      <c r="A145" s="299">
        <f>'ATT H'!A153</f>
        <v>92</v>
      </c>
      <c r="B145" s="314"/>
      <c r="C145" s="263" t="str">
        <f>'ATT H'!C153</f>
        <v>Common Amortization - Electric Only</v>
      </c>
      <c r="D145" s="246"/>
      <c r="E145" s="328" t="str">
        <f>'ATT H'!E153</f>
        <v>(Note A)</v>
      </c>
      <c r="F145" s="317" t="str">
        <f>'ATT H'!F153</f>
        <v>Attachment 5</v>
      </c>
      <c r="G145" s="188"/>
      <c r="H145" s="232" t="s">
        <v>336</v>
      </c>
      <c r="I145" s="188"/>
      <c r="J145" s="188"/>
      <c r="K145" s="188"/>
      <c r="L145" s="188"/>
      <c r="M145" s="188"/>
      <c r="N145" s="188"/>
      <c r="O145" s="188"/>
      <c r="P145" s="188"/>
      <c r="Q145" s="372"/>
    </row>
    <row r="146" spans="1:17" ht="15.5">
      <c r="A146" s="299">
        <f>'ATT H'!A154</f>
        <v>93</v>
      </c>
      <c r="B146" s="314"/>
      <c r="C146" s="263" t="str">
        <f>'ATT H'!C154</f>
        <v>Total</v>
      </c>
      <c r="D146" s="246"/>
      <c r="E146" s="280"/>
      <c r="F146" s="289" t="str">
        <f>'ATT H'!F154</f>
        <v>(Line 91 + Line 92)</v>
      </c>
      <c r="G146" s="188"/>
      <c r="H146" s="188"/>
      <c r="I146" s="188"/>
      <c r="J146" s="188"/>
      <c r="K146" s="188"/>
      <c r="L146" s="188"/>
      <c r="M146" s="188"/>
      <c r="N146" s="188"/>
      <c r="O146" s="188"/>
      <c r="P146" s="188"/>
      <c r="Q146" s="372"/>
    </row>
    <row r="147" spans="1:17" ht="15.5">
      <c r="A147" s="290">
        <f>'ATT H'!A155</f>
        <v>94</v>
      </c>
      <c r="B147" s="314"/>
      <c r="C147" s="263" t="str">
        <f>'ATT H'!C155</f>
        <v>Wage &amp; Salary Allocation Factor</v>
      </c>
      <c r="D147" s="260"/>
      <c r="E147" s="237"/>
      <c r="F147" s="324" t="str">
        <f>'ATT H'!F155</f>
        <v>(Line 5)</v>
      </c>
      <c r="G147" s="188"/>
      <c r="H147" s="188"/>
      <c r="I147" s="188"/>
      <c r="J147" s="188"/>
      <c r="K147" s="188"/>
      <c r="L147" s="188"/>
      <c r="M147" s="188"/>
      <c r="N147" s="188"/>
      <c r="O147" s="188"/>
      <c r="P147" s="188"/>
      <c r="Q147" s="372"/>
    </row>
    <row r="148" spans="1:17" ht="15.5">
      <c r="A148" s="290">
        <f>'ATT H'!A156</f>
        <v>95</v>
      </c>
      <c r="B148" s="314"/>
      <c r="C148" s="276" t="str">
        <f>'ATT H'!C156</f>
        <v>Common Depreciation - Electric Only Allocated to Transmission</v>
      </c>
      <c r="D148" s="246"/>
      <c r="E148" s="280"/>
      <c r="F148" s="289" t="str">
        <f>'ATT H'!F156</f>
        <v>(Line 93 * Line 94)</v>
      </c>
      <c r="G148" s="188"/>
      <c r="H148" s="188"/>
      <c r="I148" s="188"/>
      <c r="J148" s="188"/>
      <c r="K148" s="188"/>
      <c r="L148" s="188"/>
      <c r="M148" s="188"/>
      <c r="N148" s="188"/>
      <c r="O148" s="188"/>
      <c r="P148" s="188"/>
      <c r="Q148" s="372"/>
    </row>
    <row r="149" spans="1:17" ht="15.5" hidden="1">
      <c r="A149" s="290"/>
      <c r="B149" s="261"/>
      <c r="C149" s="282"/>
      <c r="D149" s="246"/>
      <c r="E149" s="298"/>
      <c r="F149" s="296"/>
      <c r="G149" s="188"/>
      <c r="H149" s="188"/>
      <c r="I149" s="188"/>
      <c r="J149" s="188"/>
      <c r="K149" s="188"/>
      <c r="L149" s="188"/>
      <c r="M149" s="188"/>
      <c r="N149" s="188"/>
      <c r="O149" s="188"/>
      <c r="P149" s="188"/>
      <c r="Q149" s="372"/>
    </row>
    <row r="150" spans="1:17" ht="15.5" hidden="1">
      <c r="A150" s="290"/>
      <c r="B150" s="261"/>
      <c r="C150" s="282"/>
      <c r="D150" s="246"/>
      <c r="E150" s="298"/>
      <c r="F150" s="296"/>
      <c r="G150" s="188"/>
      <c r="H150" s="188"/>
      <c r="I150" s="188"/>
      <c r="J150" s="188"/>
      <c r="K150" s="188"/>
      <c r="L150" s="188"/>
      <c r="M150" s="188"/>
      <c r="N150" s="188"/>
      <c r="O150" s="188"/>
      <c r="P150" s="188"/>
      <c r="Q150" s="372"/>
    </row>
    <row r="151" spans="1:17" ht="15.5">
      <c r="A151" s="290">
        <f>'ATT H'!A159</f>
        <v>96</v>
      </c>
      <c r="B151" s="276" t="str">
        <f>'ATT H'!B159</f>
        <v>Total Transmission Depreciation &amp; Amortization</v>
      </c>
      <c r="C151" s="276"/>
      <c r="D151" s="269"/>
      <c r="E151" s="340"/>
      <c r="F151" s="334" t="str">
        <f>'ATT H'!F159</f>
        <v>(Line 85 + Line 90 + Line 95)</v>
      </c>
      <c r="G151" s="188"/>
      <c r="H151" s="188"/>
      <c r="I151" s="188"/>
      <c r="J151" s="188"/>
      <c r="K151" s="188"/>
      <c r="L151" s="188"/>
      <c r="M151" s="188"/>
      <c r="N151" s="188"/>
      <c r="O151" s="188"/>
      <c r="P151" s="188"/>
      <c r="Q151" s="372"/>
    </row>
    <row r="152" spans="1:17" ht="15.5" hidden="1">
      <c r="A152" s="290"/>
      <c r="B152" s="261"/>
      <c r="C152" s="282"/>
      <c r="D152" s="246"/>
      <c r="E152" s="298"/>
      <c r="F152" s="296"/>
      <c r="G152" s="188"/>
      <c r="H152" s="188"/>
      <c r="I152" s="188"/>
      <c r="J152" s="188"/>
      <c r="K152" s="188"/>
      <c r="L152" s="188"/>
      <c r="M152" s="188"/>
      <c r="N152" s="188"/>
      <c r="O152" s="188"/>
      <c r="P152" s="188"/>
      <c r="Q152" s="372"/>
    </row>
    <row r="153" spans="1:17" ht="15.5">
      <c r="A153" s="302" t="str">
        <f>'ATT H'!A161</f>
        <v xml:space="preserve">Taxes Other than Income                                                    </v>
      </c>
      <c r="B153" s="247"/>
      <c r="C153" s="323"/>
      <c r="D153" s="248"/>
      <c r="E153" s="249"/>
      <c r="F153" s="303"/>
      <c r="G153" s="188"/>
      <c r="H153" s="188"/>
      <c r="I153" s="188"/>
      <c r="J153" s="188"/>
      <c r="K153" s="188"/>
      <c r="L153" s="188"/>
      <c r="M153" s="188"/>
      <c r="N153" s="188"/>
      <c r="O153" s="188"/>
      <c r="P153" s="188"/>
      <c r="Q153" s="372"/>
    </row>
    <row r="154" spans="1:17" ht="15.5" hidden="1">
      <c r="A154" s="290"/>
      <c r="B154" s="261"/>
      <c r="C154" s="282"/>
      <c r="D154" s="246"/>
      <c r="E154" s="298"/>
      <c r="F154" s="296"/>
      <c r="G154" s="188"/>
      <c r="H154" s="188"/>
      <c r="I154" s="188"/>
      <c r="J154" s="188"/>
      <c r="K154" s="188"/>
      <c r="L154" s="188"/>
      <c r="M154" s="188"/>
      <c r="N154" s="188"/>
      <c r="O154" s="188"/>
      <c r="P154" s="188"/>
      <c r="Q154" s="372"/>
    </row>
    <row r="155" spans="1:17" ht="15.5">
      <c r="A155" s="299">
        <f>'ATT H'!A163</f>
        <v>97</v>
      </c>
      <c r="B155" s="255" t="str">
        <f>'ATT H'!B163</f>
        <v>Taxes Other than Income</v>
      </c>
      <c r="C155" s="312"/>
      <c r="D155" s="148"/>
      <c r="E155" s="237"/>
      <c r="F155" s="294" t="str">
        <f>'ATT H'!F163</f>
        <v>Attachment 2</v>
      </c>
      <c r="G155" s="188"/>
      <c r="H155" s="188"/>
      <c r="I155" s="188"/>
      <c r="J155" s="188"/>
      <c r="K155" s="188"/>
      <c r="L155" s="188"/>
      <c r="M155" s="188"/>
      <c r="N155" s="188"/>
      <c r="O155" s="188"/>
      <c r="P155" s="188"/>
      <c r="Q155" s="372"/>
    </row>
    <row r="156" spans="1:17" ht="15.5" hidden="1">
      <c r="A156" s="290"/>
      <c r="B156" s="261"/>
      <c r="C156" s="282"/>
      <c r="D156" s="246"/>
      <c r="E156" s="298"/>
      <c r="F156" s="296"/>
      <c r="G156" s="188"/>
      <c r="H156" s="188"/>
      <c r="I156" s="188"/>
      <c r="J156" s="188"/>
      <c r="K156" s="188"/>
      <c r="L156" s="188"/>
      <c r="M156" s="188"/>
      <c r="N156" s="188"/>
      <c r="O156" s="188"/>
      <c r="P156" s="188"/>
      <c r="Q156" s="372"/>
    </row>
    <row r="157" spans="1:17" ht="15.5">
      <c r="A157" s="299">
        <f>'ATT H'!A165</f>
        <v>98</v>
      </c>
      <c r="B157" s="282" t="str">
        <f>'ATT H'!B165</f>
        <v>Total Taxes Other than Income</v>
      </c>
      <c r="C157" s="282"/>
      <c r="D157" s="269"/>
      <c r="E157" s="270"/>
      <c r="F157" s="334" t="str">
        <f>'ATT H'!F165</f>
        <v>(Line 97)</v>
      </c>
      <c r="G157" s="188"/>
      <c r="H157" s="188"/>
      <c r="I157" s="188"/>
      <c r="J157" s="188"/>
      <c r="K157" s="188"/>
      <c r="L157" s="188"/>
      <c r="M157" s="188"/>
      <c r="N157" s="188"/>
      <c r="O157" s="188"/>
      <c r="P157" s="188"/>
      <c r="Q157" s="372"/>
    </row>
    <row r="158" spans="1:17" ht="15.5" hidden="1">
      <c r="A158" s="290"/>
      <c r="B158" s="261"/>
      <c r="C158" s="282"/>
      <c r="D158" s="246"/>
      <c r="E158" s="298"/>
      <c r="F158" s="296"/>
      <c r="G158" s="188"/>
      <c r="H158" s="188"/>
      <c r="I158" s="188"/>
      <c r="J158" s="188"/>
      <c r="K158" s="188"/>
      <c r="L158" s="188"/>
      <c r="M158" s="188"/>
      <c r="N158" s="188"/>
      <c r="O158" s="188"/>
      <c r="P158" s="188"/>
      <c r="Q158" s="372"/>
    </row>
    <row r="159" spans="1:17" ht="15.5">
      <c r="A159" s="302" t="str">
        <f>'ATT H'!A167</f>
        <v>Return / Capitalization Calculations</v>
      </c>
      <c r="B159" s="247"/>
      <c r="C159" s="323"/>
      <c r="D159" s="248"/>
      <c r="E159" s="249"/>
      <c r="F159" s="303"/>
      <c r="G159" s="188"/>
      <c r="H159" s="188"/>
      <c r="I159" s="188"/>
      <c r="J159" s="188"/>
      <c r="K159" s="188"/>
      <c r="L159" s="188"/>
      <c r="M159" s="188"/>
      <c r="N159" s="188"/>
      <c r="O159" s="188"/>
      <c r="P159" s="188"/>
      <c r="Q159" s="372"/>
    </row>
    <row r="160" spans="1:17" ht="15.5" hidden="1">
      <c r="A160" s="290"/>
      <c r="B160" s="261"/>
      <c r="C160" s="282"/>
      <c r="D160" s="246"/>
      <c r="E160" s="298"/>
      <c r="F160" s="296"/>
      <c r="G160" s="188"/>
      <c r="H160" s="188"/>
      <c r="I160" s="188"/>
      <c r="J160" s="188"/>
      <c r="K160" s="188"/>
      <c r="L160" s="188"/>
      <c r="M160" s="188"/>
      <c r="N160" s="188"/>
      <c r="O160" s="188"/>
      <c r="P160" s="188"/>
      <c r="Q160" s="372"/>
    </row>
    <row r="161" spans="1:17" ht="15.5">
      <c r="A161" s="299"/>
      <c r="B161" s="265" t="str">
        <f>'ATT H'!B169</f>
        <v>Long Term Interest</v>
      </c>
      <c r="C161" s="148"/>
      <c r="D161" s="148"/>
      <c r="E161" s="254"/>
      <c r="F161" s="293"/>
      <c r="G161" s="188"/>
      <c r="H161" s="188"/>
      <c r="I161" s="188"/>
      <c r="J161" s="188"/>
      <c r="K161" s="188"/>
      <c r="L161" s="188"/>
      <c r="M161" s="188"/>
      <c r="N161" s="188"/>
      <c r="O161" s="188"/>
      <c r="P161" s="188"/>
      <c r="Q161" s="372"/>
    </row>
    <row r="162" spans="1:17" ht="15.5">
      <c r="A162" s="299">
        <f>'ATT H'!A170</f>
        <v>99</v>
      </c>
      <c r="B162" s="265"/>
      <c r="C162" s="148" t="str">
        <f>'ATT H'!C170</f>
        <v>Long Term Interest</v>
      </c>
      <c r="D162" s="148"/>
      <c r="E162" s="254"/>
      <c r="F162" s="289" t="str">
        <f>'ATT H'!F170</f>
        <v>p117.62.c through 67.c</v>
      </c>
      <c r="G162" s="188"/>
      <c r="H162" s="188"/>
      <c r="I162" s="188"/>
      <c r="J162" s="188"/>
      <c r="K162" s="188"/>
      <c r="L162" s="188"/>
      <c r="M162" s="188"/>
      <c r="N162" s="188"/>
      <c r="O162" s="188"/>
      <c r="P162" s="188"/>
      <c r="Q162" s="372"/>
    </row>
    <row r="163" spans="1:17" ht="15.5">
      <c r="A163" s="290">
        <f>'ATT H'!A171</f>
        <v>100</v>
      </c>
      <c r="B163" s="261"/>
      <c r="C163" s="342" t="str">
        <f>'ATT H'!C171</f>
        <v xml:space="preserve">    Less LTD Interest on Securitization Bonds</v>
      </c>
      <c r="D163" s="148"/>
      <c r="E163" s="254"/>
      <c r="F163" s="300" t="str">
        <f>'ATT H'!F171</f>
        <v>Attachment 8</v>
      </c>
      <c r="G163" s="188"/>
      <c r="H163" s="188"/>
      <c r="I163" s="188"/>
      <c r="J163" s="188"/>
      <c r="K163" s="188"/>
      <c r="L163" s="188"/>
      <c r="M163" s="188"/>
      <c r="N163" s="188"/>
      <c r="O163" s="188"/>
      <c r="P163" s="188"/>
      <c r="Q163" s="372"/>
    </row>
    <row r="164" spans="1:17" ht="15.5">
      <c r="A164" s="290">
        <f>'ATT H'!A172</f>
        <v>101</v>
      </c>
      <c r="B164" s="261"/>
      <c r="C164" s="265" t="str">
        <f>'ATT H'!C172</f>
        <v>Long Term Interest</v>
      </c>
      <c r="D164" s="148"/>
      <c r="E164" s="237"/>
      <c r="F164" s="289" t="str">
        <f>'ATT H'!F172</f>
        <v>(Line 99 - Line 100)</v>
      </c>
      <c r="G164" s="188"/>
      <c r="H164" s="188"/>
      <c r="I164" s="188"/>
      <c r="J164" s="188"/>
      <c r="K164" s="188"/>
      <c r="L164" s="188"/>
      <c r="M164" s="188"/>
      <c r="N164" s="188"/>
      <c r="O164" s="188"/>
      <c r="P164" s="188"/>
      <c r="Q164" s="372"/>
    </row>
    <row r="165" spans="1:17" ht="15.5" hidden="1">
      <c r="A165" s="290"/>
      <c r="B165" s="261"/>
      <c r="C165" s="282"/>
      <c r="D165" s="246"/>
      <c r="E165" s="298"/>
      <c r="F165" s="296"/>
      <c r="G165" s="188"/>
      <c r="H165" s="188"/>
      <c r="I165" s="188"/>
      <c r="J165" s="188"/>
      <c r="K165" s="188"/>
      <c r="L165" s="188"/>
      <c r="M165" s="188"/>
      <c r="N165" s="188"/>
      <c r="O165" s="188"/>
      <c r="P165" s="188"/>
      <c r="Q165" s="372"/>
    </row>
    <row r="166" spans="1:17" ht="15.5">
      <c r="A166" s="290">
        <f>'ATT H'!A174</f>
        <v>102</v>
      </c>
      <c r="B166" s="265" t="str">
        <f>'ATT H'!B174</f>
        <v>Preferred Dividends</v>
      </c>
      <c r="C166" s="148"/>
      <c r="D166" s="148"/>
      <c r="E166" s="254" t="str">
        <f>'ATT H'!E174</f>
        <v xml:space="preserve"> enter positive</v>
      </c>
      <c r="F166" s="289" t="str">
        <f>'ATT H'!F174</f>
        <v>p118.29.c</v>
      </c>
      <c r="G166" s="188"/>
      <c r="H166" s="188"/>
      <c r="I166" s="188"/>
      <c r="J166" s="188"/>
      <c r="K166" s="188"/>
      <c r="L166" s="188"/>
      <c r="M166" s="188"/>
      <c r="N166" s="188"/>
      <c r="O166" s="188"/>
      <c r="P166" s="188"/>
      <c r="Q166" s="372"/>
    </row>
    <row r="167" spans="1:17" ht="15.5" hidden="1">
      <c r="A167" s="290"/>
      <c r="B167" s="261"/>
      <c r="C167" s="282"/>
      <c r="D167" s="246"/>
      <c r="E167" s="298"/>
      <c r="F167" s="296"/>
      <c r="G167" s="188"/>
      <c r="H167" s="188"/>
      <c r="I167" s="188"/>
      <c r="J167" s="188"/>
      <c r="K167" s="188"/>
      <c r="L167" s="188"/>
      <c r="M167" s="188"/>
      <c r="N167" s="188"/>
      <c r="O167" s="188"/>
      <c r="P167" s="188"/>
      <c r="Q167" s="372"/>
    </row>
    <row r="168" spans="1:17" ht="15.5">
      <c r="A168" s="290"/>
      <c r="B168" s="268" t="str">
        <f>'ATT H'!B176</f>
        <v>Common Stock</v>
      </c>
      <c r="C168" s="148"/>
      <c r="D168" s="148"/>
      <c r="E168" s="254"/>
      <c r="F168" s="289"/>
      <c r="G168" s="188"/>
      <c r="H168" s="188"/>
      <c r="I168" s="188"/>
      <c r="J168" s="188"/>
      <c r="K168" s="188"/>
      <c r="L168" s="188"/>
      <c r="M168" s="188"/>
      <c r="N168" s="188"/>
      <c r="O168" s="188"/>
      <c r="P168" s="188"/>
      <c r="Q168" s="372"/>
    </row>
    <row r="169" spans="1:17" ht="15.5">
      <c r="A169" s="290">
        <f>'ATT H'!A177</f>
        <v>103</v>
      </c>
      <c r="B169" s="261"/>
      <c r="C169" s="252" t="str">
        <f>'ATT H'!C177</f>
        <v>Proprietary Capital</v>
      </c>
      <c r="D169" s="252"/>
      <c r="E169" s="254"/>
      <c r="F169" s="289" t="str">
        <f>'ATT H'!F177</f>
        <v>p112.16.c</v>
      </c>
      <c r="G169" s="188"/>
      <c r="H169" s="188"/>
      <c r="I169" s="188"/>
      <c r="J169" s="188"/>
      <c r="K169" s="188"/>
      <c r="L169" s="188"/>
      <c r="M169" s="188"/>
      <c r="N169" s="188"/>
      <c r="O169" s="188"/>
      <c r="P169" s="188"/>
      <c r="Q169" s="372"/>
    </row>
    <row r="170" spans="1:17" ht="15.5">
      <c r="A170" s="299">
        <f>'ATT H'!A178</f>
        <v>104</v>
      </c>
      <c r="B170" s="280"/>
      <c r="C170" s="256" t="str">
        <f>'ATT H'!C178</f>
        <v xml:space="preserve">    Less Preferred Stock</v>
      </c>
      <c r="D170" s="256"/>
      <c r="E170" s="298" t="str">
        <f>'ATT H'!E178</f>
        <v>enter negative</v>
      </c>
      <c r="F170" s="296" t="str">
        <f>'ATT H'!F178</f>
        <v>(Line 113)</v>
      </c>
      <c r="G170" s="188"/>
      <c r="H170" s="188"/>
      <c r="I170" s="188"/>
      <c r="J170" s="188"/>
      <c r="K170" s="188"/>
      <c r="L170" s="188"/>
      <c r="M170" s="188"/>
      <c r="N170" s="188"/>
      <c r="O170" s="188"/>
      <c r="P170" s="188"/>
      <c r="Q170" s="372"/>
    </row>
    <row r="171" spans="1:17" ht="15.5">
      <c r="A171" s="290">
        <f>'ATT H'!A179</f>
        <v>105</v>
      </c>
      <c r="B171" s="280"/>
      <c r="C171" s="256" t="str">
        <f>'ATT H'!C179</f>
        <v xml:space="preserve">    Plus Securitization Adjustment</v>
      </c>
      <c r="D171" s="298"/>
      <c r="E171" s="254"/>
      <c r="F171" s="300" t="str">
        <f>'ATT H'!F179</f>
        <v>Company Exhibit</v>
      </c>
      <c r="G171" s="188"/>
      <c r="H171" s="188"/>
      <c r="I171" s="188"/>
      <c r="J171" s="188"/>
      <c r="K171" s="188"/>
      <c r="L171" s="188"/>
      <c r="M171" s="188"/>
      <c r="N171" s="188"/>
      <c r="O171" s="188"/>
      <c r="P171" s="188"/>
      <c r="Q171" s="372"/>
    </row>
    <row r="172" spans="1:17" ht="15.5">
      <c r="A172" s="290">
        <f>'ATT H'!A180</f>
        <v>105</v>
      </c>
      <c r="B172" s="280"/>
      <c r="C172" s="256" t="str">
        <f>'ATT H'!C180</f>
        <v xml:space="preserve">    Less Account 216.1</v>
      </c>
      <c r="D172" s="256"/>
      <c r="E172" s="298" t="str">
        <f>'ATT H'!E180</f>
        <v>enter negative</v>
      </c>
      <c r="F172" s="300" t="str">
        <f>'ATT H'!F180</f>
        <v>p112.12.c</v>
      </c>
      <c r="G172" s="188"/>
      <c r="H172" s="188"/>
      <c r="I172" s="188"/>
      <c r="J172" s="188"/>
      <c r="K172" s="188"/>
      <c r="L172" s="188"/>
      <c r="M172" s="188"/>
      <c r="N172" s="188"/>
      <c r="O172" s="188"/>
      <c r="P172" s="188"/>
      <c r="Q172" s="372"/>
    </row>
    <row r="173" spans="1:17" ht="15.5">
      <c r="A173" s="290">
        <f>'ATT H'!A181</f>
        <v>106</v>
      </c>
      <c r="B173" s="280"/>
      <c r="C173" s="266" t="str">
        <f>'ATT H'!C181</f>
        <v>Common Stock</v>
      </c>
      <c r="D173" s="256"/>
      <c r="E173" s="267"/>
      <c r="F173" s="289" t="str">
        <f>'ATT H'!F181</f>
        <v>(Sum Lines 103 to 105)</v>
      </c>
      <c r="G173" s="188"/>
      <c r="H173" s="188"/>
      <c r="I173" s="188"/>
      <c r="J173" s="188"/>
      <c r="K173" s="188"/>
      <c r="L173" s="188"/>
      <c r="M173" s="188"/>
      <c r="N173" s="188"/>
      <c r="O173" s="188"/>
      <c r="P173" s="188"/>
      <c r="Q173" s="372"/>
    </row>
    <row r="174" spans="1:17" ht="15.5" hidden="1">
      <c r="A174" s="290"/>
      <c r="B174" s="261"/>
      <c r="C174" s="282"/>
      <c r="D174" s="246"/>
      <c r="E174" s="298"/>
      <c r="F174" s="296"/>
      <c r="G174" s="188"/>
      <c r="H174" s="188"/>
      <c r="I174" s="188"/>
      <c r="J174" s="188"/>
      <c r="K174" s="188"/>
      <c r="L174" s="188"/>
      <c r="M174" s="188"/>
      <c r="N174" s="188"/>
      <c r="O174" s="188"/>
      <c r="P174" s="188"/>
      <c r="Q174" s="372"/>
    </row>
    <row r="175" spans="1:17" ht="15.5">
      <c r="A175" s="290"/>
      <c r="B175" s="268" t="str">
        <f>'ATT H'!B183</f>
        <v>Capitalization</v>
      </c>
      <c r="C175" s="148"/>
      <c r="D175" s="148"/>
      <c r="E175" s="254"/>
      <c r="F175" s="289"/>
      <c r="G175" s="188"/>
      <c r="H175" s="188"/>
      <c r="I175" s="188"/>
      <c r="J175" s="188"/>
      <c r="K175" s="188"/>
      <c r="L175" s="188"/>
      <c r="M175" s="188"/>
      <c r="N175" s="188"/>
      <c r="O175" s="188"/>
      <c r="P175" s="188"/>
      <c r="Q175" s="372"/>
    </row>
    <row r="176" spans="1:17" ht="15.5">
      <c r="A176" s="290">
        <f>'ATT H'!A184</f>
        <v>107</v>
      </c>
      <c r="B176" s="261"/>
      <c r="C176" s="253" t="str">
        <f>'ATT H'!C184</f>
        <v>Long Term Debt</v>
      </c>
      <c r="D176" s="148"/>
      <c r="E176" s="261"/>
      <c r="F176" s="329" t="str">
        <f>'ATT H'!F184</f>
        <v>p112.18.c through 21.c</v>
      </c>
      <c r="G176" s="188"/>
      <c r="H176" s="188"/>
      <c r="I176" s="188"/>
      <c r="J176" s="188"/>
      <c r="K176" s="188"/>
      <c r="L176" s="188"/>
      <c r="M176" s="188"/>
      <c r="N176" s="188"/>
      <c r="O176" s="188"/>
      <c r="P176" s="188"/>
      <c r="Q176" s="372"/>
    </row>
    <row r="177" spans="1:17" ht="15.5">
      <c r="A177" s="299">
        <f>'ATT H'!A185</f>
        <v>108</v>
      </c>
      <c r="B177" s="261"/>
      <c r="C177" s="253" t="str">
        <f>'ATT H'!C185</f>
        <v xml:space="preserve">      Less Loss on Reacquired Debt </v>
      </c>
      <c r="D177" s="148"/>
      <c r="E177" s="254" t="str">
        <f>'ATT H'!E185</f>
        <v>enter negative</v>
      </c>
      <c r="F177" s="325" t="str">
        <f>'ATT H'!F185</f>
        <v>p111.81.c</v>
      </c>
      <c r="G177" s="188"/>
      <c r="H177" s="188"/>
      <c r="I177" s="188"/>
      <c r="J177" s="188"/>
      <c r="K177" s="188"/>
      <c r="L177" s="188"/>
      <c r="M177" s="188"/>
      <c r="N177" s="188"/>
      <c r="O177" s="188"/>
      <c r="P177" s="188"/>
      <c r="Q177" s="372"/>
    </row>
    <row r="178" spans="1:17" ht="15.5">
      <c r="A178" s="299">
        <f>'ATT H'!A186</f>
        <v>109</v>
      </c>
      <c r="B178" s="261"/>
      <c r="C178" s="253" t="str">
        <f>'ATT H'!C186</f>
        <v xml:space="preserve">      Plus Gain on Reacquired Debt</v>
      </c>
      <c r="D178" s="148"/>
      <c r="E178" s="261" t="str">
        <f>'ATT H'!E186</f>
        <v>enter positive</v>
      </c>
      <c r="F178" s="325" t="str">
        <f>'ATT H'!F186</f>
        <v>p113.61.c</v>
      </c>
      <c r="G178" s="188"/>
      <c r="H178" s="188"/>
      <c r="I178" s="188"/>
      <c r="J178" s="188"/>
      <c r="K178" s="188"/>
      <c r="L178" s="188"/>
      <c r="M178" s="188"/>
      <c r="N178" s="188"/>
      <c r="O178" s="188"/>
      <c r="P178" s="188"/>
      <c r="Q178" s="372"/>
    </row>
    <row r="179" spans="1:17" ht="15.5">
      <c r="A179" s="290">
        <f>'ATT H'!A188</f>
        <v>111</v>
      </c>
      <c r="B179" s="261"/>
      <c r="C179" s="272" t="str">
        <f>'ATT H'!C188</f>
        <v xml:space="preserve">      Less LTD on Securitization Bonds</v>
      </c>
      <c r="D179" s="272"/>
      <c r="E179" s="254" t="str">
        <f>'ATT H'!E188</f>
        <v>enter negative</v>
      </c>
      <c r="F179" s="300" t="str">
        <f>'ATT H'!F188</f>
        <v>Attachment 8</v>
      </c>
      <c r="G179" s="188"/>
      <c r="H179" s="188"/>
      <c r="I179" s="188"/>
      <c r="J179" s="188"/>
      <c r="K179" s="188"/>
      <c r="L179" s="188"/>
      <c r="M179" s="188"/>
      <c r="N179" s="188"/>
      <c r="O179" s="188"/>
      <c r="P179" s="188"/>
      <c r="Q179" s="372"/>
    </row>
    <row r="180" spans="1:17" ht="15.5">
      <c r="A180" s="290">
        <f>'ATT H'!A189</f>
        <v>112</v>
      </c>
      <c r="B180" s="280"/>
      <c r="C180" s="257" t="str">
        <f>'ATT H'!C189</f>
        <v>Total Long Term Debt</v>
      </c>
      <c r="D180" s="148"/>
      <c r="E180" s="267"/>
      <c r="F180" s="289" t="str">
        <f>'ATT H'!F189</f>
        <v>(Sum Lines 107 to 111)</v>
      </c>
      <c r="G180" s="188"/>
      <c r="H180" s="188"/>
      <c r="I180" s="188"/>
      <c r="J180" s="188"/>
      <c r="K180" s="188"/>
      <c r="L180" s="188"/>
      <c r="M180" s="188"/>
      <c r="N180" s="188"/>
      <c r="O180" s="188"/>
      <c r="P180" s="188"/>
      <c r="Q180" s="372"/>
    </row>
    <row r="181" spans="1:17" ht="15.5">
      <c r="A181" s="290">
        <f>'ATT H'!A190</f>
        <v>113</v>
      </c>
      <c r="B181" s="261"/>
      <c r="C181" s="253" t="str">
        <f>'ATT H'!C190</f>
        <v>Preferred Stock</v>
      </c>
      <c r="D181" s="148"/>
      <c r="E181" s="261"/>
      <c r="F181" s="329" t="str">
        <f>'ATT H'!F190</f>
        <v>p112.3.c</v>
      </c>
      <c r="G181" s="188"/>
      <c r="H181" s="188"/>
      <c r="I181" s="188"/>
      <c r="J181" s="188"/>
      <c r="K181" s="188"/>
      <c r="L181" s="188"/>
      <c r="M181" s="188"/>
      <c r="N181" s="188"/>
      <c r="O181" s="188"/>
      <c r="P181" s="188"/>
      <c r="Q181" s="372"/>
    </row>
    <row r="182" spans="1:17" ht="15.5">
      <c r="A182" s="290">
        <f>'ATT H'!A191</f>
        <v>114</v>
      </c>
      <c r="B182" s="261"/>
      <c r="C182" s="253" t="str">
        <f>'ATT H'!C191</f>
        <v>Common Stock</v>
      </c>
      <c r="D182" s="148"/>
      <c r="E182" s="237"/>
      <c r="F182" s="289" t="str">
        <f>'ATT H'!F191</f>
        <v>(Line 106)</v>
      </c>
      <c r="G182" s="188"/>
      <c r="H182" s="188"/>
      <c r="I182" s="188"/>
      <c r="J182" s="188"/>
      <c r="K182" s="188"/>
      <c r="L182" s="188"/>
      <c r="M182" s="188"/>
      <c r="N182" s="188"/>
      <c r="O182" s="188"/>
      <c r="P182" s="188"/>
      <c r="Q182" s="372"/>
    </row>
    <row r="183" spans="1:17" ht="15.5">
      <c r="A183" s="290">
        <f>'ATT H'!A192</f>
        <v>115</v>
      </c>
      <c r="B183" s="261"/>
      <c r="C183" s="268" t="str">
        <f>'ATT H'!C192</f>
        <v>Total  Capitalization</v>
      </c>
      <c r="D183" s="148"/>
      <c r="E183" s="237"/>
      <c r="F183" s="289" t="str">
        <f>'ATT H'!F192</f>
        <v>(Sum Lines 112 to 114)</v>
      </c>
      <c r="G183" s="188"/>
      <c r="H183" s="188"/>
      <c r="I183" s="188"/>
      <c r="J183" s="188"/>
      <c r="K183" s="188"/>
      <c r="L183" s="188"/>
      <c r="M183" s="188"/>
      <c r="N183" s="188"/>
      <c r="O183" s="188"/>
      <c r="P183" s="188"/>
      <c r="Q183" s="372"/>
    </row>
    <row r="184" spans="1:17" ht="15.5" hidden="1">
      <c r="A184" s="290"/>
      <c r="B184" s="261"/>
      <c r="C184" s="282"/>
      <c r="D184" s="246"/>
      <c r="E184" s="298"/>
      <c r="F184" s="296"/>
      <c r="G184" s="188"/>
      <c r="H184" s="188"/>
      <c r="I184" s="188"/>
      <c r="J184" s="188"/>
      <c r="K184" s="188"/>
      <c r="L184" s="188"/>
      <c r="M184" s="188"/>
      <c r="N184" s="188"/>
      <c r="O184" s="188"/>
      <c r="P184" s="188"/>
      <c r="Q184" s="372"/>
    </row>
    <row r="185" spans="1:17" ht="15.5">
      <c r="A185" s="299">
        <f>'ATT H'!A194</f>
        <v>116</v>
      </c>
      <c r="B185" s="261"/>
      <c r="C185" s="264" t="str">
        <f>'ATT H'!C194</f>
        <v>Debt %</v>
      </c>
      <c r="D185" s="257" t="str">
        <f>'ATT H'!D194</f>
        <v>Total Long Term Debt</v>
      </c>
      <c r="E185" s="237"/>
      <c r="F185" s="289" t="str">
        <f>'ATT H'!F194</f>
        <v>(Line 112 / Line 115)</v>
      </c>
      <c r="G185" s="188"/>
      <c r="H185" s="188"/>
      <c r="I185" s="188"/>
      <c r="J185" s="188"/>
      <c r="K185" s="188"/>
      <c r="L185" s="188"/>
      <c r="M185" s="188"/>
      <c r="N185" s="188"/>
      <c r="O185" s="188"/>
      <c r="P185" s="188"/>
      <c r="Q185" s="372"/>
    </row>
    <row r="186" spans="1:17" ht="15.5">
      <c r="A186" s="299">
        <f>'ATT H'!A195</f>
        <v>117</v>
      </c>
      <c r="B186" s="261"/>
      <c r="C186" s="264" t="str">
        <f>'ATT H'!C195</f>
        <v>Preferred %</v>
      </c>
      <c r="D186" s="253" t="str">
        <f>'ATT H'!D195</f>
        <v>Preferred Stock</v>
      </c>
      <c r="E186" s="237"/>
      <c r="F186" s="289" t="str">
        <f>'ATT H'!F195</f>
        <v>(Line 113 / Line 115)</v>
      </c>
      <c r="G186" s="188"/>
      <c r="H186" s="188"/>
      <c r="I186" s="188"/>
      <c r="J186" s="188"/>
      <c r="K186" s="188"/>
      <c r="L186" s="188"/>
      <c r="M186" s="188"/>
      <c r="N186" s="188"/>
      <c r="O186" s="188"/>
      <c r="P186" s="188"/>
      <c r="Q186" s="372"/>
    </row>
    <row r="187" spans="1:17" ht="15.5">
      <c r="A187" s="299">
        <f>'ATT H'!A196</f>
        <v>118</v>
      </c>
      <c r="B187" s="261"/>
      <c r="C187" s="264" t="str">
        <f>'ATT H'!C196</f>
        <v>Common %</v>
      </c>
      <c r="D187" s="253" t="str">
        <f>'ATT H'!D196</f>
        <v>Common Stock</v>
      </c>
      <c r="E187" s="237"/>
      <c r="F187" s="289" t="str">
        <f>'ATT H'!F196</f>
        <v>(Line 114 / Line 115)</v>
      </c>
      <c r="G187" s="188"/>
      <c r="H187" s="188"/>
      <c r="I187" s="188"/>
      <c r="J187" s="188"/>
      <c r="K187" s="188"/>
      <c r="L187" s="188"/>
      <c r="M187" s="188"/>
      <c r="N187" s="188"/>
      <c r="O187" s="188"/>
      <c r="P187" s="188"/>
      <c r="Q187" s="372"/>
    </row>
    <row r="188" spans="1:17" ht="15.5" hidden="1">
      <c r="A188" s="290"/>
      <c r="B188" s="261"/>
      <c r="C188" s="282"/>
      <c r="D188" s="246"/>
      <c r="E188" s="298"/>
      <c r="F188" s="296"/>
      <c r="G188" s="188"/>
      <c r="H188" s="188"/>
      <c r="I188" s="188"/>
      <c r="J188" s="188"/>
      <c r="K188" s="188"/>
      <c r="L188" s="188"/>
      <c r="M188" s="188"/>
      <c r="N188" s="188"/>
      <c r="O188" s="188"/>
      <c r="P188" s="188"/>
      <c r="Q188" s="372"/>
    </row>
    <row r="189" spans="1:17" ht="15.5">
      <c r="A189" s="299">
        <f>'ATT H'!A198</f>
        <v>119</v>
      </c>
      <c r="B189" s="261"/>
      <c r="C189" s="330" t="str">
        <f>'ATT H'!C198</f>
        <v>Debt Cost</v>
      </c>
      <c r="D189" s="257" t="str">
        <f>'ATT H'!D198</f>
        <v>Total Long Term Debt</v>
      </c>
      <c r="E189" s="237"/>
      <c r="F189" s="289" t="str">
        <f>'ATT H'!F198</f>
        <v>(Line 101 / Line 112)</v>
      </c>
      <c r="G189" s="188"/>
      <c r="H189" s="188"/>
      <c r="I189" s="188"/>
      <c r="J189" s="188"/>
      <c r="K189" s="188"/>
      <c r="L189" s="188"/>
      <c r="M189" s="188"/>
      <c r="N189" s="188"/>
      <c r="O189" s="188"/>
      <c r="P189" s="188"/>
      <c r="Q189" s="372"/>
    </row>
    <row r="190" spans="1:17" ht="15.5">
      <c r="A190" s="299">
        <f>'ATT H'!A199</f>
        <v>120</v>
      </c>
      <c r="B190" s="261"/>
      <c r="C190" s="330" t="str">
        <f>'ATT H'!C199</f>
        <v>Preferred Cost</v>
      </c>
      <c r="D190" s="253" t="str">
        <f>'ATT H'!D199</f>
        <v>Preferred Stock</v>
      </c>
      <c r="E190" s="237"/>
      <c r="F190" s="289" t="str">
        <f>'ATT H'!F199</f>
        <v>(Line 102 / Line 113)</v>
      </c>
      <c r="G190" s="188"/>
      <c r="H190" s="188"/>
      <c r="I190" s="188"/>
      <c r="J190" s="188"/>
      <c r="K190" s="188"/>
      <c r="L190" s="188"/>
      <c r="M190" s="188"/>
      <c r="N190" s="188"/>
      <c r="O190" s="188"/>
      <c r="P190" s="188"/>
      <c r="Q190" s="372"/>
    </row>
    <row r="191" spans="1:17" ht="15.5">
      <c r="A191" s="299">
        <f>'ATT H'!A200</f>
        <v>121</v>
      </c>
      <c r="B191" s="261"/>
      <c r="C191" s="330" t="str">
        <f>'ATT H'!C200</f>
        <v>Common Cost</v>
      </c>
      <c r="D191" s="253" t="str">
        <f>'ATT H'!D200</f>
        <v>Common Stock</v>
      </c>
      <c r="E191" s="285" t="str">
        <f>'ATT H'!E200</f>
        <v>(Note J)</v>
      </c>
      <c r="F191" s="289" t="str">
        <f>'ATT H'!F200</f>
        <v>Fixed</v>
      </c>
      <c r="G191" s="188"/>
      <c r="H191" s="188"/>
      <c r="I191" s="188"/>
      <c r="J191" s="188"/>
      <c r="K191" s="188"/>
      <c r="L191" s="188"/>
      <c r="M191" s="188"/>
      <c r="N191" s="188"/>
      <c r="O191" s="188"/>
      <c r="P191" s="188"/>
      <c r="Q191" s="372"/>
    </row>
    <row r="192" spans="1:17" ht="15.5" hidden="1">
      <c r="A192" s="290"/>
      <c r="B192" s="261"/>
      <c r="C192" s="282"/>
      <c r="D192" s="246"/>
      <c r="E192" s="298"/>
      <c r="F192" s="296"/>
      <c r="G192" s="188"/>
      <c r="H192" s="188"/>
      <c r="I192" s="188"/>
      <c r="J192" s="188"/>
      <c r="K192" s="188"/>
      <c r="L192" s="188"/>
      <c r="M192" s="188"/>
      <c r="N192" s="188"/>
      <c r="O192" s="188"/>
      <c r="P192" s="188"/>
      <c r="Q192" s="372"/>
    </row>
    <row r="193" spans="1:17" ht="15.5">
      <c r="A193" s="299">
        <f>'ATT H'!A202</f>
        <v>122</v>
      </c>
      <c r="B193" s="261"/>
      <c r="C193" s="264" t="str">
        <f>'ATT H'!C202</f>
        <v>Weighted Cost of Debt</v>
      </c>
      <c r="D193" s="257" t="str">
        <f>'ATT H'!D202</f>
        <v>Total Long Term Debt (WCLTD)</v>
      </c>
      <c r="E193" s="237"/>
      <c r="F193" s="289" t="str">
        <f>'ATT H'!F202</f>
        <v>(Line 116 * Line 119)</v>
      </c>
      <c r="G193" s="188"/>
      <c r="H193" s="188"/>
      <c r="I193" s="188"/>
      <c r="J193" s="188"/>
      <c r="K193" s="188"/>
      <c r="L193" s="188"/>
      <c r="M193" s="188"/>
      <c r="N193" s="188"/>
      <c r="O193" s="188"/>
      <c r="P193" s="188"/>
      <c r="Q193" s="372"/>
    </row>
    <row r="194" spans="1:17" ht="15.5">
      <c r="A194" s="299">
        <f>'ATT H'!A203</f>
        <v>123</v>
      </c>
      <c r="B194" s="261"/>
      <c r="C194" s="264" t="str">
        <f>'ATT H'!C203</f>
        <v>Weighted Cost of Preferred</v>
      </c>
      <c r="D194" s="253" t="str">
        <f>'ATT H'!D203</f>
        <v>Preferred Stock</v>
      </c>
      <c r="E194" s="237"/>
      <c r="F194" s="289" t="str">
        <f>'ATT H'!F203</f>
        <v>(Line 117 * Line 120)</v>
      </c>
      <c r="G194" s="188"/>
      <c r="H194" s="188"/>
      <c r="I194" s="188"/>
      <c r="J194" s="188"/>
      <c r="K194" s="188"/>
      <c r="L194" s="188"/>
      <c r="M194" s="188"/>
      <c r="N194" s="188"/>
      <c r="O194" s="188"/>
      <c r="P194" s="188"/>
      <c r="Q194" s="372"/>
    </row>
    <row r="195" spans="1:17" ht="15.5">
      <c r="A195" s="299">
        <f>'ATT H'!A204</f>
        <v>124</v>
      </c>
      <c r="B195" s="261"/>
      <c r="C195" s="264" t="str">
        <f>'ATT H'!C204</f>
        <v>Weighted Cost of Common</v>
      </c>
      <c r="D195" s="253" t="str">
        <f>'ATT H'!D204</f>
        <v>Common Stock</v>
      </c>
      <c r="E195" s="237"/>
      <c r="F195" s="289" t="str">
        <f>'ATT H'!F204</f>
        <v>(Line 118 * Line 121)</v>
      </c>
      <c r="G195" s="188"/>
      <c r="H195" s="188"/>
      <c r="I195" s="188"/>
      <c r="J195" s="188"/>
      <c r="K195" s="188"/>
      <c r="L195" s="188"/>
      <c r="M195" s="188"/>
      <c r="N195" s="188"/>
      <c r="O195" s="188"/>
      <c r="P195" s="188"/>
      <c r="Q195" s="372"/>
    </row>
    <row r="196" spans="1:17" ht="15.5">
      <c r="A196" s="290">
        <f>'ATT H'!A205</f>
        <v>125</v>
      </c>
      <c r="B196" s="268" t="str">
        <f>'ATT H'!B205</f>
        <v>Total Return ( R )</v>
      </c>
      <c r="C196" s="268"/>
      <c r="D196" s="269"/>
      <c r="E196" s="270"/>
      <c r="F196" s="289" t="str">
        <f>'ATT H'!F205</f>
        <v>(Sum Lines 122 to 124)</v>
      </c>
      <c r="G196" s="188"/>
      <c r="H196" s="188"/>
      <c r="I196" s="188"/>
      <c r="J196" s="188"/>
      <c r="K196" s="188"/>
      <c r="L196" s="188"/>
      <c r="M196" s="188"/>
      <c r="N196" s="188"/>
      <c r="O196" s="188"/>
      <c r="P196" s="188"/>
      <c r="Q196" s="372"/>
    </row>
    <row r="197" spans="1:17" ht="15.5" hidden="1">
      <c r="A197" s="290"/>
      <c r="B197" s="261"/>
      <c r="C197" s="282"/>
      <c r="D197" s="246"/>
      <c r="E197" s="298"/>
      <c r="F197" s="296"/>
      <c r="G197" s="188"/>
      <c r="H197" s="188"/>
      <c r="I197" s="188"/>
      <c r="J197" s="188"/>
      <c r="K197" s="188"/>
      <c r="L197" s="188"/>
      <c r="M197" s="188"/>
      <c r="N197" s="188"/>
      <c r="O197" s="188"/>
      <c r="P197" s="188"/>
      <c r="Q197" s="372"/>
    </row>
    <row r="198" spans="1:17" ht="15.5">
      <c r="A198" s="290">
        <f>'ATT H'!A207</f>
        <v>126</v>
      </c>
      <c r="B198" s="271" t="str">
        <f>'ATT H'!B207</f>
        <v>Investment Return = Rate Base * Rate of Return</v>
      </c>
      <c r="C198" s="272"/>
      <c r="D198" s="269"/>
      <c r="E198" s="343"/>
      <c r="F198" s="334" t="str">
        <f>'ATT H'!F207</f>
        <v>(Line 59 * Line 125)</v>
      </c>
      <c r="G198" s="188"/>
      <c r="H198" s="188"/>
      <c r="I198" s="188"/>
      <c r="J198" s="188"/>
      <c r="K198" s="188"/>
      <c r="L198" s="188"/>
      <c r="M198" s="188"/>
      <c r="N198" s="188"/>
      <c r="O198" s="188"/>
      <c r="P198" s="188"/>
      <c r="Q198" s="372"/>
    </row>
    <row r="199" spans="1:17" ht="15.5" hidden="1">
      <c r="A199" s="290"/>
      <c r="B199" s="261"/>
      <c r="C199" s="282"/>
      <c r="D199" s="246"/>
      <c r="E199" s="298"/>
      <c r="F199" s="296"/>
      <c r="G199" s="188"/>
      <c r="H199" s="188"/>
      <c r="I199" s="188"/>
      <c r="J199" s="188"/>
      <c r="K199" s="188"/>
      <c r="L199" s="188"/>
      <c r="M199" s="188"/>
      <c r="N199" s="188"/>
      <c r="O199" s="188"/>
      <c r="P199" s="188"/>
      <c r="Q199" s="372"/>
    </row>
    <row r="200" spans="1:17" ht="15.5">
      <c r="A200" s="302" t="str">
        <f>'ATT H'!A209</f>
        <v xml:space="preserve">Composite Income Taxes                                                                                                       </v>
      </c>
      <c r="B200" s="247"/>
      <c r="C200" s="323"/>
      <c r="D200" s="248"/>
      <c r="E200" s="249"/>
      <c r="F200" s="303"/>
      <c r="G200" s="188"/>
      <c r="H200" s="188"/>
      <c r="I200" s="188"/>
      <c r="J200" s="188"/>
      <c r="K200" s="188"/>
      <c r="L200" s="188"/>
      <c r="M200" s="188"/>
      <c r="N200" s="188"/>
      <c r="O200" s="188"/>
      <c r="P200" s="188"/>
      <c r="Q200" s="372"/>
    </row>
    <row r="201" spans="1:17" ht="15.5" hidden="1">
      <c r="A201" s="290"/>
      <c r="B201" s="261"/>
      <c r="C201" s="282"/>
      <c r="D201" s="246"/>
      <c r="E201" s="298"/>
      <c r="F201" s="296"/>
      <c r="G201" s="188"/>
      <c r="H201" s="188"/>
      <c r="I201" s="188"/>
      <c r="J201" s="188"/>
      <c r="K201" s="188"/>
      <c r="L201" s="188"/>
      <c r="M201" s="188"/>
      <c r="N201" s="188"/>
      <c r="O201" s="188"/>
      <c r="P201" s="188"/>
      <c r="Q201" s="372"/>
    </row>
    <row r="202" spans="1:17" ht="15.5">
      <c r="A202" s="290" t="str">
        <f>'ATT H'!A211</f>
        <v xml:space="preserve"> </v>
      </c>
      <c r="B202" s="271" t="str">
        <f>'ATT H'!B211</f>
        <v>Income Tax Rates</v>
      </c>
      <c r="C202" s="148"/>
      <c r="D202" s="148"/>
      <c r="E202" s="254"/>
      <c r="F202" s="289"/>
      <c r="G202" s="188"/>
      <c r="H202" s="188"/>
      <c r="I202" s="188"/>
      <c r="J202" s="188"/>
      <c r="K202" s="188"/>
      <c r="L202" s="188"/>
      <c r="M202" s="188"/>
      <c r="N202" s="188"/>
      <c r="O202" s="188"/>
      <c r="P202" s="188"/>
      <c r="Q202" s="372"/>
    </row>
    <row r="203" spans="1:17" ht="15.5">
      <c r="A203" s="290">
        <f>'ATT H'!A212</f>
        <v>127</v>
      </c>
      <c r="B203" s="261"/>
      <c r="C203" s="148" t="str">
        <f>'ATT H'!C212</f>
        <v>FIT=Federal Income Tax Rate</v>
      </c>
      <c r="D203" s="148"/>
      <c r="E203" s="237"/>
      <c r="F203" s="296" t="str">
        <f>'ATT H'!F212</f>
        <v>FIT for Year</v>
      </c>
      <c r="G203" s="188"/>
      <c r="H203" s="188"/>
      <c r="I203" s="188"/>
      <c r="J203" s="188"/>
      <c r="K203" s="188"/>
      <c r="L203" s="188"/>
      <c r="M203" s="188"/>
      <c r="N203" s="188"/>
      <c r="O203" s="188"/>
      <c r="P203" s="188"/>
      <c r="Q203" s="372"/>
    </row>
    <row r="204" spans="1:17" ht="15.5">
      <c r="A204" s="290">
        <f>'ATT H'!A213</f>
        <v>128</v>
      </c>
      <c r="B204" s="261"/>
      <c r="C204" s="331" t="str">
        <f>'ATT H'!C213</f>
        <v>SIT=State Income Tax Rate or Composite</v>
      </c>
      <c r="D204" s="332"/>
      <c r="E204" s="285" t="str">
        <f>'ATT H'!E213</f>
        <v>(Note I)</v>
      </c>
      <c r="F204" s="296" t="str">
        <f>'ATT H'!F213</f>
        <v>SIT for Year</v>
      </c>
      <c r="G204" s="188"/>
      <c r="H204" s="188"/>
      <c r="I204" s="188"/>
      <c r="J204" s="188"/>
      <c r="K204" s="188"/>
      <c r="L204" s="188"/>
      <c r="M204" s="232" t="s">
        <v>336</v>
      </c>
      <c r="N204" s="188"/>
      <c r="O204" s="188"/>
      <c r="P204" s="188"/>
      <c r="Q204" s="372"/>
    </row>
    <row r="205" spans="1:17" ht="15.5">
      <c r="A205" s="290">
        <f>'ATT H'!A214</f>
        <v>129</v>
      </c>
      <c r="B205" s="261"/>
      <c r="C205" s="331" t="str">
        <f>'ATT H'!C214</f>
        <v>p</v>
      </c>
      <c r="D205" s="331" t="str">
        <f>'ATT H'!E214</f>
        <v>(percent of federal income tax deductible for state purposes)</v>
      </c>
      <c r="E205" s="237"/>
      <c r="F205" s="296">
        <f>'ATT H'!F214</f>
        <v>0</v>
      </c>
      <c r="G205" s="188"/>
      <c r="H205" s="188"/>
      <c r="I205" s="188"/>
      <c r="J205" s="188"/>
      <c r="K205" s="188"/>
      <c r="L205" s="188"/>
      <c r="M205" s="188"/>
      <c r="N205" s="188"/>
      <c r="O205" s="188"/>
      <c r="P205" s="188"/>
      <c r="Q205" s="372"/>
    </row>
    <row r="206" spans="1:17" ht="15.5">
      <c r="A206" s="290">
        <f>'ATT H'!A215</f>
        <v>130</v>
      </c>
      <c r="B206" s="261"/>
      <c r="C206" s="331" t="str">
        <f>'ATT H'!C215</f>
        <v>T</v>
      </c>
      <c r="D206" s="273" t="str">
        <f>'ATT H'!D215</f>
        <v xml:space="preserve">     T=1 - {[(1 - SIT) * (1 - FIT)] / (1 - SIT * FIT * p)} =</v>
      </c>
      <c r="E206" s="237"/>
      <c r="F206" s="296"/>
      <c r="G206" s="188"/>
      <c r="H206" s="188"/>
      <c r="I206" s="188"/>
      <c r="J206" s="188"/>
      <c r="K206" s="188"/>
      <c r="L206" s="188"/>
      <c r="M206" s="188"/>
      <c r="N206" s="188"/>
      <c r="O206" s="188"/>
      <c r="P206" s="188"/>
      <c r="Q206" s="372"/>
    </row>
    <row r="207" spans="1:17" ht="15.5">
      <c r="A207" s="290">
        <f>'ATT H'!A216</f>
        <v>131</v>
      </c>
      <c r="B207" s="261"/>
      <c r="C207" s="331" t="str">
        <f>'ATT H'!C216</f>
        <v>T/ (1-T)</v>
      </c>
      <c r="D207" s="332"/>
      <c r="E207" s="237"/>
      <c r="F207" s="296"/>
      <c r="G207" s="188"/>
      <c r="H207" s="188"/>
      <c r="I207" s="188"/>
      <c r="J207" s="188"/>
      <c r="K207" s="188"/>
      <c r="L207" s="188"/>
      <c r="M207" s="188"/>
      <c r="N207" s="188"/>
      <c r="O207" s="188"/>
      <c r="P207" s="188"/>
      <c r="Q207" s="372"/>
    </row>
    <row r="208" spans="1:17" ht="15.5" hidden="1">
      <c r="A208" s="290"/>
      <c r="B208" s="261"/>
      <c r="C208" s="282"/>
      <c r="D208" s="246"/>
      <c r="E208" s="298"/>
      <c r="F208" s="296"/>
      <c r="G208" s="188"/>
      <c r="H208" s="188"/>
      <c r="I208" s="188"/>
      <c r="J208" s="188"/>
      <c r="K208" s="188"/>
      <c r="L208" s="188"/>
      <c r="M208" s="188"/>
      <c r="N208" s="188"/>
      <c r="O208" s="188"/>
      <c r="P208" s="188"/>
      <c r="Q208" s="372"/>
    </row>
    <row r="209" spans="1:17" ht="15.5">
      <c r="A209" s="290"/>
      <c r="B209" s="271" t="str">
        <f>'ATT H'!B218</f>
        <v>ITC Adjustment</v>
      </c>
      <c r="C209" s="253"/>
      <c r="D209" s="148"/>
      <c r="E209" s="218"/>
      <c r="F209" s="289"/>
      <c r="G209" s="188"/>
      <c r="H209" s="188"/>
      <c r="I209" s="188"/>
      <c r="J209" s="188"/>
      <c r="K209" s="188"/>
      <c r="L209" s="188"/>
      <c r="M209" s="188"/>
      <c r="N209" s="188"/>
      <c r="O209" s="188"/>
      <c r="P209" s="188"/>
      <c r="Q209" s="372"/>
    </row>
    <row r="210" spans="1:17" ht="15.5">
      <c r="A210" s="290">
        <f>'ATT H'!A219</f>
        <v>132</v>
      </c>
      <c r="B210" s="261"/>
      <c r="C210" s="253" t="str">
        <f>'ATT H'!C219</f>
        <v>Amortized Investment Tax Credit</v>
      </c>
      <c r="D210" s="148"/>
      <c r="E210" s="328" t="str">
        <f>'ATT H'!E218</f>
        <v>(Note I)</v>
      </c>
      <c r="F210" s="313" t="str">
        <f>'ATT H'!F219</f>
        <v>p266.6.f</v>
      </c>
      <c r="G210" s="188"/>
      <c r="H210" s="188"/>
      <c r="I210" s="188"/>
      <c r="J210" s="188"/>
      <c r="K210" s="188"/>
      <c r="L210" s="188"/>
      <c r="M210" s="232" t="s">
        <v>336</v>
      </c>
      <c r="N210" s="188"/>
      <c r="O210" s="188"/>
      <c r="P210" s="188"/>
      <c r="Q210" s="372"/>
    </row>
    <row r="211" spans="1:17" ht="15.5">
      <c r="A211" s="290">
        <f>'ATT H'!A220</f>
        <v>133</v>
      </c>
      <c r="B211" s="261"/>
      <c r="C211" s="253" t="str">
        <f>'ATT H'!C220</f>
        <v>1/(1-T)</v>
      </c>
      <c r="D211" s="148"/>
      <c r="E211" s="261"/>
      <c r="F211" s="289" t="str">
        <f>'ATT H'!F220</f>
        <v>1 / (1-T)</v>
      </c>
      <c r="G211" s="188"/>
      <c r="H211" s="188"/>
      <c r="I211" s="188"/>
      <c r="J211" s="188"/>
      <c r="K211" s="188"/>
      <c r="L211" s="188"/>
      <c r="M211" s="188"/>
      <c r="N211" s="188"/>
      <c r="O211" s="188"/>
      <c r="P211" s="188"/>
      <c r="Q211" s="372"/>
    </row>
    <row r="212" spans="1:17" ht="15.5">
      <c r="A212" s="290">
        <f>'ATT H'!A221</f>
        <v>134</v>
      </c>
      <c r="B212" s="261"/>
      <c r="C212" s="263" t="str">
        <f>'ATT H'!C221</f>
        <v>Net Plant Allocation Factor</v>
      </c>
      <c r="D212" s="260"/>
      <c r="E212" s="261"/>
      <c r="F212" s="289" t="str">
        <f>'ATT H'!F221</f>
        <v>(Line 18)</v>
      </c>
      <c r="G212" s="188"/>
      <c r="H212" s="188"/>
      <c r="I212" s="188"/>
      <c r="J212" s="188"/>
      <c r="K212" s="188"/>
      <c r="L212" s="188"/>
      <c r="M212" s="188"/>
      <c r="N212" s="188"/>
      <c r="O212" s="188"/>
      <c r="P212" s="188"/>
      <c r="Q212" s="372"/>
    </row>
    <row r="213" spans="1:17" ht="15.5">
      <c r="A213" s="290">
        <f>'ATT H'!A222</f>
        <v>135</v>
      </c>
      <c r="B213" s="261"/>
      <c r="C213" s="276" t="str">
        <f>'ATT H'!C222</f>
        <v>ITC Adjustment Allocated to Transmission</v>
      </c>
      <c r="D213" s="246"/>
      <c r="E213" s="328">
        <f>'ATT H'!E222</f>
        <v>0</v>
      </c>
      <c r="F213" s="289" t="str">
        <f>'ATT H'!F222</f>
        <v>(Line 132 * Line 133 * Line 134)</v>
      </c>
      <c r="G213" s="188"/>
      <c r="H213" s="188"/>
      <c r="I213" s="188"/>
      <c r="J213" s="188"/>
      <c r="K213" s="188"/>
      <c r="L213" s="188"/>
      <c r="M213" s="188"/>
      <c r="N213" s="188"/>
      <c r="O213" s="188"/>
      <c r="P213" s="188"/>
      <c r="Q213" s="372"/>
    </row>
    <row r="214" spans="1:17" ht="15.5" hidden="1">
      <c r="A214" s="290"/>
      <c r="B214" s="261"/>
      <c r="C214" s="282"/>
      <c r="D214" s="246"/>
      <c r="E214" s="298"/>
      <c r="F214" s="296"/>
      <c r="G214" s="188"/>
      <c r="H214" s="188"/>
      <c r="I214" s="188"/>
      <c r="J214" s="188"/>
      <c r="K214" s="188"/>
      <c r="L214" s="188"/>
      <c r="M214" s="188"/>
      <c r="N214" s="188"/>
      <c r="O214" s="188"/>
      <c r="P214" s="188"/>
      <c r="Q214" s="372"/>
    </row>
    <row r="215" spans="1:17" ht="15.5" hidden="1">
      <c r="A215" s="290"/>
      <c r="B215" s="261"/>
      <c r="C215" s="282"/>
      <c r="D215" s="246"/>
      <c r="E215" s="298"/>
      <c r="F215" s="296"/>
      <c r="G215" s="188"/>
      <c r="H215" s="188"/>
      <c r="I215" s="188"/>
      <c r="J215" s="188"/>
      <c r="K215" s="188"/>
      <c r="L215" s="188"/>
      <c r="M215" s="188"/>
      <c r="N215" s="188"/>
      <c r="O215" s="188"/>
      <c r="P215" s="188"/>
      <c r="Q215" s="372"/>
    </row>
    <row r="216" spans="1:17" ht="15.5" hidden="1">
      <c r="A216" s="290"/>
      <c r="B216" s="261"/>
      <c r="C216" s="282"/>
      <c r="D216" s="246"/>
      <c r="E216" s="298"/>
      <c r="F216" s="296"/>
      <c r="G216" s="188"/>
      <c r="H216" s="188"/>
      <c r="I216" s="188"/>
      <c r="J216" s="188"/>
      <c r="K216" s="188"/>
      <c r="L216" s="188"/>
      <c r="M216" s="188"/>
      <c r="N216" s="188"/>
      <c r="O216" s="188"/>
      <c r="P216" s="188"/>
      <c r="Q216" s="372"/>
    </row>
    <row r="217" spans="1:17" ht="15.5">
      <c r="A217" s="290">
        <f>'ATT H'!A225</f>
        <v>136</v>
      </c>
      <c r="B217" s="321" t="str">
        <f>'ATT H'!B225</f>
        <v xml:space="preserve">Income Tax Component = </v>
      </c>
      <c r="C217" s="272"/>
      <c r="D217" s="148" t="str">
        <f>'ATT H'!D225</f>
        <v>CIT=(T/1-T) * Investment Return * (1-(WCLTD/R)) =</v>
      </c>
      <c r="E217" s="254"/>
      <c r="F217" s="289" t="str">
        <f>'ATT H'!F225</f>
        <v>[Line 131 * 126 * (1-(122 / 125))]</v>
      </c>
      <c r="G217" s="188"/>
      <c r="H217" s="188"/>
      <c r="I217" s="188"/>
      <c r="J217" s="188"/>
      <c r="K217" s="188"/>
      <c r="L217" s="188"/>
      <c r="M217" s="188"/>
      <c r="N217" s="188"/>
      <c r="O217" s="188"/>
      <c r="P217" s="188"/>
      <c r="Q217" s="372"/>
    </row>
    <row r="218" spans="1:17" ht="15.5" hidden="1">
      <c r="A218" s="290"/>
      <c r="B218" s="261"/>
      <c r="C218" s="282"/>
      <c r="D218" s="246"/>
      <c r="E218" s="298"/>
      <c r="F218" s="296"/>
      <c r="G218" s="188"/>
      <c r="H218" s="188"/>
      <c r="I218" s="188"/>
      <c r="J218" s="188"/>
      <c r="K218" s="188"/>
      <c r="L218" s="188"/>
      <c r="M218" s="188"/>
      <c r="N218" s="188"/>
      <c r="O218" s="188"/>
      <c r="P218" s="188"/>
      <c r="Q218" s="372"/>
    </row>
    <row r="219" spans="1:17" ht="15.5">
      <c r="A219" s="290">
        <f>'ATT H'!A232</f>
        <v>140</v>
      </c>
      <c r="B219" s="271" t="str">
        <f>'ATT H'!B232</f>
        <v>Total Income Taxes</v>
      </c>
      <c r="C219" s="271"/>
      <c r="D219" s="269"/>
      <c r="E219" s="270"/>
      <c r="F219" s="334" t="str">
        <f>'ATT H'!F232</f>
        <v xml:space="preserve"> = Line 135 + Line 136 + Line 139</v>
      </c>
      <c r="G219" s="188"/>
      <c r="H219" s="188"/>
      <c r="I219" s="188"/>
      <c r="J219" s="188"/>
      <c r="K219" s="188"/>
      <c r="L219" s="188"/>
      <c r="M219" s="188"/>
      <c r="N219" s="188"/>
      <c r="O219" s="188"/>
      <c r="P219" s="188"/>
      <c r="Q219" s="372"/>
    </row>
    <row r="220" spans="1:17" ht="15.5" hidden="1">
      <c r="A220" s="290"/>
      <c r="B220" s="261"/>
      <c r="C220" s="282"/>
      <c r="D220" s="246"/>
      <c r="E220" s="298"/>
      <c r="F220" s="296"/>
      <c r="G220" s="188"/>
      <c r="H220" s="188"/>
      <c r="I220" s="188"/>
      <c r="J220" s="188"/>
      <c r="K220" s="188"/>
      <c r="L220" s="188"/>
      <c r="M220" s="188"/>
      <c r="N220" s="188"/>
      <c r="O220" s="188"/>
      <c r="P220" s="188"/>
      <c r="Q220" s="372"/>
    </row>
    <row r="221" spans="1:17" ht="15.5">
      <c r="A221" s="302" t="str">
        <f>'ATT H'!A234</f>
        <v>REVENUE REQUIREMENT</v>
      </c>
      <c r="B221" s="247"/>
      <c r="C221" s="323"/>
      <c r="D221" s="248"/>
      <c r="E221" s="249"/>
      <c r="F221" s="303"/>
      <c r="G221" s="188"/>
      <c r="H221" s="188"/>
      <c r="I221" s="188"/>
      <c r="J221" s="188"/>
      <c r="K221" s="188"/>
      <c r="L221" s="188"/>
      <c r="M221" s="188"/>
      <c r="N221" s="188"/>
      <c r="O221" s="188"/>
      <c r="P221" s="188"/>
      <c r="Q221" s="372"/>
    </row>
    <row r="222" spans="1:17" ht="15.5" hidden="1">
      <c r="A222" s="290"/>
      <c r="B222" s="261"/>
      <c r="C222" s="282"/>
      <c r="D222" s="246"/>
      <c r="E222" s="298"/>
      <c r="F222" s="296"/>
      <c r="G222" s="188"/>
      <c r="H222" s="188"/>
      <c r="I222" s="188"/>
      <c r="J222" s="188"/>
      <c r="K222" s="188"/>
      <c r="L222" s="188"/>
      <c r="M222" s="188"/>
      <c r="N222" s="188"/>
      <c r="O222" s="188"/>
      <c r="P222" s="188"/>
      <c r="Q222" s="372"/>
    </row>
    <row r="223" spans="1:17" ht="15.5">
      <c r="A223" s="292"/>
      <c r="B223" s="321" t="str">
        <f>'ATT H'!B236</f>
        <v>Summary</v>
      </c>
      <c r="C223" s="272"/>
      <c r="D223" s="272"/>
      <c r="E223" s="237"/>
      <c r="F223" s="293"/>
      <c r="G223" s="188"/>
      <c r="H223" s="188"/>
      <c r="I223" s="188"/>
      <c r="J223" s="188"/>
      <c r="K223" s="188"/>
      <c r="L223" s="188"/>
      <c r="M223" s="188"/>
      <c r="N223" s="188"/>
      <c r="O223" s="188"/>
      <c r="P223" s="188"/>
      <c r="Q223" s="372"/>
    </row>
    <row r="224" spans="1:17" ht="15.5">
      <c r="A224" s="292">
        <f>'ATT H'!A237</f>
        <v>141</v>
      </c>
      <c r="B224" s="272"/>
      <c r="C224" s="272" t="str">
        <f>'ATT H'!C237</f>
        <v>Net Property, Plant &amp; Equipment</v>
      </c>
      <c r="D224" s="272"/>
      <c r="E224" s="237"/>
      <c r="F224" s="289" t="str">
        <f>'ATT H'!F237</f>
        <v>(Line 39)</v>
      </c>
      <c r="G224" s="188"/>
      <c r="H224" s="188"/>
      <c r="I224" s="188"/>
      <c r="J224" s="188"/>
      <c r="K224" s="188"/>
      <c r="L224" s="188"/>
      <c r="M224" s="188"/>
      <c r="N224" s="188"/>
      <c r="O224" s="188"/>
      <c r="P224" s="188"/>
      <c r="Q224" s="372"/>
    </row>
    <row r="225" spans="1:17" ht="15.5">
      <c r="A225" s="290">
        <f>'ATT H'!A238</f>
        <v>142</v>
      </c>
      <c r="B225" s="272"/>
      <c r="C225" s="272" t="str">
        <f>'ATT H'!C238</f>
        <v>Adjustment to Rate Base</v>
      </c>
      <c r="D225" s="272"/>
      <c r="E225" s="237"/>
      <c r="F225" s="289" t="str">
        <f>'ATT H'!F238</f>
        <v>(Line 58)</v>
      </c>
      <c r="G225" s="188"/>
      <c r="H225" s="188"/>
      <c r="I225" s="188"/>
      <c r="J225" s="188"/>
      <c r="K225" s="188"/>
      <c r="L225" s="188"/>
      <c r="M225" s="188"/>
      <c r="N225" s="188"/>
      <c r="O225" s="188"/>
      <c r="P225" s="188"/>
      <c r="Q225" s="372"/>
    </row>
    <row r="226" spans="1:17" ht="15.5">
      <c r="A226" s="290">
        <f>'ATT H'!A239</f>
        <v>143</v>
      </c>
      <c r="B226" s="261"/>
      <c r="C226" s="321" t="str">
        <f>'ATT H'!C239</f>
        <v>Rate Base</v>
      </c>
      <c r="D226" s="344"/>
      <c r="E226" s="343"/>
      <c r="F226" s="289" t="str">
        <f>'ATT H'!F239</f>
        <v>(Line 59)</v>
      </c>
      <c r="G226" s="188"/>
      <c r="H226" s="188"/>
      <c r="I226" s="188"/>
      <c r="J226" s="188"/>
      <c r="K226" s="188"/>
      <c r="L226" s="188"/>
      <c r="M226" s="188"/>
      <c r="N226" s="188"/>
      <c r="O226" s="188"/>
      <c r="P226" s="188"/>
      <c r="Q226" s="372"/>
    </row>
    <row r="227" spans="1:17" ht="15.5" hidden="1">
      <c r="A227" s="290"/>
      <c r="B227" s="261"/>
      <c r="C227" s="282"/>
      <c r="D227" s="246"/>
      <c r="E227" s="298"/>
      <c r="F227" s="296"/>
      <c r="G227" s="188"/>
      <c r="H227" s="188"/>
      <c r="I227" s="188"/>
      <c r="J227" s="188"/>
      <c r="K227" s="188"/>
      <c r="L227" s="188"/>
      <c r="M227" s="188"/>
      <c r="N227" s="188"/>
      <c r="O227" s="188"/>
      <c r="P227" s="188"/>
      <c r="Q227" s="372"/>
    </row>
    <row r="228" spans="1:17" ht="15.5">
      <c r="A228" s="290">
        <f>'ATT H'!A241</f>
        <v>144</v>
      </c>
      <c r="B228" s="148"/>
      <c r="C228" s="257" t="str">
        <f>'ATT H'!C241</f>
        <v>O&amp;M</v>
      </c>
      <c r="D228" s="148"/>
      <c r="E228" s="237"/>
      <c r="F228" s="289" t="str">
        <f>'ATT H'!F241</f>
        <v>(Line 84)</v>
      </c>
      <c r="G228" s="188"/>
      <c r="H228" s="188"/>
      <c r="I228" s="188"/>
      <c r="J228" s="188"/>
      <c r="K228" s="188"/>
      <c r="L228" s="188"/>
      <c r="M228" s="188"/>
      <c r="N228" s="188"/>
      <c r="O228" s="188"/>
      <c r="P228" s="188"/>
      <c r="Q228" s="372"/>
    </row>
    <row r="229" spans="1:17" ht="15.5">
      <c r="A229" s="290">
        <f>'ATT H'!A242</f>
        <v>145</v>
      </c>
      <c r="B229" s="148"/>
      <c r="C229" s="264" t="str">
        <f>'ATT H'!C242</f>
        <v>Depreciation &amp; Amortization</v>
      </c>
      <c r="D229" s="148"/>
      <c r="E229" s="237"/>
      <c r="F229" s="289" t="str">
        <f>'ATT H'!F242</f>
        <v>(Line 96)</v>
      </c>
      <c r="G229" s="188"/>
      <c r="H229" s="188"/>
      <c r="I229" s="188"/>
      <c r="J229" s="188"/>
      <c r="K229" s="188"/>
      <c r="L229" s="188"/>
      <c r="M229" s="188"/>
      <c r="N229" s="188"/>
      <c r="O229" s="188"/>
      <c r="P229" s="188"/>
      <c r="Q229" s="372"/>
    </row>
    <row r="230" spans="1:17" ht="15.5">
      <c r="A230" s="290">
        <f>'ATT H'!A243</f>
        <v>146</v>
      </c>
      <c r="B230" s="261"/>
      <c r="C230" s="257" t="str">
        <f>'ATT H'!C243</f>
        <v>Taxes Other than Income</v>
      </c>
      <c r="D230" s="246"/>
      <c r="E230" s="254"/>
      <c r="F230" s="289" t="str">
        <f>'ATT H'!F243</f>
        <v>(Line 98)</v>
      </c>
      <c r="G230" s="188"/>
      <c r="H230" s="188"/>
      <c r="I230" s="188"/>
      <c r="J230" s="188"/>
      <c r="K230" s="188"/>
      <c r="L230" s="188"/>
      <c r="M230" s="188"/>
      <c r="N230" s="188"/>
      <c r="O230" s="188"/>
      <c r="P230" s="188"/>
      <c r="Q230" s="372"/>
    </row>
    <row r="231" spans="1:17" ht="15.5">
      <c r="A231" s="290">
        <f>'ATT H'!A244</f>
        <v>147</v>
      </c>
      <c r="B231" s="261"/>
      <c r="C231" s="273" t="str">
        <f>'ATT H'!C244</f>
        <v>Investment Return</v>
      </c>
      <c r="D231" s="246"/>
      <c r="E231" s="254"/>
      <c r="F231" s="289" t="str">
        <f>'ATT H'!F244</f>
        <v>(Line 126)</v>
      </c>
      <c r="G231" s="188"/>
      <c r="H231" s="188"/>
      <c r="I231" s="188"/>
      <c r="J231" s="188"/>
      <c r="K231" s="188"/>
      <c r="L231" s="188"/>
      <c r="M231" s="188"/>
      <c r="N231" s="188"/>
      <c r="O231" s="188"/>
      <c r="P231" s="188"/>
      <c r="Q231" s="372"/>
    </row>
    <row r="232" spans="1:17" ht="15.5">
      <c r="A232" s="290">
        <f>'ATT H'!A245</f>
        <v>148</v>
      </c>
      <c r="B232" s="261"/>
      <c r="C232" s="273" t="str">
        <f>'ATT H'!C245</f>
        <v>Income Taxes</v>
      </c>
      <c r="D232" s="246"/>
      <c r="E232" s="254"/>
      <c r="F232" s="289" t="str">
        <f>'ATT H'!F245</f>
        <v>(Line 140)</v>
      </c>
      <c r="G232" s="188"/>
      <c r="H232" s="188"/>
      <c r="I232" s="188"/>
      <c r="J232" s="188"/>
      <c r="K232" s="188"/>
      <c r="L232" s="188"/>
      <c r="M232" s="188"/>
      <c r="N232" s="188"/>
      <c r="O232" s="188"/>
      <c r="P232" s="188"/>
      <c r="Q232" s="372"/>
    </row>
    <row r="233" spans="1:17" ht="15.5" hidden="1" thickBot="1">
      <c r="A233" s="290"/>
      <c r="B233" s="261"/>
      <c r="C233" s="273"/>
      <c r="D233" s="246"/>
      <c r="E233" s="254"/>
      <c r="F233" s="296"/>
      <c r="G233" s="188"/>
      <c r="H233" s="188"/>
      <c r="I233" s="188"/>
      <c r="J233" s="188"/>
      <c r="K233" s="188"/>
      <c r="L233" s="188"/>
      <c r="M233" s="188"/>
      <c r="N233" s="188"/>
      <c r="O233" s="188"/>
      <c r="P233" s="188"/>
      <c r="Q233" s="372"/>
    </row>
    <row r="234" spans="1:17" ht="18.5" thickBot="1">
      <c r="A234" s="274">
        <f>'ATT H'!A247</f>
        <v>149</v>
      </c>
      <c r="B234" s="345"/>
      <c r="C234" s="277" t="str">
        <f>'ATT H'!C247</f>
        <v>Gross Revenue Requirement</v>
      </c>
      <c r="D234" s="278"/>
      <c r="E234" s="279"/>
      <c r="F234" s="349" t="str">
        <f>'ATT H'!F247</f>
        <v>(Sum Lines 144 to 148)</v>
      </c>
      <c r="G234" s="188"/>
      <c r="H234" s="188"/>
      <c r="I234" s="188"/>
      <c r="J234" s="188"/>
      <c r="K234" s="188"/>
      <c r="L234" s="188"/>
      <c r="M234" s="188"/>
      <c r="N234" s="188"/>
      <c r="O234" s="188"/>
      <c r="P234" s="188"/>
      <c r="Q234" s="372"/>
    </row>
    <row r="235" spans="1:17" ht="15.5" hidden="1">
      <c r="A235" s="290"/>
      <c r="B235" s="261"/>
      <c r="C235" s="282"/>
      <c r="D235" s="246"/>
      <c r="E235" s="298"/>
      <c r="F235" s="296"/>
      <c r="G235" s="188"/>
      <c r="H235" s="188"/>
      <c r="I235" s="188"/>
      <c r="J235" s="188"/>
      <c r="K235" s="188"/>
      <c r="L235" s="188"/>
      <c r="M235" s="188"/>
      <c r="N235" s="188"/>
      <c r="O235" s="188"/>
      <c r="P235" s="188"/>
      <c r="Q235" s="372"/>
    </row>
    <row r="236" spans="1:17" ht="18">
      <c r="A236" s="333"/>
      <c r="B236" s="233" t="str">
        <f>'ATT H'!B249</f>
        <v>Adjustment to Remove Revenue Requirements Associated with Excluded Transmission Facilities</v>
      </c>
      <c r="C236" s="277"/>
      <c r="D236" s="278"/>
      <c r="E236" s="279"/>
      <c r="F236" s="334"/>
      <c r="G236" s="188"/>
      <c r="H236" s="188"/>
      <c r="I236" s="188"/>
      <c r="J236" s="188"/>
      <c r="K236" s="188"/>
      <c r="L236" s="188"/>
      <c r="M236" s="188"/>
      <c r="N236" s="188"/>
      <c r="O236" s="188"/>
      <c r="P236" s="188"/>
      <c r="Q236" s="372"/>
    </row>
    <row r="237" spans="1:17" ht="18">
      <c r="A237" s="299">
        <f>'ATT H'!A250</f>
        <v>150</v>
      </c>
      <c r="B237" s="280"/>
      <c r="C237" s="257" t="str">
        <f>'ATT H'!C250</f>
        <v>Transmission Plant In Service1</v>
      </c>
      <c r="D237" s="278"/>
      <c r="E237" s="279"/>
      <c r="F237" s="289" t="str">
        <f>'ATT H'!F250</f>
        <v>(Line 19)</v>
      </c>
      <c r="G237" s="188"/>
      <c r="H237" s="188"/>
      <c r="I237" s="188"/>
      <c r="J237" s="188"/>
      <c r="K237" s="188"/>
      <c r="L237" s="188"/>
      <c r="M237" s="188"/>
      <c r="N237" s="188"/>
      <c r="O237" s="188"/>
      <c r="P237" s="188"/>
      <c r="Q237" s="372"/>
    </row>
    <row r="238" spans="1:17" ht="18">
      <c r="A238" s="299">
        <f>'ATT H'!A251</f>
        <v>151</v>
      </c>
      <c r="B238" s="280"/>
      <c r="C238" s="257" t="str">
        <f>'ATT H'!C251</f>
        <v>Excluded Transmission Facilities</v>
      </c>
      <c r="D238" s="278"/>
      <c r="E238" s="259" t="str">
        <f>'ATT H'!E251</f>
        <v>(Note M)</v>
      </c>
      <c r="F238" s="300" t="str">
        <f>'ATT H'!F251</f>
        <v>Attachment 5</v>
      </c>
      <c r="G238" s="188"/>
      <c r="H238" s="188"/>
      <c r="I238" s="188"/>
      <c r="J238" s="188"/>
      <c r="K238" s="188"/>
      <c r="L238" s="188"/>
      <c r="M238" s="188"/>
      <c r="N238" s="188"/>
      <c r="O238" s="232" t="s">
        <v>336</v>
      </c>
      <c r="P238" s="188"/>
      <c r="Q238" s="372"/>
    </row>
    <row r="239" spans="1:17" ht="18">
      <c r="A239" s="299">
        <f>'ATT H'!A252</f>
        <v>152</v>
      </c>
      <c r="B239" s="280"/>
      <c r="C239" s="257" t="str">
        <f>'ATT H'!C252</f>
        <v>Included Transmission Facilities</v>
      </c>
      <c r="D239" s="278"/>
      <c r="E239" s="281"/>
      <c r="F239" s="300" t="str">
        <f>'ATT H'!F252</f>
        <v>(Line 150 - Line 151)</v>
      </c>
      <c r="G239" s="188"/>
      <c r="H239" s="188"/>
      <c r="I239" s="188"/>
      <c r="J239" s="188"/>
      <c r="K239" s="188"/>
      <c r="L239" s="188"/>
      <c r="M239" s="188"/>
      <c r="N239" s="188"/>
      <c r="O239" s="188"/>
      <c r="P239" s="188"/>
      <c r="Q239" s="372"/>
    </row>
    <row r="240" spans="1:17" ht="18">
      <c r="A240" s="299">
        <f>'ATT H'!A253</f>
        <v>153</v>
      </c>
      <c r="B240" s="280"/>
      <c r="C240" s="257" t="str">
        <f>'ATT H'!C253</f>
        <v>Inclusion Ratio</v>
      </c>
      <c r="D240" s="278"/>
      <c r="E240" s="279"/>
      <c r="F240" s="300" t="str">
        <f>'ATT H'!F253</f>
        <v>(Line 152 / Line 150)</v>
      </c>
      <c r="G240" s="188"/>
      <c r="H240" s="188"/>
      <c r="I240" s="188"/>
      <c r="J240" s="188"/>
      <c r="K240" s="188"/>
      <c r="L240" s="188"/>
      <c r="M240" s="188"/>
      <c r="N240" s="188"/>
      <c r="O240" s="188"/>
      <c r="P240" s="188"/>
      <c r="Q240" s="372"/>
    </row>
    <row r="241" spans="1:17" ht="18">
      <c r="A241" s="299">
        <f>'ATT H'!A254</f>
        <v>154</v>
      </c>
      <c r="B241" s="280"/>
      <c r="C241" s="257" t="str">
        <f>'ATT H'!C254</f>
        <v>Gross Revenue Requirement</v>
      </c>
      <c r="D241" s="278"/>
      <c r="E241" s="279"/>
      <c r="F241" s="300" t="str">
        <f>'ATT H'!F254</f>
        <v>(Line 149)</v>
      </c>
      <c r="G241" s="188"/>
      <c r="H241" s="188"/>
      <c r="I241" s="188"/>
      <c r="J241" s="188"/>
      <c r="K241" s="188"/>
      <c r="L241" s="188"/>
      <c r="M241" s="188"/>
      <c r="N241" s="188"/>
      <c r="O241" s="188"/>
      <c r="P241" s="188"/>
      <c r="Q241" s="372"/>
    </row>
    <row r="242" spans="1:17" ht="18">
      <c r="A242" s="299">
        <f>'ATT H'!A255</f>
        <v>155</v>
      </c>
      <c r="B242" s="280"/>
      <c r="C242" s="282" t="str">
        <f>'ATT H'!C255</f>
        <v>Adjusted Gross Revenue Requirement</v>
      </c>
      <c r="D242" s="278"/>
      <c r="E242" s="279"/>
      <c r="F242" s="300" t="str">
        <f>'ATT H'!F255</f>
        <v>(Line 153 x Line 154)</v>
      </c>
      <c r="G242" s="188"/>
      <c r="H242" s="188"/>
      <c r="I242" s="188"/>
      <c r="J242" s="188"/>
      <c r="K242" s="188"/>
      <c r="L242" s="188"/>
      <c r="M242" s="188"/>
      <c r="N242" s="188"/>
      <c r="O242" s="188"/>
      <c r="P242" s="188"/>
      <c r="Q242" s="372"/>
    </row>
    <row r="243" spans="1:17" ht="15.5" hidden="1">
      <c r="A243" s="290"/>
      <c r="B243" s="261"/>
      <c r="C243" s="282"/>
      <c r="D243" s="246"/>
      <c r="E243" s="298"/>
      <c r="F243" s="296"/>
      <c r="G243" s="188"/>
      <c r="H243" s="188"/>
      <c r="I243" s="188"/>
      <c r="J243" s="188"/>
      <c r="K243" s="188"/>
      <c r="L243" s="188"/>
      <c r="M243" s="188"/>
      <c r="N243" s="188"/>
      <c r="O243" s="188"/>
      <c r="P243" s="188"/>
      <c r="Q243" s="372"/>
    </row>
    <row r="244" spans="1:17" ht="15.5">
      <c r="A244" s="335"/>
      <c r="B244" s="276" t="str">
        <f>'ATT H'!B257</f>
        <v>Revenue Credits &amp; Interest on Network Credits</v>
      </c>
      <c r="C244" s="257"/>
      <c r="D244" s="246"/>
      <c r="E244" s="254"/>
      <c r="F244" s="296"/>
      <c r="G244" s="188"/>
      <c r="H244" s="188"/>
      <c r="I244" s="188"/>
      <c r="J244" s="188"/>
      <c r="K244" s="188"/>
      <c r="L244" s="188"/>
      <c r="M244" s="188"/>
      <c r="N244" s="188"/>
      <c r="O244" s="188"/>
      <c r="P244" s="188"/>
      <c r="Q244" s="372"/>
    </row>
    <row r="245" spans="1:17" ht="15.5">
      <c r="A245" s="299">
        <f>'ATT H'!A258</f>
        <v>156</v>
      </c>
      <c r="B245" s="272"/>
      <c r="C245" s="276" t="str">
        <f>'ATT H'!C258</f>
        <v>Revenue Credits</v>
      </c>
      <c r="D245" s="246"/>
      <c r="E245" s="254"/>
      <c r="F245" s="296" t="str">
        <f>'ATT H'!F258</f>
        <v>Attachment 3</v>
      </c>
      <c r="G245" s="188"/>
      <c r="H245" s="188"/>
      <c r="I245" s="188"/>
      <c r="J245" s="188"/>
      <c r="K245" s="188"/>
      <c r="L245" s="188"/>
      <c r="M245" s="188"/>
      <c r="N245" s="188"/>
      <c r="O245" s="188"/>
      <c r="P245" s="188"/>
      <c r="Q245" s="372"/>
    </row>
    <row r="246" spans="1:17" ht="15.5">
      <c r="A246" s="299">
        <f>'ATT H'!A259</f>
        <v>157</v>
      </c>
      <c r="B246" s="272"/>
      <c r="C246" s="276" t="str">
        <f>'ATT H'!C259</f>
        <v>Interest on Network Credits</v>
      </c>
      <c r="D246" s="246"/>
      <c r="E246" s="322" t="str">
        <f>'ATT H'!E259</f>
        <v>(Note N)</v>
      </c>
      <c r="F246" s="296" t="str">
        <f>'ATT H'!F259</f>
        <v>PJM Data</v>
      </c>
      <c r="G246" s="188"/>
      <c r="H246" s="188"/>
      <c r="I246" s="188"/>
      <c r="J246" s="188"/>
      <c r="K246" s="188"/>
      <c r="L246" s="188"/>
      <c r="M246" s="188"/>
      <c r="N246" s="188"/>
      <c r="O246" s="188"/>
      <c r="P246" s="232" t="s">
        <v>336</v>
      </c>
      <c r="Q246" s="372"/>
    </row>
    <row r="247" spans="1:17" ht="15.5" hidden="1" thickBot="1">
      <c r="A247" s="290"/>
      <c r="B247" s="261"/>
      <c r="C247" s="282"/>
      <c r="D247" s="246"/>
      <c r="E247" s="298"/>
      <c r="F247" s="296"/>
      <c r="G247" s="188"/>
      <c r="H247" s="188"/>
      <c r="I247" s="188"/>
      <c r="J247" s="188"/>
      <c r="K247" s="188"/>
      <c r="L247" s="188"/>
      <c r="M247" s="188"/>
      <c r="N247" s="188"/>
      <c r="O247" s="188"/>
      <c r="P247" s="188"/>
      <c r="Q247" s="372"/>
    </row>
    <row r="248" spans="1:17" ht="18.5" thickBot="1">
      <c r="A248" s="274">
        <f>'ATT H'!A261</f>
        <v>158</v>
      </c>
      <c r="B248" s="321"/>
      <c r="C248" s="346" t="str">
        <f>'ATT H'!C261</f>
        <v>Net Revenue Requirement</v>
      </c>
      <c r="D248" s="347"/>
      <c r="E248" s="348"/>
      <c r="F248" s="349" t="str">
        <f>'ATT H'!F261</f>
        <v>(Line 155 - Line 156 + Line 157)</v>
      </c>
      <c r="G248" s="188"/>
      <c r="H248" s="188"/>
      <c r="I248" s="188"/>
      <c r="J248" s="188"/>
      <c r="K248" s="188"/>
      <c r="L248" s="188"/>
      <c r="M248" s="188"/>
      <c r="N248" s="188"/>
      <c r="O248" s="188"/>
      <c r="P248" s="188"/>
      <c r="Q248" s="372"/>
    </row>
    <row r="249" spans="1:17" ht="15.5" hidden="1">
      <c r="A249" s="290"/>
      <c r="B249" s="261"/>
      <c r="C249" s="282"/>
      <c r="D249" s="246"/>
      <c r="E249" s="298"/>
      <c r="F249" s="296"/>
      <c r="G249" s="188"/>
      <c r="H249" s="188"/>
      <c r="I249" s="188"/>
      <c r="J249" s="188"/>
      <c r="K249" s="188"/>
      <c r="L249" s="188"/>
      <c r="M249" s="188"/>
      <c r="N249" s="188"/>
      <c r="O249" s="188"/>
      <c r="P249" s="188"/>
      <c r="Q249" s="372"/>
    </row>
    <row r="250" spans="1:17" ht="15.5">
      <c r="A250" s="290"/>
      <c r="B250" s="284" t="str">
        <f>'ATT H'!B263</f>
        <v>Net Plant Carrying Charge without ROE Increment</v>
      </c>
      <c r="C250" s="272"/>
      <c r="D250" s="236"/>
      <c r="E250" s="237"/>
      <c r="F250" s="296"/>
      <c r="G250" s="188"/>
      <c r="H250" s="188"/>
      <c r="I250" s="188"/>
      <c r="J250" s="188"/>
      <c r="K250" s="188"/>
      <c r="L250" s="188"/>
      <c r="M250" s="188"/>
      <c r="N250" s="188"/>
      <c r="O250" s="188"/>
      <c r="P250" s="188"/>
      <c r="Q250" s="372"/>
    </row>
    <row r="251" spans="1:17" ht="15.5">
      <c r="A251" s="310">
        <f>'ATT H'!A264</f>
        <v>159</v>
      </c>
      <c r="B251" s="261"/>
      <c r="C251" s="236" t="str">
        <f>'ATT H'!C264</f>
        <v>Gross Revenue Requirement</v>
      </c>
      <c r="D251" s="236"/>
      <c r="E251" s="237"/>
      <c r="F251" s="296" t="str">
        <f>'ATT H'!F264</f>
        <v>(Line 149)</v>
      </c>
      <c r="G251" s="188"/>
      <c r="H251" s="188"/>
      <c r="I251" s="188"/>
      <c r="J251" s="188"/>
      <c r="K251" s="188"/>
      <c r="L251" s="188"/>
      <c r="M251" s="188"/>
      <c r="N251" s="188"/>
      <c r="O251" s="188"/>
      <c r="P251" s="188"/>
      <c r="Q251" s="372"/>
    </row>
    <row r="252" spans="1:17" ht="15.5">
      <c r="A252" s="310">
        <f>'ATT H'!A265</f>
        <v>160</v>
      </c>
      <c r="B252" s="261"/>
      <c r="C252" s="236" t="str">
        <f>'ATT H'!C265</f>
        <v>Net Transmission Plant</v>
      </c>
      <c r="D252" s="236"/>
      <c r="E252" s="237"/>
      <c r="F252" s="296" t="str">
        <f>'ATT H'!F265</f>
        <v>(Line 19 - Line 30)</v>
      </c>
      <c r="G252" s="188"/>
      <c r="H252" s="188"/>
      <c r="I252" s="188"/>
      <c r="J252" s="188"/>
      <c r="K252" s="188"/>
      <c r="L252" s="188"/>
      <c r="M252" s="188"/>
      <c r="N252" s="188"/>
      <c r="O252" s="188"/>
      <c r="P252" s="188"/>
      <c r="Q252" s="372"/>
    </row>
    <row r="253" spans="1:17" ht="15.5">
      <c r="A253" s="310">
        <f>'ATT H'!A266</f>
        <v>161</v>
      </c>
      <c r="B253" s="261"/>
      <c r="C253" s="236" t="str">
        <f>'ATT H'!C266</f>
        <v xml:space="preserve">Net Plant Carrying Charge </v>
      </c>
      <c r="D253" s="236"/>
      <c r="E253" s="237"/>
      <c r="F253" s="296" t="str">
        <f>'ATT H'!F266</f>
        <v>(Line 159 / Line 160)</v>
      </c>
      <c r="G253" s="188"/>
      <c r="H253" s="188"/>
      <c r="I253" s="188"/>
      <c r="J253" s="188"/>
      <c r="K253" s="188"/>
      <c r="L253" s="188"/>
      <c r="M253" s="188"/>
      <c r="N253" s="188"/>
      <c r="O253" s="188"/>
      <c r="P253" s="188"/>
      <c r="Q253" s="372"/>
    </row>
    <row r="254" spans="1:17" ht="15.5">
      <c r="A254" s="310">
        <f>'ATT H'!A267</f>
        <v>162</v>
      </c>
      <c r="B254" s="261"/>
      <c r="C254" s="236" t="str">
        <f>'ATT H'!C267</f>
        <v>Net Plant Carrying Charge without Depreciation</v>
      </c>
      <c r="D254" s="236"/>
      <c r="E254" s="237"/>
      <c r="F254" s="296" t="str">
        <f>'ATT H'!F267</f>
        <v>(Line 159 - Line 85) / Line 160</v>
      </c>
      <c r="G254" s="188"/>
      <c r="H254" s="188"/>
      <c r="I254" s="188"/>
      <c r="J254" s="188"/>
      <c r="K254" s="188"/>
      <c r="L254" s="188"/>
      <c r="M254" s="188"/>
      <c r="N254" s="188"/>
      <c r="O254" s="188"/>
      <c r="P254" s="188"/>
      <c r="Q254" s="372"/>
    </row>
    <row r="255" spans="1:17" ht="15.5">
      <c r="A255" s="310">
        <f>'ATT H'!A268</f>
        <v>163</v>
      </c>
      <c r="B255" s="280"/>
      <c r="C255" s="236" t="str">
        <f>'ATT H'!C268</f>
        <v>Net Plant Carrying Charge without Depreciation, Return, nor Income Taxes</v>
      </c>
      <c r="D255" s="236"/>
      <c r="E255" s="267"/>
      <c r="F255" s="324" t="str">
        <f>'ATT H'!F268</f>
        <v>(Lines 159 - 85 - 126 - 140) /  Line 160</v>
      </c>
      <c r="G255" s="188"/>
      <c r="H255" s="188"/>
      <c r="I255" s="188"/>
      <c r="J255" s="188"/>
      <c r="K255" s="188"/>
      <c r="L255" s="188"/>
      <c r="M255" s="188"/>
      <c r="N255" s="188"/>
      <c r="O255" s="188"/>
      <c r="P255" s="188"/>
      <c r="Q255" s="372"/>
    </row>
    <row r="256" spans="1:17" ht="15.5" hidden="1">
      <c r="A256" s="290"/>
      <c r="B256" s="261"/>
      <c r="C256" s="282"/>
      <c r="D256" s="246"/>
      <c r="E256" s="298"/>
      <c r="F256" s="296"/>
      <c r="G256" s="188"/>
      <c r="H256" s="188"/>
      <c r="I256" s="188"/>
      <c r="J256" s="188"/>
      <c r="K256" s="188"/>
      <c r="L256" s="188"/>
      <c r="M256" s="188"/>
      <c r="N256" s="188"/>
      <c r="O256" s="188"/>
      <c r="P256" s="188"/>
      <c r="Q256" s="372"/>
    </row>
    <row r="257" spans="1:17" ht="15.5" hidden="1">
      <c r="A257" s="290"/>
      <c r="B257" s="261"/>
      <c r="C257" s="282"/>
      <c r="D257" s="246"/>
      <c r="E257" s="298"/>
      <c r="F257" s="296"/>
      <c r="G257" s="188"/>
      <c r="H257" s="188"/>
      <c r="I257" s="188"/>
      <c r="J257" s="188"/>
      <c r="K257" s="188"/>
      <c r="L257" s="188"/>
      <c r="M257" s="188"/>
      <c r="N257" s="188"/>
      <c r="O257" s="188"/>
      <c r="P257" s="188"/>
      <c r="Q257" s="372"/>
    </row>
    <row r="258" spans="1:17" ht="15.5">
      <c r="A258" s="299"/>
      <c r="B258" s="284" t="str">
        <f>'ATT H'!B271</f>
        <v>Net Plant Carrying Charge with 100 Basis Point ROE Increment</v>
      </c>
      <c r="C258" s="236"/>
      <c r="D258" s="236"/>
      <c r="E258" s="237"/>
      <c r="F258" s="296"/>
      <c r="G258" s="188"/>
      <c r="H258" s="188"/>
      <c r="I258" s="188"/>
      <c r="J258" s="188"/>
      <c r="K258" s="188"/>
      <c r="L258" s="188"/>
      <c r="M258" s="188"/>
      <c r="N258" s="188"/>
      <c r="O258" s="188"/>
      <c r="P258" s="188"/>
      <c r="Q258" s="372"/>
    </row>
    <row r="259" spans="1:17" ht="15.5">
      <c r="A259" s="310">
        <f>'ATT H'!A272</f>
        <v>164</v>
      </c>
      <c r="B259" s="261"/>
      <c r="C259" s="236" t="str">
        <f>'ATT H'!C272</f>
        <v>Gross Revenue Requirement Less Return and Taxes</v>
      </c>
      <c r="D259" s="236"/>
      <c r="E259" s="237"/>
      <c r="F259" s="336" t="str">
        <f>'ATT H'!F272</f>
        <v>(Line 149 - Line 147 - Line 148)</v>
      </c>
      <c r="G259" s="188"/>
      <c r="H259" s="188"/>
      <c r="I259" s="188"/>
      <c r="J259" s="188"/>
      <c r="K259" s="188"/>
      <c r="L259" s="188"/>
      <c r="M259" s="188"/>
      <c r="N259" s="188"/>
      <c r="O259" s="188"/>
      <c r="P259" s="188"/>
      <c r="Q259" s="372"/>
    </row>
    <row r="260" spans="1:17" ht="15.5">
      <c r="A260" s="310">
        <f>'ATT H'!A273</f>
        <v>165</v>
      </c>
      <c r="B260" s="261"/>
      <c r="C260" s="236" t="str">
        <f>'ATT H'!C273</f>
        <v>Increased Return and Taxes</v>
      </c>
      <c r="D260" s="236"/>
      <c r="E260" s="237"/>
      <c r="F260" s="296" t="str">
        <f>'ATT H'!F273</f>
        <v>Attachment 4</v>
      </c>
      <c r="G260" s="188"/>
      <c r="H260" s="188"/>
      <c r="I260" s="188"/>
      <c r="J260" s="188"/>
      <c r="K260" s="188"/>
      <c r="L260" s="188"/>
      <c r="M260" s="188"/>
      <c r="N260" s="188"/>
      <c r="O260" s="188"/>
      <c r="P260" s="188"/>
      <c r="Q260" s="372"/>
    </row>
    <row r="261" spans="1:17" ht="15.5">
      <c r="A261" s="310">
        <f>'ATT H'!A274</f>
        <v>166</v>
      </c>
      <c r="B261" s="261"/>
      <c r="C261" s="236" t="str">
        <f>'ATT H'!C274</f>
        <v>Net Revenue Requirement per 100 Basis Point increase in ROE</v>
      </c>
      <c r="D261" s="236"/>
      <c r="E261" s="237"/>
      <c r="F261" s="336" t="str">
        <f>'ATT H'!F274</f>
        <v>(Line 164 + Line 165)</v>
      </c>
      <c r="G261" s="188"/>
      <c r="H261" s="188"/>
      <c r="I261" s="188"/>
      <c r="J261" s="188"/>
      <c r="K261" s="188"/>
      <c r="L261" s="188"/>
      <c r="M261" s="188"/>
      <c r="N261" s="188"/>
      <c r="O261" s="188"/>
      <c r="P261" s="188"/>
      <c r="Q261" s="372"/>
    </row>
    <row r="262" spans="1:17" ht="15.5">
      <c r="A262" s="310">
        <f>'ATT H'!A275</f>
        <v>167</v>
      </c>
      <c r="B262" s="261"/>
      <c r="C262" s="236" t="str">
        <f>'ATT H'!C275</f>
        <v>Net Transmission Plant</v>
      </c>
      <c r="D262" s="236"/>
      <c r="E262" s="237"/>
      <c r="F262" s="296" t="str">
        <f>'ATT H'!F275</f>
        <v>(Line 19 - Line 30)</v>
      </c>
      <c r="G262" s="188"/>
      <c r="H262" s="188"/>
      <c r="I262" s="188"/>
      <c r="J262" s="188"/>
      <c r="K262" s="188"/>
      <c r="L262" s="188"/>
      <c r="M262" s="188"/>
      <c r="N262" s="188"/>
      <c r="O262" s="188"/>
      <c r="P262" s="188"/>
      <c r="Q262" s="372"/>
    </row>
    <row r="263" spans="1:17" ht="15.5">
      <c r="A263" s="310">
        <f>'ATT H'!A276</f>
        <v>168</v>
      </c>
      <c r="B263" s="261"/>
      <c r="C263" s="236" t="str">
        <f>'ATT H'!C276</f>
        <v>Net Plant Carrying Charge per 100 Basis Point increase in ROE</v>
      </c>
      <c r="D263" s="236"/>
      <c r="E263" s="237"/>
      <c r="F263" s="296" t="str">
        <f>'ATT H'!F276</f>
        <v>(Line 166 / Line 167)</v>
      </c>
      <c r="G263" s="188"/>
      <c r="H263" s="188"/>
      <c r="I263" s="188"/>
      <c r="J263" s="188"/>
      <c r="K263" s="188"/>
      <c r="L263" s="188"/>
      <c r="M263" s="188"/>
      <c r="N263" s="188"/>
      <c r="O263" s="188"/>
      <c r="P263" s="188"/>
      <c r="Q263" s="372"/>
    </row>
    <row r="264" spans="1:17" ht="15.5">
      <c r="A264" s="310">
        <f>'ATT H'!A277</f>
        <v>169</v>
      </c>
      <c r="B264" s="261"/>
      <c r="C264" s="236" t="str">
        <f>'ATT H'!C277</f>
        <v>Net Plant Carrying Charge per 100 Basis Point in ROE without Depreciation</v>
      </c>
      <c r="D264" s="236"/>
      <c r="E264" s="237"/>
      <c r="F264" s="296" t="str">
        <f>'ATT H'!F277</f>
        <v>(Line 165 - Line 85) / Line 167</v>
      </c>
      <c r="G264" s="188"/>
      <c r="H264" s="188"/>
      <c r="I264" s="188"/>
      <c r="J264" s="188"/>
      <c r="K264" s="188"/>
      <c r="L264" s="188"/>
      <c r="M264" s="188"/>
      <c r="N264" s="188"/>
      <c r="O264" s="188"/>
      <c r="P264" s="188"/>
      <c r="Q264" s="372"/>
    </row>
    <row r="265" spans="1:17" ht="15.5" hidden="1">
      <c r="A265" s="290"/>
      <c r="B265" s="261"/>
      <c r="C265" s="282"/>
      <c r="D265" s="246"/>
      <c r="E265" s="298"/>
      <c r="F265" s="296"/>
      <c r="G265" s="188"/>
      <c r="H265" s="188"/>
      <c r="I265" s="188"/>
      <c r="J265" s="188"/>
      <c r="K265" s="188"/>
      <c r="L265" s="188"/>
      <c r="M265" s="188"/>
      <c r="N265" s="188"/>
      <c r="O265" s="188"/>
      <c r="P265" s="188"/>
      <c r="Q265" s="372"/>
    </row>
    <row r="266" spans="1:17" ht="15.5">
      <c r="A266" s="310">
        <f>'ATT H'!A279</f>
        <v>170</v>
      </c>
      <c r="B266" s="261"/>
      <c r="C266" s="284" t="str">
        <f>'ATT H'!C279</f>
        <v>Net Revenue Requirement</v>
      </c>
      <c r="D266" s="236"/>
      <c r="E266" s="267"/>
      <c r="F266" s="296" t="str">
        <f>'ATT H'!F279</f>
        <v>(Line 158)</v>
      </c>
      <c r="G266" s="188"/>
      <c r="H266" s="188"/>
      <c r="I266" s="188"/>
      <c r="J266" s="188"/>
      <c r="K266" s="188"/>
      <c r="L266" s="188"/>
      <c r="M266" s="188"/>
      <c r="N266" s="188"/>
      <c r="O266" s="188"/>
      <c r="P266" s="188"/>
      <c r="Q266" s="372"/>
    </row>
    <row r="267" spans="1:17" ht="15.5">
      <c r="A267" s="310" t="e">
        <f>'ATT H'!#REF!</f>
        <v>#REF!</v>
      </c>
      <c r="B267" s="261"/>
      <c r="C267" s="148" t="e">
        <f>'ATT H'!#REF!</f>
        <v>#REF!</v>
      </c>
      <c r="D267" s="236"/>
      <c r="E267" s="267"/>
      <c r="F267" s="296" t="e">
        <f>'ATT H'!#REF!</f>
        <v>#REF!</v>
      </c>
      <c r="G267" s="188"/>
      <c r="H267" s="188"/>
      <c r="I267" s="188"/>
      <c r="J267" s="188"/>
      <c r="K267" s="188"/>
      <c r="L267" s="188"/>
      <c r="M267" s="188"/>
      <c r="N267" s="188"/>
      <c r="O267" s="188"/>
      <c r="P267" s="188"/>
      <c r="Q267" s="372"/>
    </row>
    <row r="268" spans="1:17" ht="15.5">
      <c r="A268" s="310">
        <f>'ATT H'!A283</f>
        <v>174</v>
      </c>
      <c r="B268" s="261"/>
      <c r="C268" s="284" t="str">
        <f>'ATT H'!C283</f>
        <v>Net Zonal Revenue Requirement</v>
      </c>
      <c r="D268" s="236"/>
      <c r="E268" s="267"/>
      <c r="F268" s="296" t="str">
        <f>'ATT H'!F283</f>
        <v>(Sum Lines 170 to 173)</v>
      </c>
      <c r="G268" s="188"/>
      <c r="H268" s="188"/>
      <c r="I268" s="188"/>
      <c r="J268" s="188"/>
      <c r="K268" s="188"/>
      <c r="L268" s="188"/>
      <c r="M268" s="188"/>
      <c r="N268" s="188"/>
      <c r="O268" s="188"/>
      <c r="P268" s="188"/>
      <c r="Q268" s="372"/>
    </row>
    <row r="269" spans="1:17" ht="15.5" hidden="1">
      <c r="A269" s="290"/>
      <c r="B269" s="261"/>
      <c r="C269" s="282"/>
      <c r="D269" s="246"/>
      <c r="E269" s="298"/>
      <c r="F269" s="296"/>
      <c r="G269" s="188"/>
      <c r="H269" s="188"/>
      <c r="I269" s="188"/>
      <c r="J269" s="188"/>
      <c r="K269" s="188"/>
      <c r="L269" s="188"/>
      <c r="M269" s="188"/>
      <c r="N269" s="188"/>
      <c r="O269" s="188"/>
      <c r="P269" s="188"/>
      <c r="Q269" s="372"/>
    </row>
    <row r="270" spans="1:17" ht="15.5">
      <c r="A270" s="299"/>
      <c r="B270" s="276" t="str">
        <f>'ATT H'!B285</f>
        <v>Network Zonal Service Rate</v>
      </c>
      <c r="C270" s="236"/>
      <c r="D270" s="236"/>
      <c r="E270" s="237"/>
      <c r="F270" s="296"/>
      <c r="G270" s="188"/>
      <c r="H270" s="188"/>
      <c r="I270" s="188"/>
      <c r="J270" s="188"/>
      <c r="K270" s="188"/>
      <c r="L270" s="188"/>
      <c r="M270" s="188"/>
      <c r="N270" s="188"/>
      <c r="O270" s="188"/>
      <c r="P270" s="188"/>
      <c r="Q270" s="372"/>
    </row>
    <row r="271" spans="1:17" ht="16" thickBot="1">
      <c r="A271" s="350">
        <f>'ATT H'!A286</f>
        <v>175</v>
      </c>
      <c r="B271" s="351"/>
      <c r="C271" s="352" t="str">
        <f>'ATT H'!C286</f>
        <v>1 CP Peak</v>
      </c>
      <c r="D271" s="352"/>
      <c r="E271" s="353" t="str">
        <f>'ATT H'!E286</f>
        <v>(Note L)</v>
      </c>
      <c r="F271" s="354" t="str">
        <f>'ATT H'!F286</f>
        <v>PJM data</v>
      </c>
      <c r="G271" s="373"/>
      <c r="H271" s="373"/>
      <c r="I271" s="373"/>
      <c r="J271" s="373"/>
      <c r="K271" s="373"/>
      <c r="L271" s="373"/>
      <c r="M271" s="373"/>
      <c r="N271" s="373"/>
      <c r="O271" s="373"/>
      <c r="P271" s="373"/>
      <c r="Q271" s="383" t="s">
        <v>336</v>
      </c>
    </row>
    <row r="272" spans="1:17" ht="15.5">
      <c r="A272" s="310">
        <f>'ATT H'!A287</f>
        <v>176</v>
      </c>
      <c r="B272" s="261"/>
      <c r="C272" s="148" t="str">
        <f>'ATT H'!C287</f>
        <v>Rate ($/MW-Year)</v>
      </c>
      <c r="D272" s="337">
        <f>'ATT H'!D287</f>
        <v>0</v>
      </c>
      <c r="E272" s="286"/>
      <c r="F272" s="289" t="str">
        <f>'ATT H'!F287</f>
        <v>(Line 174 / Line 175)</v>
      </c>
      <c r="G272" s="186"/>
      <c r="H272" s="186"/>
      <c r="I272" s="186"/>
      <c r="J272" s="186"/>
      <c r="K272" s="186"/>
      <c r="L272" s="186"/>
      <c r="M272" s="186"/>
      <c r="N272" s="186"/>
      <c r="O272" s="186"/>
      <c r="P272" s="186"/>
      <c r="Q272" s="186"/>
    </row>
    <row r="273" spans="1:17" ht="15.5" hidden="1" thickBot="1">
      <c r="A273" s="290"/>
      <c r="B273" s="261"/>
      <c r="C273" s="282"/>
      <c r="D273" s="246"/>
      <c r="E273" s="298"/>
      <c r="F273" s="296"/>
      <c r="G273" s="186"/>
      <c r="H273" s="186"/>
      <c r="I273" s="186"/>
      <c r="J273" s="186"/>
      <c r="K273" s="186"/>
      <c r="L273" s="186"/>
      <c r="M273" s="186"/>
      <c r="N273" s="186"/>
      <c r="O273" s="186"/>
      <c r="P273" s="186"/>
      <c r="Q273" s="186"/>
    </row>
    <row r="274" spans="1:17" ht="18.5" thickBot="1">
      <c r="A274" s="274">
        <f>'ATT H'!A289</f>
        <v>177</v>
      </c>
      <c r="B274" s="287"/>
      <c r="C274" s="283" t="str">
        <f>'ATT H'!C289</f>
        <v>Network Service Rate ($/MW/Year)</v>
      </c>
      <c r="D274" s="287"/>
      <c r="E274" s="287"/>
      <c r="F274" s="338" t="str">
        <f>'ATT H'!F289</f>
        <v>(Line 176)</v>
      </c>
      <c r="G274" s="186"/>
      <c r="H274" s="186"/>
      <c r="I274" s="186"/>
      <c r="J274" s="186"/>
      <c r="K274" s="186"/>
      <c r="L274" s="186"/>
      <c r="M274" s="186"/>
      <c r="N274" s="186"/>
      <c r="O274" s="186"/>
      <c r="P274" s="186"/>
      <c r="Q274" s="186"/>
    </row>
    <row r="275" spans="1:17" ht="15.5" hidden="1">
      <c r="A275" s="235"/>
      <c r="B275" s="235"/>
      <c r="C275" s="234"/>
      <c r="D275" s="151"/>
      <c r="E275" s="244"/>
      <c r="F275" s="158"/>
      <c r="G275" s="186"/>
      <c r="H275" s="186"/>
      <c r="I275" s="186"/>
      <c r="J275" s="186"/>
      <c r="K275" s="186"/>
      <c r="L275" s="186"/>
      <c r="M275" s="186"/>
      <c r="N275" s="186"/>
      <c r="O275" s="186"/>
      <c r="P275" s="186"/>
      <c r="Q275" s="186"/>
    </row>
    <row r="276" spans="1:17" ht="21" customHeight="1" hidden="1">
      <c r="A276" s="275"/>
      <c r="B276" s="276"/>
      <c r="C276" s="148"/>
      <c r="D276" s="148"/>
      <c r="E276" s="149"/>
      <c r="F276" s="150"/>
      <c r="G276" s="186"/>
      <c r="H276" s="186"/>
      <c r="I276" s="186"/>
      <c r="J276" s="186"/>
      <c r="K276" s="186"/>
      <c r="L276" s="186"/>
      <c r="M276" s="186"/>
      <c r="N276" s="186"/>
      <c r="O276" s="186"/>
      <c r="P276" s="186"/>
      <c r="Q276" s="186"/>
    </row>
    <row r="277" spans="1:17" ht="21" customHeight="1" hidden="1">
      <c r="A277" s="275"/>
      <c r="B277" s="261"/>
      <c r="D277" s="148"/>
      <c r="E277" s="149"/>
      <c r="F277" s="150"/>
      <c r="G277" s="186"/>
      <c r="H277" s="186"/>
      <c r="I277" s="186"/>
      <c r="J277" s="186"/>
      <c r="K277" s="186"/>
      <c r="L277" s="186"/>
      <c r="M277" s="186"/>
      <c r="N277" s="186"/>
      <c r="O277" s="186"/>
      <c r="P277" s="186"/>
      <c r="Q277" s="186"/>
    </row>
    <row r="278" spans="1:17" ht="21" customHeight="1">
      <c r="A278" s="275"/>
      <c r="B278" s="261"/>
      <c r="D278" s="148"/>
      <c r="E278" s="149"/>
      <c r="F278" s="150"/>
      <c r="G278" s="505" t="str">
        <f>+'ATT H'!A4</f>
        <v>UGI Utilities, Inc.</v>
      </c>
      <c r="H278" s="186"/>
      <c r="I278" s="186"/>
      <c r="J278" s="186"/>
      <c r="K278" s="186"/>
      <c r="L278" s="186"/>
      <c r="M278" s="186"/>
      <c r="N278" s="186"/>
      <c r="O278" s="186"/>
      <c r="P278" s="186"/>
      <c r="Q278" s="186"/>
    </row>
    <row r="279" spans="1:17" ht="21" customHeight="1">
      <c r="A279" s="422"/>
      <c r="B279" s="261"/>
      <c r="D279" s="148"/>
      <c r="E279" s="149"/>
      <c r="F279" s="150"/>
      <c r="H279" s="186"/>
      <c r="I279" s="186"/>
      <c r="J279" s="186"/>
      <c r="K279" s="186"/>
      <c r="L279" s="186"/>
      <c r="M279" s="186"/>
      <c r="N279" s="186"/>
      <c r="O279" s="186"/>
      <c r="P279" s="186"/>
      <c r="Q279" s="506"/>
    </row>
    <row r="280" spans="1:17" ht="21" customHeight="1">
      <c r="A280" s="422"/>
      <c r="B280" s="261"/>
      <c r="D280" s="148"/>
      <c r="E280" s="149"/>
      <c r="F280" s="150"/>
      <c r="G280" s="505" t="s">
        <v>708</v>
      </c>
      <c r="H280" s="186"/>
      <c r="I280" s="186"/>
      <c r="J280" s="186"/>
      <c r="K280" s="186"/>
      <c r="L280" s="186"/>
      <c r="M280" s="186"/>
      <c r="N280" s="186"/>
      <c r="O280" s="186"/>
      <c r="P280" s="186"/>
      <c r="Q280" s="506"/>
    </row>
    <row r="281" spans="1:18" ht="20.5" thickBot="1">
      <c r="A281" s="358" t="s">
        <v>416</v>
      </c>
      <c r="B281" s="261"/>
      <c r="D281" s="148"/>
      <c r="E281" s="149"/>
      <c r="F281" s="150"/>
      <c r="G281" s="186"/>
      <c r="H281" s="186"/>
      <c r="I281" s="186"/>
      <c r="J281" s="186"/>
      <c r="K281" s="186"/>
      <c r="L281" s="186"/>
      <c r="M281" s="186"/>
      <c r="N281" s="186"/>
      <c r="O281" s="186"/>
      <c r="P281" s="186"/>
      <c r="Q281" s="186"/>
      <c r="R281" s="159"/>
    </row>
    <row r="282" spans="1:18" ht="54.75" customHeight="1">
      <c r="A282" s="999" t="s">
        <v>331</v>
      </c>
      <c r="B282" s="1000"/>
      <c r="C282" s="1000"/>
      <c r="D282" s="1000"/>
      <c r="E282" s="1000"/>
      <c r="F282" s="1001"/>
      <c r="G282" s="562" t="s">
        <v>457</v>
      </c>
      <c r="H282" s="381" t="s">
        <v>332</v>
      </c>
      <c r="I282" s="381" t="s">
        <v>339</v>
      </c>
      <c r="J282" s="971" t="s">
        <v>281</v>
      </c>
      <c r="K282" s="1002"/>
      <c r="L282" s="1002"/>
      <c r="M282" s="1002"/>
      <c r="N282" s="1002"/>
      <c r="O282" s="1002"/>
      <c r="P282" s="1002"/>
      <c r="Q282" s="1003"/>
      <c r="R282" s="53"/>
    </row>
    <row r="283" spans="1:17" ht="15.5">
      <c r="A283" s="305"/>
      <c r="B283" s="282" t="s">
        <v>168</v>
      </c>
      <c r="C283" s="148"/>
      <c r="D283" s="272"/>
      <c r="E283" s="237"/>
      <c r="F283" s="293"/>
      <c r="G283" s="188"/>
      <c r="H283" s="188"/>
      <c r="I283" s="188"/>
      <c r="J283" s="1013"/>
      <c r="K283" s="975"/>
      <c r="L283" s="975"/>
      <c r="M283" s="975"/>
      <c r="N283" s="975"/>
      <c r="O283" s="975"/>
      <c r="P283" s="975"/>
      <c r="Q283" s="976"/>
    </row>
    <row r="284" spans="1:17" ht="15.5">
      <c r="A284" s="299" t="e">
        <f>#REF!</f>
        <v>#REF!</v>
      </c>
      <c r="B284" s="272"/>
      <c r="C284" s="236" t="e">
        <f>#REF!</f>
        <v>#REF!</v>
      </c>
      <c r="D284" s="148"/>
      <c r="E284" s="245" t="e">
        <f>#REF!</f>
        <v>#REF!</v>
      </c>
      <c r="F284" s="300" t="e">
        <f>#REF!</f>
        <v>#REF!</v>
      </c>
      <c r="G284" s="550">
        <v>467649847</v>
      </c>
      <c r="H284" s="550">
        <v>380199326</v>
      </c>
      <c r="I284" s="550">
        <v>87450521</v>
      </c>
      <c r="J284" s="977" t="s">
        <v>448</v>
      </c>
      <c r="K284" s="963"/>
      <c r="L284" s="963"/>
      <c r="M284" s="963"/>
      <c r="N284" s="963"/>
      <c r="O284" s="963"/>
      <c r="P284" s="963"/>
      <c r="Q284" s="963"/>
    </row>
    <row r="285" spans="1:18" ht="15.65" customHeight="1">
      <c r="A285" s="299">
        <v>2</v>
      </c>
      <c r="B285" s="272"/>
      <c r="C285" s="236" t="s">
        <v>455</v>
      </c>
      <c r="D285" s="148"/>
      <c r="E285" s="245"/>
      <c r="F285" s="563" t="s">
        <v>680</v>
      </c>
      <c r="G285" s="787"/>
      <c r="H285" s="550">
        <v>9186464</v>
      </c>
      <c r="I285" s="750"/>
      <c r="J285" s="969"/>
      <c r="K285" s="969"/>
      <c r="L285" s="969"/>
      <c r="M285" s="969"/>
      <c r="N285" s="969"/>
      <c r="O285" s="969"/>
      <c r="P285" s="969"/>
      <c r="Q285" s="970"/>
      <c r="R285" s="798"/>
    </row>
    <row r="286" spans="1:18" ht="15.75" customHeight="1">
      <c r="A286" s="299">
        <v>3</v>
      </c>
      <c r="B286" s="272"/>
      <c r="C286" s="236" t="s">
        <v>567</v>
      </c>
      <c r="D286" s="148"/>
      <c r="E286" s="245"/>
      <c r="F286" s="563" t="s">
        <v>681</v>
      </c>
      <c r="G286" s="787"/>
      <c r="H286" s="550">
        <v>3194048</v>
      </c>
      <c r="I286" s="750"/>
      <c r="J286" s="969"/>
      <c r="K286" s="969"/>
      <c r="L286" s="969"/>
      <c r="M286" s="969"/>
      <c r="N286" s="969"/>
      <c r="O286" s="969"/>
      <c r="P286" s="969"/>
      <c r="Q286" s="970"/>
      <c r="R286" s="798"/>
    </row>
    <row r="287" spans="1:17" ht="15.5">
      <c r="A287" s="299">
        <v>10</v>
      </c>
      <c r="B287" s="272"/>
      <c r="C287" s="236" t="s">
        <v>193</v>
      </c>
      <c r="D287" s="148"/>
      <c r="E287" s="245" t="s">
        <v>177</v>
      </c>
      <c r="F287" s="563"/>
      <c r="G287" s="550">
        <v>0</v>
      </c>
      <c r="H287" s="550">
        <v>0</v>
      </c>
      <c r="I287" s="550">
        <v>0</v>
      </c>
      <c r="J287" s="969"/>
      <c r="K287" s="969"/>
      <c r="L287" s="969"/>
      <c r="M287" s="969"/>
      <c r="N287" s="969"/>
      <c r="O287" s="969"/>
      <c r="P287" s="969"/>
      <c r="Q287" s="970"/>
    </row>
    <row r="288" spans="1:19" ht="15.5">
      <c r="A288" s="299">
        <v>11</v>
      </c>
      <c r="B288" s="272"/>
      <c r="C288" s="236" t="s">
        <v>165</v>
      </c>
      <c r="D288" s="148"/>
      <c r="E288" s="245" t="s">
        <v>177</v>
      </c>
      <c r="F288" s="563" t="s">
        <v>699</v>
      </c>
      <c r="G288" s="550">
        <v>0</v>
      </c>
      <c r="H288" s="550">
        <v>0</v>
      </c>
      <c r="I288" s="550">
        <v>0</v>
      </c>
      <c r="J288" s="969"/>
      <c r="K288" s="969"/>
      <c r="L288" s="969"/>
      <c r="M288" s="969"/>
      <c r="N288" s="969"/>
      <c r="O288" s="969"/>
      <c r="P288" s="969"/>
      <c r="Q288" s="970"/>
      <c r="R288" s="798"/>
      <c r="S288" s="2"/>
    </row>
    <row r="289" spans="1:19" ht="15.75" customHeight="1">
      <c r="A289" s="299"/>
      <c r="B289" s="272"/>
      <c r="C289" s="236" t="s">
        <v>564</v>
      </c>
      <c r="D289" s="148"/>
      <c r="E289" s="245" t="s">
        <v>177</v>
      </c>
      <c r="F289" s="563" t="s">
        <v>702</v>
      </c>
      <c r="G289" s="787"/>
      <c r="H289" s="669">
        <v>2876299</v>
      </c>
      <c r="I289" s="750"/>
      <c r="J289" s="969"/>
      <c r="K289" s="969"/>
      <c r="L289" s="969"/>
      <c r="M289" s="969"/>
      <c r="N289" s="969"/>
      <c r="O289" s="969"/>
      <c r="P289" s="969"/>
      <c r="Q289" s="970"/>
      <c r="R289" s="798"/>
      <c r="S289" s="861"/>
    </row>
    <row r="290" spans="1:18" ht="15.75" customHeight="1">
      <c r="A290" s="299">
        <v>12</v>
      </c>
      <c r="B290" s="148"/>
      <c r="C290" s="246" t="s">
        <v>194</v>
      </c>
      <c r="D290" s="148"/>
      <c r="E290" s="245" t="s">
        <v>177</v>
      </c>
      <c r="F290" s="563" t="s">
        <v>699</v>
      </c>
      <c r="G290" s="550">
        <v>64726500</v>
      </c>
      <c r="H290" s="550">
        <v>6026037</v>
      </c>
      <c r="I290" s="550">
        <f>G290-H290</f>
        <v>58700463</v>
      </c>
      <c r="J290" s="969"/>
      <c r="K290" s="969"/>
      <c r="L290" s="969"/>
      <c r="M290" s="969"/>
      <c r="N290" s="969"/>
      <c r="O290" s="969"/>
      <c r="P290" s="969"/>
      <c r="Q290" s="970"/>
      <c r="R290" s="798"/>
    </row>
    <row r="291" spans="1:17" ht="15.5">
      <c r="A291" s="305"/>
      <c r="B291" s="282" t="s">
        <v>121</v>
      </c>
      <c r="C291" s="148"/>
      <c r="D291" s="148"/>
      <c r="E291" s="298"/>
      <c r="F291" s="563"/>
      <c r="G291" s="750"/>
      <c r="H291" s="750"/>
      <c r="I291" s="750"/>
      <c r="J291" s="551"/>
      <c r="K291" s="552"/>
      <c r="L291" s="552"/>
      <c r="M291" s="552"/>
      <c r="N291" s="552"/>
      <c r="O291" s="552"/>
      <c r="P291" s="552"/>
      <c r="Q291" s="699"/>
    </row>
    <row r="292" spans="1:18" ht="15" customHeight="1">
      <c r="A292" s="299">
        <v>24</v>
      </c>
      <c r="B292" s="261"/>
      <c r="C292" s="253" t="s">
        <v>117</v>
      </c>
      <c r="D292" s="148"/>
      <c r="E292" s="245" t="s">
        <v>206</v>
      </c>
      <c r="F292" s="563" t="s">
        <v>699</v>
      </c>
      <c r="G292" s="669">
        <v>260287006</v>
      </c>
      <c r="H292" s="669">
        <v>24107768</v>
      </c>
      <c r="I292" s="669">
        <f>G292-H292</f>
        <v>236179238</v>
      </c>
      <c r="J292" s="969"/>
      <c r="K292" s="969"/>
      <c r="L292" s="969"/>
      <c r="M292" s="969"/>
      <c r="N292" s="969"/>
      <c r="O292" s="969"/>
      <c r="P292" s="969"/>
      <c r="Q292" s="970"/>
      <c r="R292" s="798"/>
    </row>
    <row r="293" spans="1:17" ht="14.5" customHeight="1">
      <c r="A293" s="299"/>
      <c r="B293" s="282" t="s">
        <v>105</v>
      </c>
      <c r="C293" s="282"/>
      <c r="D293" s="256"/>
      <c r="E293" s="254"/>
      <c r="F293" s="563"/>
      <c r="G293" s="788"/>
      <c r="H293" s="788"/>
      <c r="I293" s="788"/>
      <c r="J293" s="551"/>
      <c r="K293" s="552"/>
      <c r="L293" s="552"/>
      <c r="M293" s="552"/>
      <c r="N293" s="552"/>
      <c r="O293" s="552"/>
      <c r="P293" s="552"/>
      <c r="Q293" s="552"/>
    </row>
    <row r="294" spans="1:17" ht="15" customHeight="1">
      <c r="A294" s="299">
        <v>33</v>
      </c>
      <c r="B294" s="261"/>
      <c r="C294" s="253" t="s">
        <v>165</v>
      </c>
      <c r="D294" s="148"/>
      <c r="E294" s="245">
        <v>0</v>
      </c>
      <c r="F294" s="563" t="s">
        <v>337</v>
      </c>
      <c r="G294" s="789"/>
      <c r="H294" s="789"/>
      <c r="I294" s="789"/>
      <c r="J294" s="977"/>
      <c r="K294" s="963"/>
      <c r="L294" s="963"/>
      <c r="M294" s="963"/>
      <c r="N294" s="963"/>
      <c r="O294" s="963"/>
      <c r="P294" s="963"/>
      <c r="Q294" s="963"/>
    </row>
    <row r="295" spans="1:17" ht="13.9" customHeight="1">
      <c r="A295" s="299">
        <v>34</v>
      </c>
      <c r="B295" s="261"/>
      <c r="C295" s="253" t="s">
        <v>118</v>
      </c>
      <c r="D295" s="148"/>
      <c r="E295" s="245">
        <v>0</v>
      </c>
      <c r="F295" s="563" t="s">
        <v>338</v>
      </c>
      <c r="G295" s="789"/>
      <c r="H295" s="789"/>
      <c r="I295" s="789"/>
      <c r="J295" s="977"/>
      <c r="K295" s="963"/>
      <c r="L295" s="963"/>
      <c r="M295" s="963"/>
      <c r="N295" s="963"/>
      <c r="O295" s="963"/>
      <c r="P295" s="963"/>
      <c r="Q295" s="963"/>
    </row>
    <row r="296" spans="1:17" ht="15.5">
      <c r="A296" s="305"/>
      <c r="B296" s="255" t="s">
        <v>236</v>
      </c>
      <c r="C296" s="148"/>
      <c r="D296" s="236"/>
      <c r="E296" s="306"/>
      <c r="F296" s="853"/>
      <c r="G296" s="750"/>
      <c r="H296" s="750"/>
      <c r="I296" s="750"/>
      <c r="J296" s="551"/>
      <c r="K296" s="552"/>
      <c r="L296" s="552"/>
      <c r="M296" s="552"/>
      <c r="N296" s="552"/>
      <c r="O296" s="552"/>
      <c r="P296" s="552"/>
      <c r="Q296" s="699"/>
    </row>
    <row r="297" spans="1:18" ht="15.5">
      <c r="A297" s="299">
        <v>41</v>
      </c>
      <c r="B297" s="236"/>
      <c r="C297" s="257" t="s">
        <v>207</v>
      </c>
      <c r="D297" s="258"/>
      <c r="E297" s="259" t="s">
        <v>690</v>
      </c>
      <c r="F297" s="563" t="s">
        <v>707</v>
      </c>
      <c r="G297" s="550">
        <v>1914964</v>
      </c>
      <c r="H297" s="550">
        <v>0</v>
      </c>
      <c r="I297" s="669">
        <f>G297-H297</f>
        <v>1914964</v>
      </c>
      <c r="J297" s="969" t="s">
        <v>703</v>
      </c>
      <c r="K297" s="969"/>
      <c r="L297" s="969"/>
      <c r="M297" s="969"/>
      <c r="N297" s="969"/>
      <c r="O297" s="969"/>
      <c r="P297" s="969"/>
      <c r="Q297" s="970"/>
      <c r="R297" s="798"/>
    </row>
    <row r="298" spans="1:17" ht="15.5">
      <c r="A298" s="299"/>
      <c r="B298" s="255" t="s">
        <v>106</v>
      </c>
      <c r="C298" s="263"/>
      <c r="D298" s="148"/>
      <c r="E298" s="237"/>
      <c r="F298" s="854"/>
      <c r="G298" s="750"/>
      <c r="H298" s="750"/>
      <c r="I298" s="750"/>
      <c r="J298" s="551"/>
      <c r="K298" s="552"/>
      <c r="L298" s="552"/>
      <c r="M298" s="552"/>
      <c r="N298" s="552"/>
      <c r="O298" s="552"/>
      <c r="P298" s="552"/>
      <c r="Q298" s="699"/>
    </row>
    <row r="299" spans="1:18" ht="15.75" customHeight="1">
      <c r="A299" s="299">
        <v>44</v>
      </c>
      <c r="B299" s="312"/>
      <c r="C299" s="263" t="s">
        <v>181</v>
      </c>
      <c r="D299" s="245"/>
      <c r="E299" s="285" t="s">
        <v>177</v>
      </c>
      <c r="F299" s="370" t="s">
        <v>704</v>
      </c>
      <c r="G299" s="669">
        <v>18853877</v>
      </c>
      <c r="H299" s="669">
        <v>1108856</v>
      </c>
      <c r="I299" s="669">
        <f>G299-H299</f>
        <v>17745021</v>
      </c>
      <c r="J299" s="969" t="s">
        <v>698</v>
      </c>
      <c r="K299" s="969"/>
      <c r="L299" s="969"/>
      <c r="M299" s="969"/>
      <c r="N299" s="969"/>
      <c r="O299" s="969"/>
      <c r="P299" s="969"/>
      <c r="Q299" s="970"/>
      <c r="R299" s="798"/>
    </row>
    <row r="300" spans="1:17" ht="15.5">
      <c r="A300" s="299"/>
      <c r="B300" s="255" t="s">
        <v>101</v>
      </c>
      <c r="C300" s="236"/>
      <c r="D300" s="236"/>
      <c r="E300" s="315"/>
      <c r="F300" s="854"/>
      <c r="G300" s="752"/>
      <c r="H300" s="752"/>
      <c r="I300" s="752"/>
      <c r="J300" s="551"/>
      <c r="K300" s="552"/>
      <c r="L300" s="552"/>
      <c r="M300" s="552"/>
      <c r="N300" s="552"/>
      <c r="O300" s="552"/>
      <c r="P300" s="552"/>
      <c r="Q300" s="699"/>
    </row>
    <row r="301" spans="1:18" ht="15.75" customHeight="1">
      <c r="A301" s="305">
        <v>47</v>
      </c>
      <c r="B301" s="236"/>
      <c r="C301" s="236" t="s">
        <v>124</v>
      </c>
      <c r="D301" s="246"/>
      <c r="E301" s="245" t="s">
        <v>177</v>
      </c>
      <c r="F301" s="563" t="s">
        <v>689</v>
      </c>
      <c r="G301" s="669">
        <v>1827503</v>
      </c>
      <c r="H301" s="669">
        <v>813240</v>
      </c>
      <c r="I301" s="669">
        <f>G301-H301</f>
        <v>1014263</v>
      </c>
      <c r="J301" s="969" t="s">
        <v>698</v>
      </c>
      <c r="K301" s="969"/>
      <c r="L301" s="969"/>
      <c r="M301" s="969"/>
      <c r="N301" s="969"/>
      <c r="O301" s="969"/>
      <c r="P301" s="969"/>
      <c r="Q301" s="970"/>
      <c r="R301" s="798"/>
    </row>
    <row r="302" spans="1:17" ht="15.5">
      <c r="A302" s="299"/>
      <c r="B302" s="282" t="s">
        <v>89</v>
      </c>
      <c r="C302" s="246"/>
      <c r="D302" s="246"/>
      <c r="E302" s="298"/>
      <c r="F302" s="853"/>
      <c r="G302" s="752"/>
      <c r="H302" s="752"/>
      <c r="I302" s="752"/>
      <c r="J302" s="551"/>
      <c r="K302" s="552"/>
      <c r="L302" s="552"/>
      <c r="M302" s="552"/>
      <c r="N302" s="552"/>
      <c r="O302" s="552"/>
      <c r="P302" s="552"/>
      <c r="Q302" s="699"/>
    </row>
    <row r="303" spans="1:17" ht="15.5">
      <c r="A303" s="299">
        <v>65</v>
      </c>
      <c r="B303" s="282"/>
      <c r="C303" s="257" t="s">
        <v>150</v>
      </c>
      <c r="D303" s="246"/>
      <c r="E303" s="328" t="s">
        <v>177</v>
      </c>
      <c r="F303" s="370" t="s">
        <v>458</v>
      </c>
      <c r="G303" s="669">
        <v>10462459</v>
      </c>
      <c r="H303" s="669">
        <v>0</v>
      </c>
      <c r="I303" s="669">
        <f>+G303-H303</f>
        <v>10462459</v>
      </c>
      <c r="J303" s="551"/>
      <c r="K303" s="552"/>
      <c r="L303" s="552"/>
      <c r="M303" s="552"/>
      <c r="N303" s="552"/>
      <c r="O303" s="552"/>
      <c r="P303" s="552"/>
      <c r="Q303" s="699"/>
    </row>
    <row r="304" spans="1:18" ht="15.5">
      <c r="A304" s="299">
        <v>67</v>
      </c>
      <c r="B304" s="280"/>
      <c r="C304" s="257" t="s">
        <v>152</v>
      </c>
      <c r="D304" s="246"/>
      <c r="E304" s="259" t="s">
        <v>177</v>
      </c>
      <c r="F304" s="563" t="s">
        <v>699</v>
      </c>
      <c r="G304" s="669">
        <v>0</v>
      </c>
      <c r="H304" s="669">
        <v>0</v>
      </c>
      <c r="I304" s="669">
        <f>+G304-H304</f>
        <v>0</v>
      </c>
      <c r="J304" s="969"/>
      <c r="K304" s="969"/>
      <c r="L304" s="969"/>
      <c r="M304" s="969"/>
      <c r="N304" s="969"/>
      <c r="O304" s="969"/>
      <c r="P304" s="969"/>
      <c r="Q304" s="970"/>
      <c r="R304" s="798"/>
    </row>
    <row r="305" spans="1:17" ht="15.5">
      <c r="A305" s="292"/>
      <c r="B305" s="276" t="s">
        <v>65</v>
      </c>
      <c r="C305" s="236"/>
      <c r="D305" s="246"/>
      <c r="E305" s="267"/>
      <c r="F305" s="853"/>
      <c r="G305" s="752"/>
      <c r="H305" s="752"/>
      <c r="I305" s="752"/>
      <c r="J305" s="969"/>
      <c r="K305" s="969"/>
      <c r="L305" s="969"/>
      <c r="M305" s="969"/>
      <c r="N305" s="969"/>
      <c r="O305" s="969"/>
      <c r="P305" s="969"/>
      <c r="Q305" s="970"/>
    </row>
    <row r="306" spans="1:18" ht="15.75" customHeight="1">
      <c r="A306" s="292">
        <v>85</v>
      </c>
      <c r="B306" s="276"/>
      <c r="C306" s="236" t="s">
        <v>853</v>
      </c>
      <c r="D306" s="246"/>
      <c r="E306" s="259"/>
      <c r="F306" s="370" t="s">
        <v>683</v>
      </c>
      <c r="G306" s="669">
        <f>1102095-17032</f>
        <v>1085063</v>
      </c>
      <c r="H306" s="669">
        <f>+G306</f>
        <v>1085063</v>
      </c>
      <c r="I306" s="669">
        <f>+G306-H306</f>
        <v>0</v>
      </c>
      <c r="J306" s="969" t="s">
        <v>857</v>
      </c>
      <c r="K306" s="969"/>
      <c r="L306" s="969"/>
      <c r="M306" s="969"/>
      <c r="N306" s="969"/>
      <c r="O306" s="969"/>
      <c r="P306" s="969"/>
      <c r="Q306" s="970"/>
      <c r="R306" s="798"/>
    </row>
    <row r="307" spans="1:18" ht="15.75" customHeight="1">
      <c r="A307" s="292">
        <v>86</v>
      </c>
      <c r="B307" s="276"/>
      <c r="C307" s="272" t="s">
        <v>172</v>
      </c>
      <c r="D307" s="148"/>
      <c r="E307" s="237"/>
      <c r="F307" s="370" t="s">
        <v>684</v>
      </c>
      <c r="G307" s="669">
        <v>447078</v>
      </c>
      <c r="H307" s="669">
        <v>447078</v>
      </c>
      <c r="I307" s="669">
        <f>+G307-H307</f>
        <v>0</v>
      </c>
      <c r="J307" s="969"/>
      <c r="K307" s="969"/>
      <c r="L307" s="969"/>
      <c r="M307" s="969"/>
      <c r="N307" s="969"/>
      <c r="O307" s="969"/>
      <c r="P307" s="969"/>
      <c r="Q307" s="970"/>
      <c r="R307" s="798"/>
    </row>
    <row r="308" spans="1:18" ht="15.5">
      <c r="A308" s="290">
        <v>87</v>
      </c>
      <c r="B308" s="327"/>
      <c r="C308" s="264" t="s">
        <v>123</v>
      </c>
      <c r="D308" s="246"/>
      <c r="E308" s="328" t="s">
        <v>177</v>
      </c>
      <c r="F308" s="370" t="s">
        <v>685</v>
      </c>
      <c r="G308" s="550">
        <v>0</v>
      </c>
      <c r="H308" s="550">
        <v>0</v>
      </c>
      <c r="I308" s="550">
        <f>+G308-H308</f>
        <v>0</v>
      </c>
      <c r="J308" s="969"/>
      <c r="K308" s="969"/>
      <c r="L308" s="969"/>
      <c r="M308" s="969"/>
      <c r="N308" s="969"/>
      <c r="O308" s="969"/>
      <c r="P308" s="969"/>
      <c r="Q308" s="970"/>
      <c r="R308" s="798"/>
    </row>
    <row r="309" spans="1:18" ht="15.75" customHeight="1">
      <c r="A309" s="290">
        <v>91</v>
      </c>
      <c r="B309" s="314"/>
      <c r="C309" s="263" t="s">
        <v>52</v>
      </c>
      <c r="D309" s="246"/>
      <c r="E309" s="328" t="s">
        <v>177</v>
      </c>
      <c r="F309" s="370" t="s">
        <v>686</v>
      </c>
      <c r="G309" s="550">
        <v>1806861</v>
      </c>
      <c r="H309" s="550">
        <f>+G309</f>
        <v>1806861</v>
      </c>
      <c r="I309" s="550">
        <f t="shared" si="0" ref="I309:I310">=+G309-H309</f>
        <v>0</v>
      </c>
      <c r="J309" s="969"/>
      <c r="K309" s="969"/>
      <c r="L309" s="969"/>
      <c r="M309" s="969"/>
      <c r="N309" s="969"/>
      <c r="O309" s="969"/>
      <c r="P309" s="969"/>
      <c r="Q309" s="970"/>
      <c r="R309" s="798"/>
    </row>
    <row r="310" spans="1:18" ht="16" thickBot="1">
      <c r="A310" s="350">
        <v>92</v>
      </c>
      <c r="B310" s="359"/>
      <c r="C310" s="360" t="s">
        <v>125</v>
      </c>
      <c r="D310" s="357"/>
      <c r="E310" s="361" t="s">
        <v>177</v>
      </c>
      <c r="F310" s="371" t="s">
        <v>687</v>
      </c>
      <c r="G310" s="843">
        <v>0</v>
      </c>
      <c r="H310" s="843">
        <f>+G310</f>
        <v>0</v>
      </c>
      <c r="I310" s="904">
        <f t="shared" si="0"/>
        <v>0</v>
      </c>
      <c r="J310" s="978"/>
      <c r="K310" s="978"/>
      <c r="L310" s="978"/>
      <c r="M310" s="978"/>
      <c r="N310" s="978"/>
      <c r="O310" s="978"/>
      <c r="P310" s="978"/>
      <c r="Q310" s="979"/>
      <c r="R310" s="798"/>
    </row>
    <row r="311" spans="7:17" ht="13">
      <c r="G311" s="186"/>
      <c r="H311" s="186"/>
      <c r="I311" s="186"/>
      <c r="J311" s="186"/>
      <c r="K311" s="186"/>
      <c r="L311" s="186"/>
      <c r="M311" s="186"/>
      <c r="N311" s="186"/>
      <c r="O311" s="186"/>
      <c r="P311" s="186"/>
      <c r="Q311" s="186"/>
    </row>
    <row r="312" spans="7:17" ht="13">
      <c r="G312" s="186"/>
      <c r="H312" s="186"/>
      <c r="I312" s="186"/>
      <c r="J312" s="186"/>
      <c r="K312" s="186"/>
      <c r="L312" s="186"/>
      <c r="M312" s="186"/>
      <c r="N312" s="186"/>
      <c r="O312" s="186"/>
      <c r="P312" s="186"/>
      <c r="Q312" s="186"/>
    </row>
    <row r="313" spans="1:17" ht="20.5" thickBot="1">
      <c r="A313" s="358" t="s">
        <v>418</v>
      </c>
      <c r="G313" s="186"/>
      <c r="H313" s="186"/>
      <c r="I313" s="186"/>
      <c r="J313" s="186"/>
      <c r="K313" s="186"/>
      <c r="L313" s="186"/>
      <c r="M313" s="186"/>
      <c r="N313" s="186"/>
      <c r="O313" s="186"/>
      <c r="P313" s="186"/>
      <c r="Q313" s="186"/>
    </row>
    <row r="314" spans="1:18" ht="60" customHeight="1">
      <c r="A314" s="999" t="s">
        <v>331</v>
      </c>
      <c r="B314" s="1000"/>
      <c r="C314" s="1000"/>
      <c r="D314" s="1000"/>
      <c r="E314" s="1000"/>
      <c r="F314" s="1001"/>
      <c r="G314" s="562" t="s">
        <v>457</v>
      </c>
      <c r="H314" s="381" t="s">
        <v>342</v>
      </c>
      <c r="I314" s="381" t="s">
        <v>410</v>
      </c>
      <c r="J314" s="971" t="s">
        <v>281</v>
      </c>
      <c r="K314" s="1002"/>
      <c r="L314" s="1002"/>
      <c r="M314" s="1002"/>
      <c r="N314" s="1002"/>
      <c r="O314" s="1002"/>
      <c r="P314" s="1002"/>
      <c r="Q314" s="1003"/>
      <c r="R314" s="53"/>
    </row>
    <row r="315" spans="1:19" ht="25" customHeight="1">
      <c r="A315" s="299">
        <v>15</v>
      </c>
      <c r="B315" s="560"/>
      <c r="C315" s="255" t="s">
        <v>851</v>
      </c>
      <c r="D315" s="560"/>
      <c r="E315" s="328"/>
      <c r="F315" s="370" t="s">
        <v>83</v>
      </c>
      <c r="G315" s="840">
        <f>61376903-172296</f>
        <v>61204607</v>
      </c>
      <c r="H315" s="866">
        <f>52988428-172296</f>
        <v>52816132</v>
      </c>
      <c r="I315" s="669">
        <f>G315-H315</f>
        <v>8388475</v>
      </c>
      <c r="J315" s="969" t="s">
        <v>829</v>
      </c>
      <c r="K315" s="969"/>
      <c r="L315" s="969"/>
      <c r="M315" s="969"/>
      <c r="N315" s="969"/>
      <c r="O315" s="969"/>
      <c r="P315" s="969"/>
      <c r="Q315" s="970"/>
      <c r="S315" s="2"/>
    </row>
    <row r="316" spans="1:18" ht="25" customHeight="1">
      <c r="A316" s="299">
        <v>28</v>
      </c>
      <c r="B316" s="560"/>
      <c r="C316" s="255" t="s">
        <v>273</v>
      </c>
      <c r="D316" s="339"/>
      <c r="E316" s="328" t="s">
        <v>178</v>
      </c>
      <c r="F316" s="370" t="s">
        <v>700</v>
      </c>
      <c r="G316" s="669">
        <v>0</v>
      </c>
      <c r="H316" s="669">
        <v>0</v>
      </c>
      <c r="I316" s="669">
        <f>G316-H316</f>
        <v>0</v>
      </c>
      <c r="J316" s="969" t="s">
        <v>577</v>
      </c>
      <c r="K316" s="969"/>
      <c r="L316" s="969"/>
      <c r="M316" s="969"/>
      <c r="N316" s="969"/>
      <c r="O316" s="969"/>
      <c r="P316" s="969"/>
      <c r="Q316" s="970"/>
      <c r="R316" s="798"/>
    </row>
    <row r="317" spans="1:18" ht="25" customHeight="1">
      <c r="A317" s="299">
        <v>30</v>
      </c>
      <c r="B317" s="560"/>
      <c r="C317" s="255" t="s">
        <v>852</v>
      </c>
      <c r="D317" s="2"/>
      <c r="E317" s="328"/>
      <c r="F317" s="370" t="s">
        <v>701</v>
      </c>
      <c r="G317" s="862">
        <f>18905321-17032</f>
        <v>18888289</v>
      </c>
      <c r="H317" s="550">
        <f>+G317</f>
        <v>18888289</v>
      </c>
      <c r="I317" s="669">
        <f>G317-H317</f>
        <v>0</v>
      </c>
      <c r="J317" s="969" t="s">
        <v>828</v>
      </c>
      <c r="K317" s="969"/>
      <c r="L317" s="969"/>
      <c r="M317" s="969"/>
      <c r="N317" s="969"/>
      <c r="O317" s="969"/>
      <c r="P317" s="969"/>
      <c r="Q317" s="970"/>
      <c r="R317" s="798"/>
    </row>
    <row r="318" spans="1:19" ht="25" customHeight="1">
      <c r="A318" s="299">
        <v>50</v>
      </c>
      <c r="B318" s="560"/>
      <c r="C318" s="255" t="s">
        <v>101</v>
      </c>
      <c r="D318" s="339"/>
      <c r="E318" s="328"/>
      <c r="F318" s="370" t="s">
        <v>682</v>
      </c>
      <c r="G318" s="862">
        <v>17703339</v>
      </c>
      <c r="H318" s="669">
        <v>388818</v>
      </c>
      <c r="I318" s="669">
        <f>G318-H318</f>
        <v>17314521</v>
      </c>
      <c r="J318" s="969" t="s">
        <v>576</v>
      </c>
      <c r="K318" s="969"/>
      <c r="L318" s="969"/>
      <c r="M318" s="969"/>
      <c r="N318" s="969"/>
      <c r="O318" s="969"/>
      <c r="P318" s="969"/>
      <c r="Q318" s="970"/>
      <c r="R318" s="798"/>
      <c r="S318" s="2"/>
    </row>
    <row r="319" spans="1:18" ht="29.25" customHeight="1">
      <c r="A319" s="299">
        <v>83</v>
      </c>
      <c r="B319" s="560"/>
      <c r="C319" s="255" t="s">
        <v>66</v>
      </c>
      <c r="E319" s="328"/>
      <c r="F319" s="370" t="s">
        <v>683</v>
      </c>
      <c r="G319" s="669">
        <f>G306</f>
        <v>1085063</v>
      </c>
      <c r="H319" s="669">
        <f>H306</f>
        <v>1085063</v>
      </c>
      <c r="I319" s="669">
        <f>G319-H319</f>
        <v>0</v>
      </c>
      <c r="J319" s="969" t="s">
        <v>827</v>
      </c>
      <c r="K319" s="969"/>
      <c r="L319" s="969"/>
      <c r="M319" s="969"/>
      <c r="N319" s="969"/>
      <c r="O319" s="969"/>
      <c r="P319" s="969"/>
      <c r="Q319" s="970"/>
      <c r="R319" s="798"/>
    </row>
    <row r="320" spans="1:17" ht="25" customHeight="1">
      <c r="A320" s="299"/>
      <c r="B320" s="560"/>
      <c r="C320" s="255"/>
      <c r="E320" s="328"/>
      <c r="F320" s="370"/>
      <c r="G320" s="740"/>
      <c r="H320" s="740"/>
      <c r="I320" s="740"/>
      <c r="J320" s="741"/>
      <c r="K320" s="741"/>
      <c r="L320" s="741"/>
      <c r="M320" s="741"/>
      <c r="N320" s="741"/>
      <c r="O320" s="741"/>
      <c r="P320" s="741"/>
      <c r="Q320" s="852"/>
    </row>
    <row r="321" spans="1:17" ht="25" customHeight="1" thickBot="1">
      <c r="A321" s="358" t="s">
        <v>636</v>
      </c>
      <c r="F321" s="222"/>
      <c r="G321" s="186"/>
      <c r="H321" s="186"/>
      <c r="I321" s="186"/>
      <c r="J321" s="186"/>
      <c r="K321" s="186"/>
      <c r="L321" s="186"/>
      <c r="M321" s="186"/>
      <c r="N321" s="186"/>
      <c r="O321" s="186"/>
      <c r="P321" s="186"/>
      <c r="Q321" s="379"/>
    </row>
    <row r="322" spans="1:17" ht="25" customHeight="1">
      <c r="A322" s="999" t="s">
        <v>331</v>
      </c>
      <c r="B322" s="1000"/>
      <c r="C322" s="1000"/>
      <c r="D322" s="1000"/>
      <c r="E322" s="1000"/>
      <c r="F322" s="1001"/>
      <c r="G322" s="384" t="s">
        <v>638</v>
      </c>
      <c r="H322" s="381"/>
      <c r="I322" s="381"/>
      <c r="J322" s="971" t="s">
        <v>281</v>
      </c>
      <c r="K322" s="1002"/>
      <c r="L322" s="1002"/>
      <c r="M322" s="1002"/>
      <c r="N322" s="1002"/>
      <c r="O322" s="1002"/>
      <c r="P322" s="1002"/>
      <c r="Q322" s="1003"/>
    </row>
    <row r="323" spans="1:17" ht="25" customHeight="1">
      <c r="A323" s="299"/>
      <c r="B323" s="560"/>
      <c r="C323" s="255"/>
      <c r="E323" s="328"/>
      <c r="F323" s="370"/>
      <c r="G323" s="740"/>
      <c r="H323" s="740"/>
      <c r="I323" s="740"/>
      <c r="J323" s="741"/>
      <c r="K323" s="741"/>
      <c r="L323" s="741"/>
      <c r="M323" s="741"/>
      <c r="N323" s="741"/>
      <c r="O323" s="741"/>
      <c r="P323" s="741"/>
      <c r="Q323" s="742"/>
    </row>
    <row r="324" spans="3:17" ht="25" customHeight="1">
      <c r="C324" s="255" t="s">
        <v>639</v>
      </c>
      <c r="E324" s="328"/>
      <c r="F324" s="370" t="s">
        <v>587</v>
      </c>
      <c r="G324" s="669">
        <v>6818005</v>
      </c>
      <c r="H324" s="740"/>
      <c r="I324" s="740"/>
      <c r="J324" s="741"/>
      <c r="K324" s="741"/>
      <c r="L324" s="741"/>
      <c r="M324" s="741"/>
      <c r="N324" s="741"/>
      <c r="O324" s="741"/>
      <c r="P324" s="741"/>
      <c r="Q324" s="742"/>
    </row>
    <row r="325" spans="1:17" ht="30" customHeight="1">
      <c r="A325" s="299"/>
      <c r="B325" s="560"/>
      <c r="C325" s="255" t="s">
        <v>640</v>
      </c>
      <c r="E325" s="328"/>
      <c r="F325" s="370" t="s">
        <v>102</v>
      </c>
      <c r="G325" s="669">
        <f>155896+27391+19539</f>
        <v>202826</v>
      </c>
      <c r="H325" s="883"/>
      <c r="I325" s="740"/>
      <c r="J325" s="969" t="s">
        <v>644</v>
      </c>
      <c r="K325" s="969"/>
      <c r="L325" s="969"/>
      <c r="M325" s="969"/>
      <c r="N325" s="969"/>
      <c r="O325" s="969"/>
      <c r="P325" s="969"/>
      <c r="Q325" s="970"/>
    </row>
    <row r="326" spans="1:17" ht="25" customHeight="1">
      <c r="A326" s="299"/>
      <c r="B326" s="560"/>
      <c r="C326" s="255" t="s">
        <v>641</v>
      </c>
      <c r="E326" s="328"/>
      <c r="F326" s="370" t="s">
        <v>102</v>
      </c>
      <c r="G326" s="905">
        <v>0</v>
      </c>
      <c r="H326" s="740"/>
      <c r="I326" s="740"/>
      <c r="J326" s="969" t="s">
        <v>642</v>
      </c>
      <c r="K326" s="969"/>
      <c r="L326" s="969"/>
      <c r="M326" s="969"/>
      <c r="N326" s="969"/>
      <c r="O326" s="969"/>
      <c r="P326" s="969"/>
      <c r="Q326" s="970"/>
    </row>
    <row r="327" spans="1:17" ht="25" customHeight="1">
      <c r="A327" s="299">
        <v>63</v>
      </c>
      <c r="B327" s="560"/>
      <c r="C327" s="255" t="s">
        <v>637</v>
      </c>
      <c r="D327" s="339"/>
      <c r="E327" s="328"/>
      <c r="F327" s="563" t="s">
        <v>173</v>
      </c>
      <c r="G327" s="669">
        <f>SUM(G324:G326)</f>
        <v>7020831</v>
      </c>
      <c r="H327" s="669"/>
      <c r="I327" s="550"/>
      <c r="J327" s="975"/>
      <c r="K327" s="975"/>
      <c r="L327" s="975"/>
      <c r="M327" s="975"/>
      <c r="N327" s="975"/>
      <c r="O327" s="975"/>
      <c r="P327" s="975"/>
      <c r="Q327" s="976"/>
    </row>
    <row r="328" spans="1:17" ht="15.5">
      <c r="A328" s="299"/>
      <c r="B328" s="314"/>
      <c r="C328" s="263"/>
      <c r="D328" s="246"/>
      <c r="E328" s="328"/>
      <c r="F328" s="317"/>
      <c r="G328" s="189"/>
      <c r="H328" s="665"/>
      <c r="I328" s="189"/>
      <c r="J328" s="189"/>
      <c r="K328" s="188"/>
      <c r="L328" s="188"/>
      <c r="M328" s="188"/>
      <c r="N328" s="188"/>
      <c r="O328" s="188"/>
      <c r="P328" s="188"/>
      <c r="Q328" s="372"/>
    </row>
    <row r="329" spans="1:17" ht="13.5" thickBot="1">
      <c r="A329" s="708"/>
      <c r="B329" s="709"/>
      <c r="C329" s="709"/>
      <c r="D329" s="709"/>
      <c r="E329" s="709"/>
      <c r="F329" s="710"/>
      <c r="G329" s="711"/>
      <c r="H329" s="711"/>
      <c r="I329" s="711"/>
      <c r="J329" s="711"/>
      <c r="K329" s="373"/>
      <c r="L329" s="373"/>
      <c r="M329" s="373"/>
      <c r="N329" s="373"/>
      <c r="O329" s="373"/>
      <c r="P329" s="373"/>
      <c r="Q329" s="379"/>
    </row>
    <row r="330" spans="1:17" ht="20.5" thickBot="1">
      <c r="A330" s="358" t="s">
        <v>430</v>
      </c>
      <c r="G330" s="186"/>
      <c r="H330" s="186"/>
      <c r="I330" s="186"/>
      <c r="J330" s="186"/>
      <c r="K330" s="186"/>
      <c r="L330" s="186"/>
      <c r="M330" s="186"/>
      <c r="N330" s="186"/>
      <c r="O330" s="186"/>
      <c r="P330" s="186"/>
      <c r="Q330" s="186"/>
    </row>
    <row r="331" spans="1:18" ht="61.5" customHeight="1">
      <c r="A331" s="999" t="s">
        <v>331</v>
      </c>
      <c r="B331" s="1000"/>
      <c r="C331" s="1000"/>
      <c r="D331" s="1000"/>
      <c r="E331" s="1000"/>
      <c r="F331" s="1001"/>
      <c r="G331" s="384" t="str">
        <f>+G314</f>
        <v>Form 1 or Company Records Amount</v>
      </c>
      <c r="H331" s="381" t="s">
        <v>411</v>
      </c>
      <c r="I331" s="381" t="s">
        <v>343</v>
      </c>
      <c r="J331" s="971" t="s">
        <v>281</v>
      </c>
      <c r="K331" s="1002"/>
      <c r="L331" s="1002"/>
      <c r="M331" s="1002"/>
      <c r="N331" s="1002"/>
      <c r="O331" s="1002"/>
      <c r="P331" s="1002"/>
      <c r="Q331" s="1003"/>
      <c r="R331" s="53"/>
    </row>
    <row r="332" spans="1:17" ht="15.5">
      <c r="A332" s="292"/>
      <c r="B332" s="282" t="s">
        <v>168</v>
      </c>
      <c r="C332" s="318"/>
      <c r="D332" s="272"/>
      <c r="E332" s="237"/>
      <c r="F332" s="293"/>
      <c r="G332" s="374"/>
      <c r="H332" s="188"/>
      <c r="I332" s="188"/>
      <c r="J332" s="974"/>
      <c r="K332" s="975"/>
      <c r="L332" s="975"/>
      <c r="M332" s="975"/>
      <c r="N332" s="975"/>
      <c r="O332" s="975"/>
      <c r="P332" s="975"/>
      <c r="Q332" s="976"/>
    </row>
    <row r="333" spans="1:19" ht="18">
      <c r="A333" s="299">
        <v>6</v>
      </c>
      <c r="B333" s="272"/>
      <c r="C333" s="263" t="s">
        <v>854</v>
      </c>
      <c r="D333" s="246"/>
      <c r="E333" s="328" t="s">
        <v>239</v>
      </c>
      <c r="F333" s="370" t="s">
        <v>584</v>
      </c>
      <c r="G333" s="862">
        <f>242990938-884123</f>
        <v>242106815</v>
      </c>
      <c r="H333" s="846">
        <v>0</v>
      </c>
      <c r="I333" s="669">
        <v>0</v>
      </c>
      <c r="J333" s="975" t="s">
        <v>830</v>
      </c>
      <c r="K333" s="975"/>
      <c r="L333" s="975"/>
      <c r="M333" s="975"/>
      <c r="N333" s="975"/>
      <c r="O333" s="975"/>
      <c r="P333" s="975"/>
      <c r="Q333" s="976"/>
      <c r="S333" s="861"/>
    </row>
    <row r="334" spans="1:17" ht="15.5">
      <c r="A334" s="299">
        <v>7</v>
      </c>
      <c r="B334" s="272"/>
      <c r="C334" s="263" t="s">
        <v>110</v>
      </c>
      <c r="D334" s="148"/>
      <c r="E334" s="328">
        <v>0</v>
      </c>
      <c r="F334" s="370" t="s">
        <v>691</v>
      </c>
      <c r="G334" s="840">
        <f>H292</f>
        <v>24107768</v>
      </c>
      <c r="H334" s="550">
        <v>0</v>
      </c>
      <c r="I334" s="550">
        <v>0</v>
      </c>
      <c r="J334" s="975" t="s">
        <v>579</v>
      </c>
      <c r="K334" s="975"/>
      <c r="L334" s="975"/>
      <c r="M334" s="975"/>
      <c r="N334" s="975"/>
      <c r="O334" s="975"/>
      <c r="P334" s="975"/>
      <c r="Q334" s="976"/>
    </row>
    <row r="335" spans="1:17" ht="15.5">
      <c r="A335" s="292"/>
      <c r="B335" s="282" t="s">
        <v>121</v>
      </c>
      <c r="C335" s="318"/>
      <c r="D335" s="148"/>
      <c r="E335" s="259"/>
      <c r="F335" s="300"/>
      <c r="G335" s="751"/>
      <c r="H335" s="752"/>
      <c r="I335" s="752"/>
      <c r="J335" s="975"/>
      <c r="K335" s="975"/>
      <c r="L335" s="975"/>
      <c r="M335" s="975"/>
      <c r="N335" s="975"/>
      <c r="O335" s="975"/>
      <c r="P335" s="975"/>
      <c r="Q335" s="976"/>
    </row>
    <row r="336" spans="1:17" ht="15.5">
      <c r="A336" s="299">
        <v>19</v>
      </c>
      <c r="B336" s="261"/>
      <c r="C336" s="263" t="s">
        <v>155</v>
      </c>
      <c r="D336" s="148"/>
      <c r="E336" s="328" t="s">
        <v>239</v>
      </c>
      <c r="F336" s="370" t="s">
        <v>83</v>
      </c>
      <c r="G336" s="840">
        <f>+G315</f>
        <v>61204607</v>
      </c>
      <c r="H336" s="752"/>
      <c r="I336" s="752"/>
      <c r="J336" s="975" t="s">
        <v>580</v>
      </c>
      <c r="K336" s="975"/>
      <c r="L336" s="975"/>
      <c r="M336" s="975"/>
      <c r="N336" s="975"/>
      <c r="O336" s="975"/>
      <c r="P336" s="975"/>
      <c r="Q336" s="976"/>
    </row>
    <row r="337" spans="1:17" ht="15.5">
      <c r="A337" s="299">
        <v>21</v>
      </c>
      <c r="B337" s="261"/>
      <c r="C337" s="263" t="s">
        <v>404</v>
      </c>
      <c r="D337" s="148"/>
      <c r="E337" s="328" t="s">
        <v>483</v>
      </c>
      <c r="F337" s="370"/>
      <c r="G337" s="753" t="s">
        <v>341</v>
      </c>
      <c r="H337" s="754" t="s">
        <v>341</v>
      </c>
      <c r="I337" s="754" t="s">
        <v>341</v>
      </c>
      <c r="J337" s="975" t="s">
        <v>340</v>
      </c>
      <c r="K337" s="975"/>
      <c r="L337" s="975"/>
      <c r="M337" s="975"/>
      <c r="N337" s="975"/>
      <c r="O337" s="975"/>
      <c r="P337" s="975"/>
      <c r="Q337" s="976"/>
    </row>
    <row r="338" spans="1:17" ht="15.5">
      <c r="A338" s="292">
        <v>24</v>
      </c>
      <c r="B338" s="272"/>
      <c r="C338" s="318" t="s">
        <v>117</v>
      </c>
      <c r="D338" s="272"/>
      <c r="E338" s="285" t="s">
        <v>206</v>
      </c>
      <c r="F338" s="495" t="s">
        <v>479</v>
      </c>
      <c r="G338" s="840">
        <f>+G334</f>
        <v>24107768</v>
      </c>
      <c r="H338" s="550">
        <v>0</v>
      </c>
      <c r="I338" s="550">
        <v>0</v>
      </c>
      <c r="J338" s="975" t="s">
        <v>581</v>
      </c>
      <c r="K338" s="975"/>
      <c r="L338" s="975"/>
      <c r="M338" s="975"/>
      <c r="N338" s="975"/>
      <c r="O338" s="975"/>
      <c r="P338" s="975"/>
      <c r="Q338" s="976"/>
    </row>
    <row r="339" spans="1:17" ht="15.5">
      <c r="A339" s="299"/>
      <c r="B339" s="282" t="s">
        <v>105</v>
      </c>
      <c r="C339" s="255"/>
      <c r="D339" s="256"/>
      <c r="E339" s="322"/>
      <c r="F339" s="289"/>
      <c r="G339" s="755"/>
      <c r="H339" s="752"/>
      <c r="I339" s="752"/>
      <c r="J339" s="188"/>
      <c r="K339" s="188"/>
      <c r="L339" s="188"/>
      <c r="M339" s="188"/>
      <c r="N339" s="188"/>
      <c r="O339" s="188"/>
      <c r="P339" s="188"/>
      <c r="Q339" s="372"/>
    </row>
    <row r="340" spans="1:17" ht="16" thickBot="1">
      <c r="A340" s="350">
        <v>30</v>
      </c>
      <c r="B340" s="351"/>
      <c r="C340" s="360" t="s">
        <v>183</v>
      </c>
      <c r="D340" s="352"/>
      <c r="E340" s="361" t="s">
        <v>178</v>
      </c>
      <c r="F340" s="371" t="s">
        <v>479</v>
      </c>
      <c r="G340" s="843">
        <f>H317</f>
        <v>18888289</v>
      </c>
      <c r="H340" s="841">
        <v>0</v>
      </c>
      <c r="I340" s="841">
        <v>0</v>
      </c>
      <c r="J340" s="981" t="s">
        <v>578</v>
      </c>
      <c r="K340" s="981"/>
      <c r="L340" s="981"/>
      <c r="M340" s="981"/>
      <c r="N340" s="981"/>
      <c r="O340" s="981"/>
      <c r="P340" s="981"/>
      <c r="Q340" s="982"/>
    </row>
    <row r="341" spans="7:17" ht="13">
      <c r="G341" s="186"/>
      <c r="H341" s="186"/>
      <c r="I341" s="186"/>
      <c r="J341" s="186"/>
      <c r="K341" s="186"/>
      <c r="L341" s="186"/>
      <c r="M341" s="186"/>
      <c r="N341" s="186"/>
      <c r="O341" s="186"/>
      <c r="P341" s="186"/>
      <c r="Q341" s="186"/>
    </row>
    <row r="342" spans="7:17" ht="13">
      <c r="G342" s="186"/>
      <c r="H342" s="186"/>
      <c r="I342" s="186"/>
      <c r="J342" s="186"/>
      <c r="K342" s="186"/>
      <c r="L342" s="186"/>
      <c r="M342" s="186"/>
      <c r="N342" s="186"/>
      <c r="O342" s="186"/>
      <c r="P342" s="186"/>
      <c r="Q342" s="186"/>
    </row>
    <row r="343" spans="1:17" ht="20.5" thickBot="1">
      <c r="A343" s="358" t="s">
        <v>419</v>
      </c>
      <c r="G343" s="186"/>
      <c r="H343" s="186"/>
      <c r="I343" s="186"/>
      <c r="J343" s="186"/>
      <c r="K343" s="186"/>
      <c r="L343" s="186"/>
      <c r="M343" s="186"/>
      <c r="N343" s="186"/>
      <c r="O343" s="186"/>
      <c r="P343" s="186"/>
      <c r="Q343" s="186"/>
    </row>
    <row r="344" spans="1:18" ht="60.75" customHeight="1">
      <c r="A344" s="999" t="s">
        <v>331</v>
      </c>
      <c r="B344" s="1000"/>
      <c r="C344" s="1000"/>
      <c r="D344" s="1000"/>
      <c r="E344" s="1000"/>
      <c r="F344" s="1001"/>
      <c r="G344" s="562" t="s">
        <v>457</v>
      </c>
      <c r="H344" s="381" t="s">
        <v>333</v>
      </c>
      <c r="I344" s="381"/>
      <c r="J344" s="971" t="s">
        <v>281</v>
      </c>
      <c r="K344" s="1002"/>
      <c r="L344" s="1002"/>
      <c r="M344" s="1002"/>
      <c r="N344" s="1002"/>
      <c r="O344" s="1002"/>
      <c r="P344" s="1002"/>
      <c r="Q344" s="1003"/>
      <c r="R344" s="53"/>
    </row>
    <row r="345" spans="1:17" ht="15.5">
      <c r="A345" s="299"/>
      <c r="B345" s="282" t="s">
        <v>89</v>
      </c>
      <c r="C345" s="246"/>
      <c r="D345" s="246"/>
      <c r="E345" s="298"/>
      <c r="F345" s="324"/>
      <c r="G345" s="188"/>
      <c r="H345" s="188"/>
      <c r="I345" s="188"/>
      <c r="J345" s="974"/>
      <c r="K345" s="975"/>
      <c r="L345" s="975"/>
      <c r="M345" s="975"/>
      <c r="N345" s="975"/>
      <c r="O345" s="975"/>
      <c r="P345" s="975"/>
      <c r="Q345" s="976"/>
    </row>
    <row r="346" spans="1:17" ht="16" thickBot="1">
      <c r="A346" s="350">
        <v>72</v>
      </c>
      <c r="B346" s="355"/>
      <c r="C346" s="356" t="s">
        <v>187</v>
      </c>
      <c r="D346" s="364"/>
      <c r="E346" s="365" t="s">
        <v>692</v>
      </c>
      <c r="F346" s="855" t="s">
        <v>479</v>
      </c>
      <c r="G346" s="847">
        <v>0</v>
      </c>
      <c r="H346" s="841">
        <v>0</v>
      </c>
      <c r="I346" s="436"/>
      <c r="J346" s="981" t="s">
        <v>582</v>
      </c>
      <c r="K346" s="981"/>
      <c r="L346" s="981"/>
      <c r="M346" s="981"/>
      <c r="N346" s="981"/>
      <c r="O346" s="981"/>
      <c r="P346" s="981"/>
      <c r="Q346" s="982"/>
    </row>
    <row r="347" spans="7:17" ht="13">
      <c r="G347" s="186"/>
      <c r="H347" s="186"/>
      <c r="I347" s="186"/>
      <c r="J347" s="186"/>
      <c r="K347" s="186"/>
      <c r="L347" s="186"/>
      <c r="M347" s="186"/>
      <c r="N347" s="186"/>
      <c r="O347" s="186"/>
      <c r="P347" s="186"/>
      <c r="Q347" s="186"/>
    </row>
    <row r="348" spans="7:17" ht="13">
      <c r="G348" s="186"/>
      <c r="H348" s="186"/>
      <c r="I348" s="186"/>
      <c r="J348" s="186"/>
      <c r="K348" s="186"/>
      <c r="L348" s="186"/>
      <c r="M348" s="186"/>
      <c r="N348" s="186"/>
      <c r="O348" s="186"/>
      <c r="P348" s="186"/>
      <c r="Q348" s="186"/>
    </row>
    <row r="349" spans="1:17" ht="20.5" thickBot="1">
      <c r="A349" s="358" t="s">
        <v>420</v>
      </c>
      <c r="G349" s="186"/>
      <c r="H349" s="186"/>
      <c r="I349" s="186"/>
      <c r="J349" s="186"/>
      <c r="K349" s="186"/>
      <c r="L349" s="186"/>
      <c r="M349" s="186"/>
      <c r="N349" s="186"/>
      <c r="O349" s="186"/>
      <c r="P349" s="186"/>
      <c r="Q349" s="186"/>
    </row>
    <row r="350" spans="1:18" ht="55.5" customHeight="1">
      <c r="A350" s="999" t="s">
        <v>331</v>
      </c>
      <c r="B350" s="1000"/>
      <c r="C350" s="1000"/>
      <c r="D350" s="1000"/>
      <c r="E350" s="1000"/>
      <c r="F350" s="1001"/>
      <c r="G350" s="562" t="s">
        <v>457</v>
      </c>
      <c r="H350" s="381" t="s">
        <v>342</v>
      </c>
      <c r="I350" s="381" t="s">
        <v>410</v>
      </c>
      <c r="J350" s="971" t="s">
        <v>281</v>
      </c>
      <c r="K350" s="1002"/>
      <c r="L350" s="1002"/>
      <c r="M350" s="1002"/>
      <c r="N350" s="1002"/>
      <c r="O350" s="1002"/>
      <c r="P350" s="1002"/>
      <c r="Q350" s="1003"/>
      <c r="R350" s="53"/>
    </row>
    <row r="351" spans="1:17" ht="15.5">
      <c r="A351" s="299"/>
      <c r="B351" s="282" t="s">
        <v>89</v>
      </c>
      <c r="C351" s="246"/>
      <c r="D351" s="246"/>
      <c r="E351" s="298"/>
      <c r="F351" s="324"/>
      <c r="G351" s="188"/>
      <c r="H351" s="188"/>
      <c r="I351" s="188"/>
      <c r="J351" s="188"/>
      <c r="K351" s="188"/>
      <c r="L351" s="188"/>
      <c r="M351" s="188"/>
      <c r="N351" s="188"/>
      <c r="O351" s="188"/>
      <c r="P351" s="188"/>
      <c r="Q351" s="372"/>
    </row>
    <row r="352" spans="1:17" ht="15.5">
      <c r="A352" s="299">
        <v>70</v>
      </c>
      <c r="B352" s="280"/>
      <c r="C352" s="257" t="s">
        <v>209</v>
      </c>
      <c r="D352" s="256"/>
      <c r="E352" s="328" t="s">
        <v>693</v>
      </c>
      <c r="F352" s="370" t="s">
        <v>674</v>
      </c>
      <c r="G352" s="669">
        <v>576126</v>
      </c>
      <c r="H352" s="756"/>
      <c r="I352" s="419"/>
      <c r="J352" s="420"/>
      <c r="K352" s="420"/>
      <c r="L352" s="420"/>
      <c r="M352" s="420"/>
      <c r="N352" s="420"/>
      <c r="O352" s="420"/>
      <c r="P352" s="420"/>
      <c r="Q352" s="421"/>
    </row>
    <row r="353" spans="1:17" ht="15.5">
      <c r="A353" s="299"/>
      <c r="B353" s="282" t="s">
        <v>88</v>
      </c>
      <c r="C353" s="236"/>
      <c r="D353" s="246"/>
      <c r="E353" s="254"/>
      <c r="F353" s="296"/>
      <c r="G353" s="748"/>
      <c r="H353" s="748"/>
      <c r="I353" s="232"/>
      <c r="J353" s="188"/>
      <c r="K353" s="188"/>
      <c r="L353" s="188"/>
      <c r="M353" s="188"/>
      <c r="N353" s="188"/>
      <c r="O353" s="188"/>
      <c r="P353" s="188"/>
      <c r="Q353" s="372"/>
    </row>
    <row r="354" spans="1:18" ht="18.5" thickBot="1">
      <c r="A354" s="350">
        <v>76</v>
      </c>
      <c r="B354" s="359"/>
      <c r="C354" s="360" t="s">
        <v>850</v>
      </c>
      <c r="D354" s="363"/>
      <c r="E354" s="365" t="s">
        <v>847</v>
      </c>
      <c r="F354" s="362"/>
      <c r="G354" s="841">
        <v>0</v>
      </c>
      <c r="H354" s="952">
        <v>269169</v>
      </c>
      <c r="I354" s="841"/>
      <c r="J354" s="981"/>
      <c r="K354" s="981"/>
      <c r="L354" s="981"/>
      <c r="M354" s="981"/>
      <c r="N354" s="981"/>
      <c r="O354" s="981"/>
      <c r="P354" s="981"/>
      <c r="Q354" s="982"/>
      <c r="R354" s="2"/>
    </row>
    <row r="355" spans="7:17" ht="13">
      <c r="G355" s="186"/>
      <c r="H355" s="186"/>
      <c r="I355" s="186"/>
      <c r="J355" s="186"/>
      <c r="K355" s="186"/>
      <c r="L355" s="186"/>
      <c r="M355" s="186"/>
      <c r="N355" s="186"/>
      <c r="O355" s="186"/>
      <c r="P355" s="186"/>
      <c r="Q355" s="186"/>
    </row>
    <row r="356" spans="7:17" ht="13">
      <c r="G356" s="186"/>
      <c r="H356" s="186"/>
      <c r="I356" s="186"/>
      <c r="J356" s="186"/>
      <c r="K356" s="186"/>
      <c r="L356" s="186"/>
      <c r="M356" s="186"/>
      <c r="N356" s="186"/>
      <c r="O356" s="186"/>
      <c r="P356" s="186"/>
      <c r="Q356" s="186"/>
    </row>
    <row r="357" spans="1:17" ht="20.5" thickBot="1">
      <c r="A357" s="358" t="s">
        <v>421</v>
      </c>
      <c r="G357" s="186"/>
      <c r="H357" s="186"/>
      <c r="I357" s="186"/>
      <c r="J357" s="186"/>
      <c r="K357" s="186"/>
      <c r="L357" s="186"/>
      <c r="M357" s="186"/>
      <c r="N357" s="186"/>
      <c r="O357" s="186"/>
      <c r="P357" s="186"/>
      <c r="Q357" s="186"/>
    </row>
    <row r="358" spans="1:18" ht="53.25" customHeight="1">
      <c r="A358" s="999" t="s">
        <v>331</v>
      </c>
      <c r="B358" s="1000"/>
      <c r="C358" s="1000"/>
      <c r="D358" s="1000"/>
      <c r="E358" s="1000"/>
      <c r="F358" s="1001"/>
      <c r="G358" s="562" t="s">
        <v>457</v>
      </c>
      <c r="H358" s="381" t="s">
        <v>345</v>
      </c>
      <c r="I358" s="381" t="s">
        <v>412</v>
      </c>
      <c r="J358" s="971" t="s">
        <v>281</v>
      </c>
      <c r="K358" s="1002"/>
      <c r="L358" s="1002"/>
      <c r="M358" s="1002"/>
      <c r="N358" s="1002"/>
      <c r="O358" s="1002"/>
      <c r="P358" s="1002"/>
      <c r="Q358" s="1003"/>
      <c r="R358" s="53"/>
    </row>
    <row r="359" spans="1:17" ht="15.5">
      <c r="A359" s="299"/>
      <c r="B359" s="282" t="s">
        <v>88</v>
      </c>
      <c r="C359" s="236"/>
      <c r="D359" s="246"/>
      <c r="E359" s="254"/>
      <c r="F359" s="296"/>
      <c r="G359" s="188"/>
      <c r="H359" s="188"/>
      <c r="I359" s="188"/>
      <c r="J359" s="188"/>
      <c r="K359" s="188"/>
      <c r="L359" s="188"/>
      <c r="M359" s="188"/>
      <c r="N359" s="188"/>
      <c r="O359" s="188"/>
      <c r="P359" s="188"/>
      <c r="Q359" s="372"/>
    </row>
    <row r="360" spans="1:17" ht="16" thickBot="1">
      <c r="A360" s="366">
        <v>80</v>
      </c>
      <c r="B360" s="359"/>
      <c r="C360" s="360" t="s">
        <v>211</v>
      </c>
      <c r="D360" s="357"/>
      <c r="E360" s="363" t="s">
        <v>694</v>
      </c>
      <c r="F360" s="371" t="s">
        <v>675</v>
      </c>
      <c r="G360" s="842">
        <v>342379</v>
      </c>
      <c r="H360" s="839">
        <v>0</v>
      </c>
      <c r="I360" s="839">
        <f>+G360-H360</f>
        <v>342379</v>
      </c>
      <c r="J360" s="1004" t="s">
        <v>449</v>
      </c>
      <c r="K360" s="1004"/>
      <c r="L360" s="1004"/>
      <c r="M360" s="1004"/>
      <c r="N360" s="1004"/>
      <c r="O360" s="1004"/>
      <c r="P360" s="1004"/>
      <c r="Q360" s="1005"/>
    </row>
    <row r="361" spans="1:17" ht="15.5">
      <c r="A361" s="261"/>
      <c r="B361" s="314"/>
      <c r="C361" s="263"/>
      <c r="D361" s="246"/>
      <c r="E361" s="245"/>
      <c r="F361" s="263"/>
      <c r="G361" s="232"/>
      <c r="H361" s="232"/>
      <c r="I361" s="232"/>
      <c r="J361" s="377"/>
      <c r="K361" s="375"/>
      <c r="L361" s="375"/>
      <c r="M361" s="375"/>
      <c r="N361" s="375"/>
      <c r="O361" s="375"/>
      <c r="P361" s="375"/>
      <c r="Q361" s="375"/>
    </row>
    <row r="362" spans="7:17" ht="13">
      <c r="G362" s="186"/>
      <c r="H362" s="186"/>
      <c r="I362" s="186"/>
      <c r="J362" s="186"/>
      <c r="K362" s="186"/>
      <c r="L362" s="186"/>
      <c r="M362" s="186"/>
      <c r="N362" s="186"/>
      <c r="O362" s="186"/>
      <c r="P362" s="186"/>
      <c r="Q362" s="186"/>
    </row>
    <row r="363" spans="1:17" ht="20.5" thickBot="1">
      <c r="A363" s="358" t="s">
        <v>334</v>
      </c>
      <c r="G363" s="186"/>
      <c r="H363" s="186"/>
      <c r="I363" s="186"/>
      <c r="J363" s="186"/>
      <c r="K363" s="186"/>
      <c r="L363" s="186"/>
      <c r="M363" s="186"/>
      <c r="N363" s="186"/>
      <c r="O363" s="186"/>
      <c r="P363" s="186"/>
      <c r="Q363" s="186"/>
    </row>
    <row r="364" spans="1:17" ht="18">
      <c r="A364" s="999" t="s">
        <v>331</v>
      </c>
      <c r="B364" s="1000"/>
      <c r="C364" s="1000"/>
      <c r="D364" s="1000"/>
      <c r="E364" s="1000"/>
      <c r="F364" s="1000"/>
      <c r="G364" s="384" t="s">
        <v>349</v>
      </c>
      <c r="H364" s="381" t="s">
        <v>350</v>
      </c>
      <c r="I364" s="381" t="s">
        <v>351</v>
      </c>
      <c r="J364" s="381" t="s">
        <v>352</v>
      </c>
      <c r="K364" s="381" t="s">
        <v>353</v>
      </c>
      <c r="L364" s="971" t="s">
        <v>281</v>
      </c>
      <c r="M364" s="1002"/>
      <c r="N364" s="1002"/>
      <c r="O364" s="1002"/>
      <c r="P364" s="1002"/>
      <c r="Q364" s="1003"/>
    </row>
    <row r="365" spans="1:17" ht="15.5">
      <c r="A365" s="290" t="s">
        <v>69</v>
      </c>
      <c r="B365" s="271" t="s">
        <v>138</v>
      </c>
      <c r="C365" s="148"/>
      <c r="D365" s="148"/>
      <c r="E365" s="254"/>
      <c r="F365" s="252"/>
      <c r="G365" s="374"/>
      <c r="H365" s="188"/>
      <c r="I365" s="188"/>
      <c r="J365" s="188"/>
      <c r="K365" s="188"/>
      <c r="L365" s="188"/>
      <c r="M365" s="188"/>
      <c r="N365" s="188"/>
      <c r="O365" s="188"/>
      <c r="P365" s="188"/>
      <c r="Q365" s="372"/>
    </row>
    <row r="366" spans="1:17" ht="15.5">
      <c r="A366" s="290"/>
      <c r="B366" s="271"/>
      <c r="C366" s="148"/>
      <c r="D366" s="148"/>
      <c r="E366" s="254"/>
      <c r="F366" s="252"/>
      <c r="G366" s="376" t="s">
        <v>453</v>
      </c>
      <c r="H366" s="232" t="s">
        <v>346</v>
      </c>
      <c r="I366" s="232" t="s">
        <v>346</v>
      </c>
      <c r="J366" s="232" t="s">
        <v>346</v>
      </c>
      <c r="K366" s="232" t="s">
        <v>346</v>
      </c>
      <c r="L366" s="974" t="s">
        <v>348</v>
      </c>
      <c r="M366" s="1006"/>
      <c r="N366" s="1006"/>
      <c r="O366" s="1006"/>
      <c r="P366" s="1006"/>
      <c r="Q366" s="1007"/>
    </row>
    <row r="367" spans="1:17" ht="16" thickBot="1">
      <c r="A367" s="366">
        <v>128</v>
      </c>
      <c r="B367" s="351"/>
      <c r="C367" s="367" t="s">
        <v>135</v>
      </c>
      <c r="D367" s="368"/>
      <c r="E367" s="353" t="s">
        <v>213</v>
      </c>
      <c r="F367" s="856" t="s">
        <v>316</v>
      </c>
      <c r="G367" s="553">
        <v>0.099900000000000003</v>
      </c>
      <c r="H367" s="436" t="s">
        <v>347</v>
      </c>
      <c r="I367" s="436" t="s">
        <v>347</v>
      </c>
      <c r="J367" s="436" t="s">
        <v>347</v>
      </c>
      <c r="K367" s="436" t="s">
        <v>347</v>
      </c>
      <c r="L367" s="981" t="s">
        <v>583</v>
      </c>
      <c r="M367" s="1008"/>
      <c r="N367" s="1008"/>
      <c r="O367" s="1008"/>
      <c r="P367" s="1008"/>
      <c r="Q367" s="1009"/>
    </row>
    <row r="368" spans="7:17" ht="13">
      <c r="G368" s="186"/>
      <c r="H368" s="186"/>
      <c r="I368" s="186"/>
      <c r="J368" s="186"/>
      <c r="K368" s="186"/>
      <c r="L368" s="186"/>
      <c r="M368" s="186"/>
      <c r="N368" s="186"/>
      <c r="O368" s="186"/>
      <c r="P368" s="186"/>
      <c r="Q368" s="186"/>
    </row>
    <row r="369" spans="7:17" ht="13">
      <c r="G369" s="186"/>
      <c r="H369" s="186"/>
      <c r="I369" s="186"/>
      <c r="J369" s="186"/>
      <c r="K369" s="186"/>
      <c r="L369" s="186"/>
      <c r="M369" s="186"/>
      <c r="N369" s="186"/>
      <c r="O369" s="186"/>
      <c r="P369" s="186"/>
      <c r="Q369" s="186"/>
    </row>
    <row r="370" spans="1:17" ht="20.5" thickBot="1">
      <c r="A370" s="358" t="s">
        <v>422</v>
      </c>
      <c r="G370" s="186"/>
      <c r="H370" s="186"/>
      <c r="I370" s="186"/>
      <c r="J370" s="186"/>
      <c r="K370" s="186"/>
      <c r="L370" s="186"/>
      <c r="M370" s="186"/>
      <c r="N370" s="186"/>
      <c r="O370" s="186"/>
      <c r="P370" s="186"/>
      <c r="Q370" s="186"/>
    </row>
    <row r="371" spans="1:18" ht="58.5" customHeight="1">
      <c r="A371" s="999" t="s">
        <v>331</v>
      </c>
      <c r="B371" s="1000"/>
      <c r="C371" s="1000"/>
      <c r="D371" s="1000"/>
      <c r="E371" s="1000"/>
      <c r="F371" s="1001"/>
      <c r="G371" s="562" t="s">
        <v>457</v>
      </c>
      <c r="H371" s="381" t="s">
        <v>354</v>
      </c>
      <c r="I371" s="381" t="s">
        <v>355</v>
      </c>
      <c r="J371" s="971" t="s">
        <v>281</v>
      </c>
      <c r="K371" s="1002"/>
      <c r="L371" s="1002"/>
      <c r="M371" s="1002"/>
      <c r="N371" s="1002"/>
      <c r="O371" s="1002"/>
      <c r="P371" s="1002"/>
      <c r="Q371" s="1003"/>
      <c r="R371" s="53"/>
    </row>
    <row r="372" spans="1:17" ht="15.5">
      <c r="A372" s="299"/>
      <c r="B372" s="282" t="s">
        <v>88</v>
      </c>
      <c r="C372" s="236"/>
      <c r="D372" s="246"/>
      <c r="E372" s="254"/>
      <c r="F372" s="296"/>
      <c r="G372" s="188"/>
      <c r="H372" s="188"/>
      <c r="I372" s="188"/>
      <c r="J372" s="188"/>
      <c r="K372" s="188"/>
      <c r="L372" s="188"/>
      <c r="M372" s="188"/>
      <c r="N372" s="188"/>
      <c r="O372" s="188"/>
      <c r="P372" s="188"/>
      <c r="Q372" s="372"/>
    </row>
    <row r="373" spans="1:17" ht="16" thickBot="1">
      <c r="A373" s="366">
        <v>77</v>
      </c>
      <c r="B373" s="359"/>
      <c r="C373" s="360" t="s">
        <v>211</v>
      </c>
      <c r="D373" s="369"/>
      <c r="E373" s="363" t="s">
        <v>695</v>
      </c>
      <c r="F373" s="371" t="s">
        <v>675</v>
      </c>
      <c r="G373" s="843">
        <f>+G360</f>
        <v>342379</v>
      </c>
      <c r="H373" s="843">
        <v>0</v>
      </c>
      <c r="I373" s="843">
        <f>+G373-H373</f>
        <v>342379</v>
      </c>
      <c r="J373" s="980" t="str">
        <f>+J360</f>
        <v>None</v>
      </c>
      <c r="K373" s="981"/>
      <c r="L373" s="981"/>
      <c r="M373" s="981"/>
      <c r="N373" s="981"/>
      <c r="O373" s="981"/>
      <c r="P373" s="981"/>
      <c r="Q373" s="982"/>
    </row>
    <row r="374" spans="7:17" ht="13">
      <c r="G374" s="186"/>
      <c r="H374" s="186"/>
      <c r="I374" s="186"/>
      <c r="J374" s="186"/>
      <c r="K374" s="186"/>
      <c r="L374" s="186"/>
      <c r="M374" s="186"/>
      <c r="N374" s="186"/>
      <c r="O374" s="186"/>
      <c r="P374" s="186"/>
      <c r="Q374" s="186"/>
    </row>
    <row r="375" spans="7:17" ht="13">
      <c r="G375" s="186"/>
      <c r="H375" s="186"/>
      <c r="I375" s="186"/>
      <c r="J375" s="186"/>
      <c r="K375" s="186"/>
      <c r="L375" s="186"/>
      <c r="M375" s="186"/>
      <c r="N375" s="186"/>
      <c r="O375" s="186"/>
      <c r="P375" s="186"/>
      <c r="Q375" s="186"/>
    </row>
    <row r="376" spans="1:17" ht="20.5" thickBot="1">
      <c r="A376" s="358" t="s">
        <v>424</v>
      </c>
      <c r="G376" s="186"/>
      <c r="H376" s="186"/>
      <c r="I376" s="186"/>
      <c r="J376" s="186"/>
      <c r="K376" s="186"/>
      <c r="L376" s="186"/>
      <c r="M376" s="186"/>
      <c r="N376" s="186"/>
      <c r="O376" s="186"/>
      <c r="P376" s="186"/>
      <c r="Q376" s="186"/>
    </row>
    <row r="377" spans="1:17" ht="40">
      <c r="A377" s="999" t="s">
        <v>331</v>
      </c>
      <c r="B377" s="1000"/>
      <c r="C377" s="1000"/>
      <c r="D377" s="1000"/>
      <c r="E377" s="1000"/>
      <c r="F377" s="1001"/>
      <c r="G377" s="384" t="str">
        <f>+C379</f>
        <v>Excluded Transmission Facilities</v>
      </c>
      <c r="H377" s="971" t="s">
        <v>357</v>
      </c>
      <c r="I377" s="972"/>
      <c r="J377" s="972"/>
      <c r="K377" s="972"/>
      <c r="L377" s="972"/>
      <c r="M377" s="972"/>
      <c r="N377" s="972"/>
      <c r="O377" s="972"/>
      <c r="P377" s="972"/>
      <c r="Q377" s="973"/>
    </row>
    <row r="378" spans="1:17" ht="18">
      <c r="A378" s="333"/>
      <c r="B378" s="255" t="s">
        <v>91</v>
      </c>
      <c r="C378" s="277"/>
      <c r="D378" s="278"/>
      <c r="E378" s="279"/>
      <c r="F378" s="334"/>
      <c r="G378" s="374"/>
      <c r="H378" s="188"/>
      <c r="I378" s="188"/>
      <c r="J378" s="188"/>
      <c r="K378" s="188"/>
      <c r="L378" s="188"/>
      <c r="M378" s="188"/>
      <c r="N378" s="188"/>
      <c r="O378" s="188"/>
      <c r="P378" s="188"/>
      <c r="Q378" s="372"/>
    </row>
    <row r="379" spans="1:17" ht="18">
      <c r="A379" s="299">
        <v>148</v>
      </c>
      <c r="B379" s="280"/>
      <c r="C379" s="257" t="s">
        <v>92</v>
      </c>
      <c r="D379" s="278"/>
      <c r="E379" s="259" t="s">
        <v>696</v>
      </c>
      <c r="F379" s="563" t="s">
        <v>479</v>
      </c>
      <c r="G379" s="849">
        <f>I315</f>
        <v>8388475</v>
      </c>
      <c r="H379" s="983"/>
      <c r="I379" s="983"/>
      <c r="J379" s="983"/>
      <c r="K379" s="983"/>
      <c r="L379" s="983"/>
      <c r="M379" s="983"/>
      <c r="N379" s="983"/>
      <c r="O379" s="983"/>
      <c r="P379" s="983"/>
      <c r="Q379" s="984"/>
    </row>
    <row r="380" spans="1:17" ht="18">
      <c r="A380" s="299"/>
      <c r="B380" s="280"/>
      <c r="C380" s="257"/>
      <c r="D380" s="278"/>
      <c r="E380" s="259"/>
      <c r="F380" s="300"/>
      <c r="G380" s="374"/>
      <c r="H380" s="188"/>
      <c r="I380" s="188"/>
      <c r="J380" s="188"/>
      <c r="K380" s="188"/>
      <c r="L380" s="188"/>
      <c r="M380" s="188"/>
      <c r="N380" s="188"/>
      <c r="O380" s="232"/>
      <c r="P380" s="188"/>
      <c r="Q380" s="372"/>
    </row>
    <row r="381" spans="1:17" ht="18">
      <c r="A381" s="299"/>
      <c r="B381" s="280"/>
      <c r="C381" s="257"/>
      <c r="D381" s="278"/>
      <c r="E381" s="259"/>
      <c r="F381" s="300"/>
      <c r="G381" s="376" t="s">
        <v>356</v>
      </c>
      <c r="H381" s="974" t="s">
        <v>449</v>
      </c>
      <c r="I381" s="975"/>
      <c r="J381" s="975"/>
      <c r="K381" s="975"/>
      <c r="L381" s="975"/>
      <c r="M381" s="975"/>
      <c r="N381" s="975"/>
      <c r="O381" s="975"/>
      <c r="P381" s="975"/>
      <c r="Q381" s="976"/>
    </row>
    <row r="382" spans="1:17" ht="18">
      <c r="A382" s="299"/>
      <c r="B382" s="280"/>
      <c r="C382" s="257"/>
      <c r="D382" s="278"/>
      <c r="E382" s="259"/>
      <c r="F382" s="300"/>
      <c r="G382" s="376"/>
      <c r="H382" s="974"/>
      <c r="I382" s="975"/>
      <c r="J382" s="975"/>
      <c r="K382" s="975"/>
      <c r="L382" s="975"/>
      <c r="M382" s="975"/>
      <c r="N382" s="975"/>
      <c r="O382" s="975"/>
      <c r="P382" s="975"/>
      <c r="Q382" s="976"/>
    </row>
    <row r="383" spans="1:17" ht="18">
      <c r="A383" s="299"/>
      <c r="B383" s="280"/>
      <c r="C383" s="257"/>
      <c r="D383" s="278"/>
      <c r="E383" s="259"/>
      <c r="F383" s="300"/>
      <c r="G383" s="376"/>
      <c r="H383" s="974"/>
      <c r="I383" s="975"/>
      <c r="J383" s="975"/>
      <c r="K383" s="975"/>
      <c r="L383" s="975"/>
      <c r="M383" s="975"/>
      <c r="N383" s="975"/>
      <c r="O383" s="975"/>
      <c r="P383" s="975"/>
      <c r="Q383" s="976"/>
    </row>
    <row r="384" spans="1:17" ht="13">
      <c r="A384" s="217"/>
      <c r="B384" s="218"/>
      <c r="C384" s="218"/>
      <c r="D384" s="218"/>
      <c r="E384" s="218"/>
      <c r="F384" s="219"/>
      <c r="G384" s="376"/>
      <c r="H384" s="974"/>
      <c r="I384" s="975"/>
      <c r="J384" s="975"/>
      <c r="K384" s="975"/>
      <c r="L384" s="975"/>
      <c r="M384" s="975"/>
      <c r="N384" s="975"/>
      <c r="O384" s="975"/>
      <c r="P384" s="975"/>
      <c r="Q384" s="976"/>
    </row>
    <row r="385" spans="1:17" ht="13">
      <c r="A385" s="217"/>
      <c r="B385" s="218"/>
      <c r="C385" s="218"/>
      <c r="D385" s="218"/>
      <c r="E385" s="218"/>
      <c r="F385" s="219"/>
      <c r="G385" s="376"/>
      <c r="H385" s="974"/>
      <c r="I385" s="975"/>
      <c r="J385" s="975"/>
      <c r="K385" s="975"/>
      <c r="L385" s="975"/>
      <c r="M385" s="975"/>
      <c r="N385" s="975"/>
      <c r="O385" s="975"/>
      <c r="P385" s="975"/>
      <c r="Q385" s="976"/>
    </row>
    <row r="386" spans="1:17" ht="13">
      <c r="A386" s="217"/>
      <c r="B386" s="218"/>
      <c r="C386" s="218"/>
      <c r="D386" s="218"/>
      <c r="E386" s="218"/>
      <c r="F386" s="219"/>
      <c r="G386" s="376"/>
      <c r="H386" s="974"/>
      <c r="I386" s="975"/>
      <c r="J386" s="975"/>
      <c r="K386" s="975"/>
      <c r="L386" s="975"/>
      <c r="M386" s="975"/>
      <c r="N386" s="975"/>
      <c r="O386" s="975"/>
      <c r="P386" s="975"/>
      <c r="Q386" s="976"/>
    </row>
    <row r="387" spans="1:17" ht="13.5" thickBot="1">
      <c r="A387" s="220"/>
      <c r="B387" s="221"/>
      <c r="C387" s="221"/>
      <c r="D387" s="221"/>
      <c r="E387" s="221"/>
      <c r="F387" s="222"/>
      <c r="G387" s="378"/>
      <c r="H387" s="373"/>
      <c r="I387" s="373"/>
      <c r="J387" s="373"/>
      <c r="K387" s="385" t="s">
        <v>358</v>
      </c>
      <c r="L387" s="373"/>
      <c r="M387" s="373"/>
      <c r="N387" s="373"/>
      <c r="O387" s="373"/>
      <c r="P387" s="373"/>
      <c r="Q387" s="379"/>
    </row>
    <row r="388" spans="1:17" ht="13">
      <c r="A388" s="218"/>
      <c r="B388" s="218"/>
      <c r="C388" s="218"/>
      <c r="D388" s="218"/>
      <c r="E388" s="218"/>
      <c r="F388" s="218"/>
      <c r="G388" s="188"/>
      <c r="H388" s="188"/>
      <c r="I388" s="188"/>
      <c r="J388" s="188"/>
      <c r="K388" s="190"/>
      <c r="L388" s="188"/>
      <c r="M388" s="188"/>
      <c r="N388" s="188"/>
      <c r="O388" s="188"/>
      <c r="P388" s="188"/>
      <c r="Q388" s="188"/>
    </row>
    <row r="389" spans="1:17" ht="13">
      <c r="A389" s="218"/>
      <c r="B389" s="218"/>
      <c r="C389" s="218"/>
      <c r="D389" s="218"/>
      <c r="E389" s="218"/>
      <c r="F389" s="218"/>
      <c r="G389" s="188"/>
      <c r="H389" s="188"/>
      <c r="I389" s="188"/>
      <c r="J389" s="188"/>
      <c r="K389" s="190"/>
      <c r="L389" s="188"/>
      <c r="M389" s="188"/>
      <c r="N389" s="188"/>
      <c r="O389" s="188"/>
      <c r="P389" s="188"/>
      <c r="Q389" s="188"/>
    </row>
    <row r="390" spans="1:17" ht="20.5" thickBot="1">
      <c r="A390" s="358" t="s">
        <v>425</v>
      </c>
      <c r="G390" s="186"/>
      <c r="H390" s="186"/>
      <c r="I390" s="186"/>
      <c r="J390" s="186"/>
      <c r="K390" s="186"/>
      <c r="L390" s="186"/>
      <c r="M390" s="186"/>
      <c r="N390" s="186"/>
      <c r="O390" s="186"/>
      <c r="P390" s="186"/>
      <c r="Q390" s="186"/>
    </row>
    <row r="391" spans="1:17" ht="27">
      <c r="A391" s="999" t="s">
        <v>331</v>
      </c>
      <c r="B391" s="1000"/>
      <c r="C391" s="1000"/>
      <c r="D391" s="1000"/>
      <c r="E391" s="1000"/>
      <c r="F391" s="1001"/>
      <c r="G391" s="384" t="str">
        <f>+C393</f>
        <v>Outstanding Network Credits</v>
      </c>
      <c r="H391" s="971" t="s">
        <v>360</v>
      </c>
      <c r="I391" s="972"/>
      <c r="J391" s="972"/>
      <c r="K391" s="972"/>
      <c r="L391" s="972"/>
      <c r="M391" s="972"/>
      <c r="N391" s="972"/>
      <c r="O391" s="972"/>
      <c r="P391" s="972"/>
      <c r="Q391" s="973"/>
    </row>
    <row r="392" spans="1:17" ht="15.5">
      <c r="A392" s="320"/>
      <c r="B392" s="255" t="s">
        <v>317</v>
      </c>
      <c r="C392" s="321"/>
      <c r="D392" s="262"/>
      <c r="E392" s="322"/>
      <c r="F392" s="289"/>
      <c r="G392" s="374"/>
      <c r="H392" s="188"/>
      <c r="I392" s="188"/>
      <c r="J392" s="188"/>
      <c r="K392" s="188"/>
      <c r="L392" s="188"/>
      <c r="M392" s="188"/>
      <c r="N392" s="188"/>
      <c r="O392" s="188"/>
      <c r="P392" s="188"/>
      <c r="Q392" s="372"/>
    </row>
    <row r="393" spans="1:17" ht="15.5">
      <c r="A393" s="299">
        <v>55</v>
      </c>
      <c r="B393" s="280"/>
      <c r="C393" s="263" t="s">
        <v>318</v>
      </c>
      <c r="D393" s="280"/>
      <c r="E393" s="328" t="s">
        <v>697</v>
      </c>
      <c r="F393" s="370" t="s">
        <v>320</v>
      </c>
      <c r="G393" s="376">
        <v>0</v>
      </c>
      <c r="H393" s="974" t="s">
        <v>359</v>
      </c>
      <c r="I393" s="975"/>
      <c r="J393" s="975"/>
      <c r="K393" s="975"/>
      <c r="L393" s="975"/>
      <c r="M393" s="975"/>
      <c r="N393" s="975"/>
      <c r="O393" s="975"/>
      <c r="P393" s="975"/>
      <c r="Q393" s="976"/>
    </row>
    <row r="394" spans="1:17" ht="15.5">
      <c r="A394" s="299"/>
      <c r="B394" s="280"/>
      <c r="C394" s="280"/>
      <c r="D394" s="280"/>
      <c r="E394" s="328"/>
      <c r="F394" s="370"/>
      <c r="G394" s="374"/>
      <c r="H394" s="188"/>
      <c r="I394" s="188"/>
      <c r="J394" s="188"/>
      <c r="K394" s="188"/>
      <c r="L394" s="188"/>
      <c r="M394" s="188"/>
      <c r="N394" s="188"/>
      <c r="O394" s="232"/>
      <c r="P394" s="188"/>
      <c r="Q394" s="372"/>
    </row>
    <row r="395" spans="1:17" ht="15.5">
      <c r="A395" s="299"/>
      <c r="B395" s="280"/>
      <c r="C395" s="280"/>
      <c r="D395" s="280"/>
      <c r="E395" s="328"/>
      <c r="F395" s="370"/>
      <c r="G395" s="376" t="s">
        <v>356</v>
      </c>
      <c r="H395" s="974" t="s">
        <v>449</v>
      </c>
      <c r="I395" s="975"/>
      <c r="J395" s="975"/>
      <c r="K395" s="975"/>
      <c r="L395" s="975"/>
      <c r="M395" s="975"/>
      <c r="N395" s="975"/>
      <c r="O395" s="975"/>
      <c r="P395" s="975"/>
      <c r="Q395" s="976"/>
    </row>
    <row r="396" spans="1:17" ht="15.5">
      <c r="A396" s="299"/>
      <c r="B396" s="280"/>
      <c r="C396" s="280"/>
      <c r="D396" s="280"/>
      <c r="E396" s="328"/>
      <c r="F396" s="370"/>
      <c r="G396" s="376"/>
      <c r="H396" s="974"/>
      <c r="I396" s="975"/>
      <c r="J396" s="975"/>
      <c r="K396" s="975"/>
      <c r="L396" s="975"/>
      <c r="M396" s="975"/>
      <c r="N396" s="975"/>
      <c r="O396" s="975"/>
      <c r="P396" s="975"/>
      <c r="Q396" s="976"/>
    </row>
    <row r="397" spans="1:17" ht="15.5">
      <c r="A397" s="299"/>
      <c r="B397" s="280"/>
      <c r="C397" s="280"/>
      <c r="D397" s="280"/>
      <c r="E397" s="328"/>
      <c r="F397" s="370"/>
      <c r="G397" s="376"/>
      <c r="H397" s="974"/>
      <c r="I397" s="975"/>
      <c r="J397" s="975"/>
      <c r="K397" s="975"/>
      <c r="L397" s="975"/>
      <c r="M397" s="975"/>
      <c r="N397" s="975"/>
      <c r="O397" s="975"/>
      <c r="P397" s="975"/>
      <c r="Q397" s="976"/>
    </row>
    <row r="398" spans="1:17" ht="15.5">
      <c r="A398" s="299">
        <v>56</v>
      </c>
      <c r="B398" s="280"/>
      <c r="C398" s="263" t="s">
        <v>408</v>
      </c>
      <c r="D398" s="280"/>
      <c r="E398" s="263" t="s">
        <v>697</v>
      </c>
      <c r="F398" s="280" t="s">
        <v>320</v>
      </c>
      <c r="G398" s="376">
        <v>0</v>
      </c>
      <c r="H398" s="974"/>
      <c r="I398" s="975"/>
      <c r="J398" s="975"/>
      <c r="K398" s="975"/>
      <c r="L398" s="975"/>
      <c r="M398" s="975"/>
      <c r="N398" s="975"/>
      <c r="O398" s="975"/>
      <c r="P398" s="975"/>
      <c r="Q398" s="976"/>
    </row>
    <row r="399" spans="1:17" ht="15.5">
      <c r="A399" s="299"/>
      <c r="B399" s="280"/>
      <c r="C399" s="280"/>
      <c r="D399" s="280"/>
      <c r="E399" s="328"/>
      <c r="F399" s="370"/>
      <c r="G399" s="376"/>
      <c r="H399" s="974"/>
      <c r="I399" s="975"/>
      <c r="J399" s="975"/>
      <c r="K399" s="975"/>
      <c r="L399" s="975"/>
      <c r="M399" s="975"/>
      <c r="N399" s="975"/>
      <c r="O399" s="975"/>
      <c r="P399" s="975"/>
      <c r="Q399" s="976"/>
    </row>
    <row r="400" spans="1:17" ht="16" thickBot="1">
      <c r="A400" s="350"/>
      <c r="B400" s="355"/>
      <c r="C400" s="355"/>
      <c r="D400" s="355"/>
      <c r="E400" s="361"/>
      <c r="F400" s="371"/>
      <c r="G400" s="378"/>
      <c r="H400" s="373"/>
      <c r="I400" s="373"/>
      <c r="J400" s="373"/>
      <c r="K400" s="385" t="s">
        <v>358</v>
      </c>
      <c r="L400" s="373"/>
      <c r="M400" s="373"/>
      <c r="N400" s="373"/>
      <c r="O400" s="373"/>
      <c r="P400" s="373"/>
      <c r="Q400" s="379"/>
    </row>
    <row r="401" spans="1:17" ht="15.5">
      <c r="A401" s="280"/>
      <c r="B401" s="280"/>
      <c r="C401" s="280"/>
      <c r="D401" s="280"/>
      <c r="E401" s="328"/>
      <c r="F401" s="280"/>
      <c r="G401" s="188"/>
      <c r="H401" s="188"/>
      <c r="I401" s="188"/>
      <c r="J401" s="188"/>
      <c r="K401" s="190"/>
      <c r="L401" s="188"/>
      <c r="M401" s="188"/>
      <c r="N401" s="188"/>
      <c r="O401" s="188"/>
      <c r="P401" s="188"/>
      <c r="Q401" s="188"/>
    </row>
    <row r="402" spans="1:17" ht="15.5">
      <c r="A402" s="280"/>
      <c r="B402" s="280"/>
      <c r="C402" s="280"/>
      <c r="D402" s="280"/>
      <c r="E402" s="328"/>
      <c r="F402" s="280"/>
      <c r="G402" s="188"/>
      <c r="H402" s="188"/>
      <c r="I402" s="188"/>
      <c r="J402" s="188"/>
      <c r="K402" s="190"/>
      <c r="L402" s="188"/>
      <c r="M402" s="188"/>
      <c r="N402" s="188"/>
      <c r="O402" s="188"/>
      <c r="P402" s="188"/>
      <c r="Q402" s="188"/>
    </row>
    <row r="403" spans="1:17" ht="15.5">
      <c r="A403" s="280"/>
      <c r="B403" s="280"/>
      <c r="C403" s="280"/>
      <c r="D403" s="280"/>
      <c r="E403" s="328"/>
      <c r="F403" s="280"/>
      <c r="G403" s="188"/>
      <c r="H403" s="188"/>
      <c r="I403" s="188"/>
      <c r="J403" s="188"/>
      <c r="K403" s="190"/>
      <c r="L403" s="188"/>
      <c r="M403" s="188"/>
      <c r="N403" s="188"/>
      <c r="O403" s="188"/>
      <c r="P403" s="188"/>
      <c r="Q403" s="188"/>
    </row>
    <row r="404" spans="1:17" ht="20.5" thickBot="1">
      <c r="A404" s="358" t="s">
        <v>426</v>
      </c>
      <c r="G404" s="186"/>
      <c r="H404" s="186"/>
      <c r="I404" s="186"/>
      <c r="J404" s="186"/>
      <c r="K404" s="186"/>
      <c r="L404" s="186"/>
      <c r="M404" s="186"/>
      <c r="N404" s="186"/>
      <c r="O404" s="186"/>
      <c r="P404" s="186"/>
      <c r="Q404" s="186"/>
    </row>
    <row r="405" spans="1:17" ht="27">
      <c r="A405" s="999" t="s">
        <v>331</v>
      </c>
      <c r="B405" s="1000"/>
      <c r="C405" s="1000"/>
      <c r="D405" s="1000"/>
      <c r="E405" s="1000"/>
      <c r="F405" s="1001"/>
      <c r="G405" s="384" t="str">
        <f>+C407</f>
        <v>Interest on Network Credits</v>
      </c>
      <c r="H405" s="971" t="s">
        <v>362</v>
      </c>
      <c r="I405" s="972"/>
      <c r="J405" s="972"/>
      <c r="K405" s="972"/>
      <c r="L405" s="972"/>
      <c r="M405" s="972"/>
      <c r="N405" s="972"/>
      <c r="O405" s="972"/>
      <c r="P405" s="972"/>
      <c r="Q405" s="973"/>
    </row>
    <row r="406" spans="1:17" ht="15.5">
      <c r="A406" s="299"/>
      <c r="B406" s="255" t="s">
        <v>323</v>
      </c>
      <c r="C406" s="280"/>
      <c r="D406" s="280"/>
      <c r="E406" s="280"/>
      <c r="F406" s="370"/>
      <c r="G406" s="374"/>
      <c r="H406" s="188"/>
      <c r="I406" s="188"/>
      <c r="J406" s="188"/>
      <c r="K406" s="188"/>
      <c r="L406" s="188"/>
      <c r="M406" s="188"/>
      <c r="N406" s="188"/>
      <c r="O406" s="188"/>
      <c r="P406" s="188"/>
      <c r="Q406" s="372"/>
    </row>
    <row r="407" spans="1:17" ht="15.5">
      <c r="A407" s="299">
        <v>154</v>
      </c>
      <c r="B407" s="280"/>
      <c r="C407" s="280" t="s">
        <v>321</v>
      </c>
      <c r="D407" s="280"/>
      <c r="E407" s="328" t="s">
        <v>697</v>
      </c>
      <c r="F407" s="370" t="s">
        <v>322</v>
      </c>
      <c r="G407" s="376">
        <v>0</v>
      </c>
      <c r="H407" s="974" t="s">
        <v>359</v>
      </c>
      <c r="I407" s="975"/>
      <c r="J407" s="975"/>
      <c r="K407" s="975"/>
      <c r="L407" s="975"/>
      <c r="M407" s="975"/>
      <c r="N407" s="975"/>
      <c r="O407" s="975"/>
      <c r="P407" s="975"/>
      <c r="Q407" s="976"/>
    </row>
    <row r="408" spans="1:17" ht="15.5">
      <c r="A408" s="299"/>
      <c r="B408" s="280"/>
      <c r="C408" s="280"/>
      <c r="D408" s="280"/>
      <c r="E408" s="328"/>
      <c r="F408" s="370"/>
      <c r="G408" s="374"/>
      <c r="H408" s="188"/>
      <c r="I408" s="188"/>
      <c r="J408" s="188"/>
      <c r="K408" s="188"/>
      <c r="L408" s="188"/>
      <c r="M408" s="188"/>
      <c r="N408" s="188"/>
      <c r="O408" s="232"/>
      <c r="P408" s="188"/>
      <c r="Q408" s="372"/>
    </row>
    <row r="409" spans="1:17" ht="15.5">
      <c r="A409" s="299"/>
      <c r="B409" s="280"/>
      <c r="C409" s="280"/>
      <c r="D409" s="280"/>
      <c r="E409" s="328"/>
      <c r="F409" s="370"/>
      <c r="G409" s="376" t="s">
        <v>356</v>
      </c>
      <c r="H409" s="974" t="s">
        <v>449</v>
      </c>
      <c r="I409" s="975"/>
      <c r="J409" s="975"/>
      <c r="K409" s="975"/>
      <c r="L409" s="975"/>
      <c r="M409" s="975"/>
      <c r="N409" s="975"/>
      <c r="O409" s="975"/>
      <c r="P409" s="975"/>
      <c r="Q409" s="976"/>
    </row>
    <row r="410" spans="1:17" ht="15.5">
      <c r="A410" s="299"/>
      <c r="B410" s="280"/>
      <c r="C410" s="280"/>
      <c r="D410" s="280"/>
      <c r="E410" s="328"/>
      <c r="F410" s="370"/>
      <c r="G410" s="376"/>
      <c r="H410" s="974"/>
      <c r="I410" s="975"/>
      <c r="J410" s="975"/>
      <c r="K410" s="975"/>
      <c r="L410" s="975"/>
      <c r="M410" s="975"/>
      <c r="N410" s="975"/>
      <c r="O410" s="975"/>
      <c r="P410" s="975"/>
      <c r="Q410" s="976"/>
    </row>
    <row r="411" spans="1:17" ht="15.5">
      <c r="A411" s="299"/>
      <c r="B411" s="280"/>
      <c r="C411" s="280"/>
      <c r="D411" s="280"/>
      <c r="E411" s="328"/>
      <c r="F411" s="370"/>
      <c r="G411" s="376"/>
      <c r="H411" s="974"/>
      <c r="I411" s="975"/>
      <c r="J411" s="975"/>
      <c r="K411" s="975"/>
      <c r="L411" s="975"/>
      <c r="M411" s="975"/>
      <c r="N411" s="975"/>
      <c r="O411" s="975"/>
      <c r="P411" s="975"/>
      <c r="Q411" s="976"/>
    </row>
    <row r="412" spans="1:17" ht="15.5">
      <c r="A412" s="299"/>
      <c r="B412" s="280"/>
      <c r="C412" s="280"/>
      <c r="D412" s="280"/>
      <c r="E412" s="328"/>
      <c r="F412" s="370"/>
      <c r="G412" s="376"/>
      <c r="H412" s="974"/>
      <c r="I412" s="975"/>
      <c r="J412" s="975"/>
      <c r="K412" s="975"/>
      <c r="L412" s="975"/>
      <c r="M412" s="975"/>
      <c r="N412" s="975"/>
      <c r="O412" s="975"/>
      <c r="P412" s="975"/>
      <c r="Q412" s="976"/>
    </row>
    <row r="413" spans="1:17" ht="15.5">
      <c r="A413" s="299"/>
      <c r="B413" s="280"/>
      <c r="C413" s="280"/>
      <c r="D413" s="280"/>
      <c r="E413" s="328"/>
      <c r="F413" s="370"/>
      <c r="G413" s="376"/>
      <c r="H413" s="974"/>
      <c r="I413" s="975"/>
      <c r="J413" s="975"/>
      <c r="K413" s="975"/>
      <c r="L413" s="975"/>
      <c r="M413" s="975"/>
      <c r="N413" s="975"/>
      <c r="O413" s="975"/>
      <c r="P413" s="975"/>
      <c r="Q413" s="976"/>
    </row>
    <row r="414" spans="1:17" ht="16" thickBot="1">
      <c r="A414" s="350"/>
      <c r="B414" s="355"/>
      <c r="C414" s="355"/>
      <c r="D414" s="355"/>
      <c r="E414" s="361"/>
      <c r="F414" s="371"/>
      <c r="G414" s="378"/>
      <c r="H414" s="373"/>
      <c r="I414" s="373"/>
      <c r="J414" s="373"/>
      <c r="K414" s="385" t="s">
        <v>358</v>
      </c>
      <c r="L414" s="373"/>
      <c r="M414" s="373"/>
      <c r="N414" s="373"/>
      <c r="O414" s="373"/>
      <c r="P414" s="373"/>
      <c r="Q414" s="379"/>
    </row>
    <row r="415" spans="1:17" ht="15.5">
      <c r="A415" s="280"/>
      <c r="B415" s="280"/>
      <c r="C415" s="280"/>
      <c r="D415" s="280"/>
      <c r="E415" s="328"/>
      <c r="F415" s="280"/>
      <c r="G415" s="188"/>
      <c r="H415" s="188"/>
      <c r="I415" s="188"/>
      <c r="J415" s="188"/>
      <c r="K415" s="190"/>
      <c r="L415" s="188"/>
      <c r="M415" s="188"/>
      <c r="N415" s="188"/>
      <c r="O415" s="188"/>
      <c r="P415" s="188"/>
      <c r="Q415" s="188"/>
    </row>
    <row r="416" spans="7:17" ht="13">
      <c r="G416" s="186"/>
      <c r="H416" s="186"/>
      <c r="I416" s="186"/>
      <c r="J416" s="186"/>
      <c r="K416" s="186"/>
      <c r="L416" s="186"/>
      <c r="M416" s="186"/>
      <c r="N416" s="186"/>
      <c r="O416" s="186"/>
      <c r="P416" s="186"/>
      <c r="Q416" s="186"/>
    </row>
    <row r="417" spans="1:17" ht="20.5" thickBot="1">
      <c r="A417" s="358" t="s">
        <v>423</v>
      </c>
      <c r="G417" s="186"/>
      <c r="H417" s="186"/>
      <c r="I417" s="186"/>
      <c r="J417" s="186"/>
      <c r="K417" s="186"/>
      <c r="L417" s="186"/>
      <c r="M417" s="186"/>
      <c r="N417" s="186"/>
      <c r="O417" s="186"/>
      <c r="P417" s="186"/>
      <c r="Q417" s="186"/>
    </row>
    <row r="418" spans="1:17" ht="18">
      <c r="A418" s="999" t="s">
        <v>331</v>
      </c>
      <c r="B418" s="1000"/>
      <c r="C418" s="1000"/>
      <c r="D418" s="1000"/>
      <c r="E418" s="1000"/>
      <c r="F418" s="1001"/>
      <c r="G418" s="384" t="str">
        <f>+C420</f>
        <v>1 CP Peak</v>
      </c>
      <c r="H418" s="971" t="s">
        <v>361</v>
      </c>
      <c r="I418" s="972"/>
      <c r="J418" s="972"/>
      <c r="K418" s="972"/>
      <c r="L418" s="972"/>
      <c r="M418" s="972"/>
      <c r="N418" s="972"/>
      <c r="O418" s="972"/>
      <c r="P418" s="972"/>
      <c r="Q418" s="973"/>
    </row>
    <row r="419" spans="1:17" ht="15.5">
      <c r="A419" s="299"/>
      <c r="B419" s="276" t="s">
        <v>329</v>
      </c>
      <c r="C419" s="236"/>
      <c r="D419" s="236"/>
      <c r="E419" s="237"/>
      <c r="F419" s="296"/>
      <c r="G419" s="374"/>
      <c r="H419" s="188"/>
      <c r="I419" s="188"/>
      <c r="J419" s="188"/>
      <c r="K419" s="188"/>
      <c r="L419" s="188"/>
      <c r="M419" s="188"/>
      <c r="N419" s="188"/>
      <c r="O419" s="188"/>
      <c r="P419" s="188"/>
      <c r="Q419" s="372"/>
    </row>
    <row r="420" spans="1:18" ht="16" thickBot="1">
      <c r="A420" s="350">
        <v>172</v>
      </c>
      <c r="B420" s="351"/>
      <c r="C420" s="352" t="s">
        <v>142</v>
      </c>
      <c r="D420" s="357"/>
      <c r="E420" s="353" t="s">
        <v>179</v>
      </c>
      <c r="F420" s="857">
        <v>6593</v>
      </c>
      <c r="G420" s="554"/>
      <c r="H420" s="992" t="s">
        <v>572</v>
      </c>
      <c r="I420" s="981"/>
      <c r="J420" s="981"/>
      <c r="K420" s="981"/>
      <c r="L420" s="981"/>
      <c r="M420" s="981"/>
      <c r="N420" s="981"/>
      <c r="O420" s="981"/>
      <c r="P420" s="981"/>
      <c r="Q420" s="982"/>
      <c r="R420" s="798"/>
    </row>
    <row r="421" spans="7:17" ht="13">
      <c r="G421" s="186"/>
      <c r="H421" s="186"/>
      <c r="I421" s="186"/>
      <c r="J421" s="186"/>
      <c r="K421" s="186"/>
      <c r="L421" s="186"/>
      <c r="M421" s="186"/>
      <c r="N421" s="186"/>
      <c r="O421" s="186"/>
      <c r="P421" s="186"/>
      <c r="Q421" s="186"/>
    </row>
    <row r="422" spans="7:17" ht="13">
      <c r="G422" s="186"/>
      <c r="H422" s="186"/>
      <c r="I422" s="186"/>
      <c r="J422" s="186"/>
      <c r="K422" s="186"/>
      <c r="L422" s="186"/>
      <c r="M422" s="186"/>
      <c r="N422" s="186"/>
      <c r="O422" s="186"/>
      <c r="P422" s="186"/>
      <c r="Q422" s="186"/>
    </row>
    <row r="423" spans="1:17" ht="20.5" thickBot="1">
      <c r="A423" s="358" t="s">
        <v>365</v>
      </c>
      <c r="G423" s="186"/>
      <c r="H423" s="186"/>
      <c r="I423" s="186"/>
      <c r="J423" s="186"/>
      <c r="K423" s="186"/>
      <c r="L423" s="186"/>
      <c r="M423" s="186"/>
      <c r="N423" s="186"/>
      <c r="O423" s="186"/>
      <c r="P423" s="186"/>
      <c r="Q423" s="186"/>
    </row>
    <row r="424" spans="1:17" ht="31.5">
      <c r="A424" s="386"/>
      <c r="B424" s="387"/>
      <c r="C424" s="397" t="s">
        <v>366</v>
      </c>
      <c r="D424" s="712" t="s">
        <v>367</v>
      </c>
      <c r="E424" s="397" t="s">
        <v>368</v>
      </c>
      <c r="F424" s="397" t="s">
        <v>369</v>
      </c>
      <c r="G424" s="996" t="s">
        <v>370</v>
      </c>
      <c r="H424" s="997"/>
      <c r="I424" s="998" t="s">
        <v>371</v>
      </c>
      <c r="J424" s="997"/>
      <c r="K424" s="998" t="s">
        <v>372</v>
      </c>
      <c r="L424" s="997"/>
      <c r="M424" s="389"/>
      <c r="N424" s="389"/>
      <c r="O424" s="389"/>
      <c r="P424" s="389"/>
      <c r="Q424" s="390"/>
    </row>
    <row r="425" spans="1:17" ht="15.5">
      <c r="A425" s="299"/>
      <c r="B425" s="255"/>
      <c r="C425" s="280"/>
      <c r="D425" s="557"/>
      <c r="E425" s="399"/>
      <c r="F425" s="399"/>
      <c r="G425" s="993">
        <f>+E425*D425</f>
        <v>0</v>
      </c>
      <c r="H425" s="994"/>
      <c r="I425" s="995">
        <f>+F425*D425</f>
        <v>0</v>
      </c>
      <c r="J425" s="994"/>
      <c r="K425" s="995">
        <f>+I425-G425</f>
        <v>0</v>
      </c>
      <c r="L425" s="994"/>
      <c r="M425" s="391"/>
      <c r="N425" s="391"/>
      <c r="O425" s="391"/>
      <c r="P425" s="391"/>
      <c r="Q425" s="392"/>
    </row>
    <row r="426" spans="1:17" ht="15.5">
      <c r="A426" s="299"/>
      <c r="B426" s="280"/>
      <c r="C426" s="280"/>
      <c r="D426" s="280"/>
      <c r="E426" s="399"/>
      <c r="F426" s="399"/>
      <c r="G426" s="990"/>
      <c r="H426" s="989"/>
      <c r="I426" s="988"/>
      <c r="J426" s="989"/>
      <c r="K426" s="988"/>
      <c r="L426" s="991"/>
      <c r="M426" s="393"/>
      <c r="N426" s="393"/>
      <c r="O426" s="393"/>
      <c r="P426" s="393"/>
      <c r="Q426" s="394"/>
    </row>
    <row r="427" spans="1:17" ht="15.5">
      <c r="A427" s="299"/>
      <c r="B427" s="280"/>
      <c r="C427" s="280"/>
      <c r="D427" s="280"/>
      <c r="E427" s="399"/>
      <c r="F427" s="399"/>
      <c r="G427" s="990"/>
      <c r="H427" s="989"/>
      <c r="I427" s="988"/>
      <c r="J427" s="989"/>
      <c r="K427" s="988"/>
      <c r="L427" s="991"/>
      <c r="M427" s="391"/>
      <c r="N427" s="391"/>
      <c r="O427" s="232"/>
      <c r="P427" s="391"/>
      <c r="Q427" s="392"/>
    </row>
    <row r="428" spans="1:17" ht="15.5">
      <c r="A428" s="299"/>
      <c r="B428" s="280"/>
      <c r="C428" s="280"/>
      <c r="D428" s="280"/>
      <c r="E428" s="399"/>
      <c r="F428" s="399"/>
      <c r="G428" s="990"/>
      <c r="H428" s="989"/>
      <c r="I428" s="988"/>
      <c r="J428" s="989"/>
      <c r="K428" s="988"/>
      <c r="L428" s="991"/>
      <c r="M428" s="393"/>
      <c r="N428" s="393"/>
      <c r="O428" s="393"/>
      <c r="P428" s="393"/>
      <c r="Q428" s="394"/>
    </row>
    <row r="429" spans="1:17" ht="15.5">
      <c r="A429" s="299"/>
      <c r="B429" s="280"/>
      <c r="C429" s="190" t="s">
        <v>358</v>
      </c>
      <c r="D429" s="280"/>
      <c r="E429" s="399"/>
      <c r="F429" s="399"/>
      <c r="G429" s="990"/>
      <c r="H429" s="989"/>
      <c r="I429" s="988"/>
      <c r="J429" s="989"/>
      <c r="K429" s="190"/>
      <c r="L429" s="398"/>
      <c r="M429" s="393"/>
      <c r="N429" s="393"/>
      <c r="O429" s="393"/>
      <c r="P429" s="393"/>
      <c r="Q429" s="394"/>
    </row>
    <row r="430" spans="1:17" ht="15.5">
      <c r="A430" s="299"/>
      <c r="B430" s="280"/>
      <c r="C430" s="280"/>
      <c r="D430" s="280"/>
      <c r="E430" s="399"/>
      <c r="F430" s="399"/>
      <c r="G430" s="990"/>
      <c r="H430" s="989"/>
      <c r="I430" s="988"/>
      <c r="J430" s="989"/>
      <c r="K430" s="988"/>
      <c r="L430" s="991"/>
      <c r="M430" s="393"/>
      <c r="N430" s="393"/>
      <c r="O430" s="393"/>
      <c r="P430" s="393"/>
      <c r="Q430" s="394"/>
    </row>
    <row r="431" spans="1:17" ht="15.5">
      <c r="A431" s="299"/>
      <c r="B431" s="280"/>
      <c r="C431" s="280"/>
      <c r="D431" s="280"/>
      <c r="E431" s="399"/>
      <c r="F431" s="399"/>
      <c r="G431" s="990"/>
      <c r="H431" s="989"/>
      <c r="I431" s="988"/>
      <c r="J431" s="989"/>
      <c r="K431" s="988"/>
      <c r="L431" s="991"/>
      <c r="M431" s="393"/>
      <c r="N431" s="393"/>
      <c r="O431" s="393"/>
      <c r="P431" s="393"/>
      <c r="Q431" s="394"/>
    </row>
    <row r="432" spans="1:17" ht="15.5">
      <c r="A432" s="299"/>
      <c r="B432" s="280"/>
      <c r="C432" s="280"/>
      <c r="D432" s="280"/>
      <c r="E432" s="399"/>
      <c r="F432" s="399"/>
      <c r="G432" s="402"/>
      <c r="H432" s="400"/>
      <c r="I432" s="401"/>
      <c r="J432" s="398"/>
      <c r="K432" s="401"/>
      <c r="L432" s="398"/>
      <c r="M432" s="393"/>
      <c r="N432" s="393"/>
      <c r="O432" s="393"/>
      <c r="P432" s="393"/>
      <c r="Q432" s="394"/>
    </row>
    <row r="433" spans="1:17" ht="16" thickBot="1">
      <c r="A433" s="350"/>
      <c r="B433" s="355"/>
      <c r="C433" s="355" t="s">
        <v>173</v>
      </c>
      <c r="D433" s="355"/>
      <c r="E433" s="361"/>
      <c r="F433" s="355"/>
      <c r="G433" s="985">
        <f>SUM(G425:H432)</f>
        <v>0</v>
      </c>
      <c r="H433" s="986"/>
      <c r="I433" s="987">
        <f>SUM(I425:J432)</f>
        <v>0</v>
      </c>
      <c r="J433" s="986"/>
      <c r="K433" s="987">
        <f>SUM(K425:L432)</f>
        <v>0</v>
      </c>
      <c r="L433" s="986"/>
      <c r="M433" s="395"/>
      <c r="N433" s="395"/>
      <c r="O433" s="395"/>
      <c r="P433" s="395"/>
      <c r="Q433" s="396"/>
    </row>
    <row r="434" spans="7:17" ht="13">
      <c r="G434" s="186"/>
      <c r="H434" s="186"/>
      <c r="I434" s="186"/>
      <c r="J434" s="186"/>
      <c r="K434" s="186"/>
      <c r="L434" s="186"/>
      <c r="M434" s="186"/>
      <c r="N434" s="186"/>
      <c r="O434" s="186"/>
      <c r="P434" s="186"/>
      <c r="Q434" s="186"/>
    </row>
    <row r="435" spans="7:17" ht="13">
      <c r="G435" s="186"/>
      <c r="H435" s="186"/>
      <c r="I435" s="186"/>
      <c r="J435" s="186"/>
      <c r="K435" s="186"/>
      <c r="L435" s="186"/>
      <c r="M435" s="186"/>
      <c r="N435" s="186"/>
      <c r="O435" s="186"/>
      <c r="P435" s="186"/>
      <c r="Q435" s="186"/>
    </row>
    <row r="436" spans="7:17" ht="13">
      <c r="G436" s="186"/>
      <c r="H436" s="186"/>
      <c r="I436" s="186"/>
      <c r="J436" s="186"/>
      <c r="K436" s="186"/>
      <c r="L436" s="186"/>
      <c r="M436" s="186"/>
      <c r="N436" s="186"/>
      <c r="O436" s="186"/>
      <c r="P436" s="186"/>
      <c r="Q436" s="186"/>
    </row>
    <row r="437" spans="7:17" ht="13">
      <c r="G437" s="186"/>
      <c r="H437" s="186"/>
      <c r="I437" s="186"/>
      <c r="J437" s="186"/>
      <c r="K437" s="186"/>
      <c r="L437" s="186"/>
      <c r="M437" s="186"/>
      <c r="N437" s="186"/>
      <c r="O437" s="186"/>
      <c r="P437" s="186"/>
      <c r="Q437" s="186"/>
    </row>
    <row r="438" spans="7:17" ht="13">
      <c r="G438" s="186"/>
      <c r="H438" s="186"/>
      <c r="I438" s="186"/>
      <c r="J438" s="186"/>
      <c r="K438" s="186"/>
      <c r="L438" s="186"/>
      <c r="M438" s="186"/>
      <c r="N438" s="186"/>
      <c r="O438" s="186"/>
      <c r="P438" s="186"/>
      <c r="Q438" s="186"/>
    </row>
    <row r="439" spans="7:17" ht="13">
      <c r="G439" s="186"/>
      <c r="H439" s="186"/>
      <c r="I439" s="186"/>
      <c r="J439" s="186"/>
      <c r="K439" s="186"/>
      <c r="L439" s="186"/>
      <c r="M439" s="186"/>
      <c r="N439" s="186"/>
      <c r="O439" s="186"/>
      <c r="P439" s="186"/>
      <c r="Q439" s="186"/>
    </row>
    <row r="440" spans="7:17" ht="13">
      <c r="G440" s="186"/>
      <c r="H440" s="186"/>
      <c r="I440" s="186"/>
      <c r="J440" s="186"/>
      <c r="K440" s="186"/>
      <c r="L440" s="186"/>
      <c r="M440" s="186"/>
      <c r="N440" s="186"/>
      <c r="O440" s="186"/>
      <c r="P440" s="186"/>
      <c r="Q440" s="186"/>
    </row>
    <row r="441" spans="7:17" ht="13">
      <c r="G441" s="186"/>
      <c r="H441" s="186"/>
      <c r="I441" s="186"/>
      <c r="J441" s="186"/>
      <c r="K441" s="186"/>
      <c r="L441" s="186"/>
      <c r="M441" s="186"/>
      <c r="N441" s="186"/>
      <c r="O441" s="186"/>
      <c r="P441" s="186"/>
      <c r="Q441" s="186"/>
    </row>
    <row r="442" spans="7:17" ht="13">
      <c r="G442" s="186"/>
      <c r="H442" s="186"/>
      <c r="I442" s="186"/>
      <c r="J442" s="186"/>
      <c r="K442" s="186"/>
      <c r="L442" s="186"/>
      <c r="M442" s="186"/>
      <c r="N442" s="186"/>
      <c r="O442" s="186"/>
      <c r="P442" s="186"/>
      <c r="Q442" s="186"/>
    </row>
    <row r="443" spans="7:17" ht="13">
      <c r="G443" s="186"/>
      <c r="H443" s="186"/>
      <c r="I443" s="186"/>
      <c r="J443" s="186"/>
      <c r="K443" s="186"/>
      <c r="L443" s="186"/>
      <c r="M443" s="186"/>
      <c r="N443" s="186"/>
      <c r="O443" s="186"/>
      <c r="P443" s="186"/>
      <c r="Q443" s="186"/>
    </row>
    <row r="444" spans="7:17" ht="13">
      <c r="G444" s="186"/>
      <c r="H444" s="186"/>
      <c r="I444" s="186"/>
      <c r="J444" s="186"/>
      <c r="K444" s="186"/>
      <c r="L444" s="186"/>
      <c r="M444" s="186"/>
      <c r="N444" s="186"/>
      <c r="O444" s="186"/>
      <c r="P444" s="186"/>
      <c r="Q444" s="186"/>
    </row>
    <row r="445" spans="7:17" ht="13">
      <c r="G445" s="186"/>
      <c r="H445" s="186"/>
      <c r="I445" s="186"/>
      <c r="J445" s="186"/>
      <c r="K445" s="186"/>
      <c r="L445" s="186"/>
      <c r="M445" s="186"/>
      <c r="N445" s="186"/>
      <c r="O445" s="186"/>
      <c r="P445" s="186"/>
      <c r="Q445" s="186"/>
    </row>
    <row r="446" spans="7:17" ht="13">
      <c r="G446" s="186"/>
      <c r="H446" s="186"/>
      <c r="I446" s="186"/>
      <c r="J446" s="186"/>
      <c r="K446" s="186"/>
      <c r="L446" s="186"/>
      <c r="M446" s="186"/>
      <c r="N446" s="186"/>
      <c r="O446" s="186"/>
      <c r="P446" s="186"/>
      <c r="Q446" s="186"/>
    </row>
    <row r="447" spans="7:17" ht="13">
      <c r="G447" s="186"/>
      <c r="H447" s="186"/>
      <c r="I447" s="186"/>
      <c r="J447" s="186"/>
      <c r="K447" s="186"/>
      <c r="L447" s="186"/>
      <c r="M447" s="186"/>
      <c r="N447" s="186"/>
      <c r="O447" s="186"/>
      <c r="P447" s="186"/>
      <c r="Q447" s="186"/>
    </row>
    <row r="448" spans="7:17" ht="13">
      <c r="G448" s="186"/>
      <c r="H448" s="186"/>
      <c r="I448" s="186"/>
      <c r="J448" s="186"/>
      <c r="K448" s="186"/>
      <c r="L448" s="186"/>
      <c r="M448" s="186"/>
      <c r="N448" s="186"/>
      <c r="O448" s="186"/>
      <c r="P448" s="186"/>
      <c r="Q448" s="186"/>
    </row>
    <row r="449" spans="7:17" ht="13">
      <c r="G449" s="186"/>
      <c r="H449" s="186"/>
      <c r="I449" s="186"/>
      <c r="J449" s="186"/>
      <c r="K449" s="186"/>
      <c r="L449" s="186"/>
      <c r="M449" s="186"/>
      <c r="N449" s="186"/>
      <c r="O449" s="186"/>
      <c r="P449" s="186"/>
      <c r="Q449" s="186"/>
    </row>
    <row r="450" spans="7:17" ht="14">
      <c r="G450" s="380"/>
      <c r="H450" s="380"/>
      <c r="I450" s="380"/>
      <c r="J450" s="380"/>
      <c r="K450" s="380"/>
      <c r="L450" s="380"/>
      <c r="M450" s="380"/>
      <c r="N450" s="380"/>
      <c r="O450" s="380"/>
      <c r="P450" s="380"/>
      <c r="Q450" s="380"/>
    </row>
    <row r="451" spans="7:17" ht="14">
      <c r="G451" s="380"/>
      <c r="H451" s="380"/>
      <c r="I451" s="380"/>
      <c r="J451" s="380"/>
      <c r="K451" s="380"/>
      <c r="L451" s="380"/>
      <c r="M451" s="380"/>
      <c r="N451" s="380"/>
      <c r="O451" s="380"/>
      <c r="P451" s="380"/>
      <c r="Q451" s="380"/>
    </row>
    <row r="452" spans="7:17" ht="14">
      <c r="G452" s="380"/>
      <c r="H452" s="380"/>
      <c r="I452" s="380"/>
      <c r="J452" s="380"/>
      <c r="K452" s="380"/>
      <c r="L452" s="380"/>
      <c r="M452" s="380"/>
      <c r="N452" s="380"/>
      <c r="O452" s="380"/>
      <c r="P452" s="380"/>
      <c r="Q452" s="380"/>
    </row>
    <row r="453" spans="7:17" ht="14">
      <c r="G453" s="380"/>
      <c r="H453" s="380"/>
      <c r="I453" s="380"/>
      <c r="J453" s="380"/>
      <c r="K453" s="380"/>
      <c r="L453" s="380"/>
      <c r="M453" s="380"/>
      <c r="N453" s="380"/>
      <c r="O453" s="380"/>
      <c r="P453" s="380"/>
      <c r="Q453" s="380"/>
    </row>
    <row r="454" spans="7:17" ht="14">
      <c r="G454" s="380"/>
      <c r="H454" s="380"/>
      <c r="I454" s="380"/>
      <c r="J454" s="380"/>
      <c r="K454" s="380"/>
      <c r="L454" s="380"/>
      <c r="M454" s="380"/>
      <c r="N454" s="380"/>
      <c r="O454" s="380"/>
      <c r="P454" s="380"/>
      <c r="Q454" s="380"/>
    </row>
    <row r="455" spans="7:17" ht="14">
      <c r="G455" s="380"/>
      <c r="H455" s="380"/>
      <c r="I455" s="380"/>
      <c r="J455" s="380"/>
      <c r="K455" s="380"/>
      <c r="L455" s="380"/>
      <c r="M455" s="380"/>
      <c r="N455" s="380"/>
      <c r="O455" s="380"/>
      <c r="P455" s="380"/>
      <c r="Q455" s="380"/>
    </row>
    <row r="456" spans="7:17" ht="14">
      <c r="G456" s="380"/>
      <c r="H456" s="380"/>
      <c r="I456" s="380"/>
      <c r="J456" s="380"/>
      <c r="K456" s="380"/>
      <c r="L456" s="380"/>
      <c r="M456" s="380"/>
      <c r="N456" s="380"/>
      <c r="O456" s="380"/>
      <c r="P456" s="380"/>
      <c r="Q456" s="380"/>
    </row>
    <row r="457" spans="7:17" ht="14">
      <c r="G457" s="380"/>
      <c r="H457" s="380"/>
      <c r="I457" s="380"/>
      <c r="J457" s="380"/>
      <c r="K457" s="380"/>
      <c r="L457" s="380"/>
      <c r="M457" s="380"/>
      <c r="N457" s="380"/>
      <c r="O457" s="380"/>
      <c r="P457" s="380"/>
      <c r="Q457" s="380"/>
    </row>
    <row r="458" spans="7:17" ht="14">
      <c r="G458" s="380"/>
      <c r="H458" s="380"/>
      <c r="I458" s="380"/>
      <c r="J458" s="380"/>
      <c r="K458" s="380"/>
      <c r="L458" s="380"/>
      <c r="M458" s="380"/>
      <c r="N458" s="380"/>
      <c r="O458" s="380"/>
      <c r="P458" s="380"/>
      <c r="Q458" s="380"/>
    </row>
    <row r="459" spans="7:17" ht="14">
      <c r="G459" s="380"/>
      <c r="H459" s="380"/>
      <c r="I459" s="380"/>
      <c r="J459" s="380"/>
      <c r="K459" s="380"/>
      <c r="L459" s="380"/>
      <c r="M459" s="380"/>
      <c r="N459" s="380"/>
      <c r="O459" s="380"/>
      <c r="P459" s="380"/>
      <c r="Q459" s="380"/>
    </row>
    <row r="460" spans="7:17" ht="14">
      <c r="G460" s="380"/>
      <c r="H460" s="380"/>
      <c r="I460" s="380"/>
      <c r="J460" s="380"/>
      <c r="K460" s="380"/>
      <c r="L460" s="380"/>
      <c r="M460" s="380"/>
      <c r="N460" s="380"/>
      <c r="O460" s="380"/>
      <c r="P460" s="380"/>
      <c r="Q460" s="380"/>
    </row>
    <row r="461" spans="7:17" ht="14">
      <c r="G461" s="380"/>
      <c r="H461" s="380"/>
      <c r="I461" s="380"/>
      <c r="J461" s="380"/>
      <c r="K461" s="380"/>
      <c r="L461" s="380"/>
      <c r="M461" s="380"/>
      <c r="N461" s="380"/>
      <c r="O461" s="380"/>
      <c r="P461" s="380"/>
      <c r="Q461" s="380"/>
    </row>
    <row r="462" spans="7:17" ht="14">
      <c r="G462" s="380"/>
      <c r="H462" s="380"/>
      <c r="I462" s="380"/>
      <c r="J462" s="380"/>
      <c r="K462" s="380"/>
      <c r="L462" s="380"/>
      <c r="M462" s="380"/>
      <c r="N462" s="380"/>
      <c r="O462" s="380"/>
      <c r="P462" s="380"/>
      <c r="Q462" s="380"/>
    </row>
    <row r="463" spans="7:17" ht="14">
      <c r="G463" s="380"/>
      <c r="H463" s="380"/>
      <c r="I463" s="380"/>
      <c r="J463" s="380"/>
      <c r="K463" s="380"/>
      <c r="L463" s="380"/>
      <c r="M463" s="380"/>
      <c r="N463" s="380"/>
      <c r="O463" s="380"/>
      <c r="P463" s="380"/>
      <c r="Q463" s="380"/>
    </row>
    <row r="464" spans="7:17" ht="14">
      <c r="G464" s="380"/>
      <c r="H464" s="380"/>
      <c r="I464" s="380"/>
      <c r="J464" s="380"/>
      <c r="K464" s="380"/>
      <c r="L464" s="380"/>
      <c r="M464" s="380"/>
      <c r="N464" s="380"/>
      <c r="O464" s="380"/>
      <c r="P464" s="380"/>
      <c r="Q464" s="380"/>
    </row>
    <row r="465" spans="7:17" ht="14">
      <c r="G465" s="380"/>
      <c r="H465" s="380"/>
      <c r="I465" s="380"/>
      <c r="J465" s="380"/>
      <c r="K465" s="380"/>
      <c r="L465" s="380"/>
      <c r="M465" s="380"/>
      <c r="N465" s="380"/>
      <c r="O465" s="380"/>
      <c r="P465" s="380"/>
      <c r="Q465" s="380"/>
    </row>
    <row r="466" spans="7:17" ht="14">
      <c r="G466" s="380"/>
      <c r="H466" s="380"/>
      <c r="I466" s="380"/>
      <c r="J466" s="380"/>
      <c r="K466" s="380"/>
      <c r="L466" s="380"/>
      <c r="M466" s="380"/>
      <c r="N466" s="380"/>
      <c r="O466" s="380"/>
      <c r="P466" s="380"/>
      <c r="Q466" s="380"/>
    </row>
    <row r="467" spans="7:17" ht="14">
      <c r="G467" s="380"/>
      <c r="H467" s="380"/>
      <c r="I467" s="380"/>
      <c r="J467" s="380"/>
      <c r="K467" s="380"/>
      <c r="L467" s="380"/>
      <c r="M467" s="380"/>
      <c r="N467" s="380"/>
      <c r="O467" s="380"/>
      <c r="P467" s="380"/>
      <c r="Q467" s="380"/>
    </row>
    <row r="468" spans="7:17" ht="14">
      <c r="G468" s="380"/>
      <c r="H468" s="380"/>
      <c r="I468" s="380"/>
      <c r="J468" s="380"/>
      <c r="K468" s="380"/>
      <c r="L468" s="380"/>
      <c r="M468" s="380"/>
      <c r="N468" s="380"/>
      <c r="O468" s="380"/>
      <c r="P468" s="380"/>
      <c r="Q468" s="380"/>
    </row>
    <row r="469" spans="7:17" ht="14">
      <c r="G469" s="380"/>
      <c r="H469" s="380"/>
      <c r="I469" s="380"/>
      <c r="J469" s="380"/>
      <c r="K469" s="380"/>
      <c r="L469" s="380"/>
      <c r="M469" s="380"/>
      <c r="N469" s="380"/>
      <c r="O469" s="380"/>
      <c r="P469" s="380"/>
      <c r="Q469" s="380"/>
    </row>
    <row r="470" spans="7:17" ht="14">
      <c r="G470" s="380"/>
      <c r="H470" s="380"/>
      <c r="I470" s="380"/>
      <c r="J470" s="380"/>
      <c r="K470" s="380"/>
      <c r="L470" s="380"/>
      <c r="M470" s="380"/>
      <c r="N470" s="380"/>
      <c r="O470" s="380"/>
      <c r="P470" s="380"/>
      <c r="Q470" s="380"/>
    </row>
    <row r="471" spans="7:17" ht="14">
      <c r="G471" s="380"/>
      <c r="H471" s="380"/>
      <c r="I471" s="380"/>
      <c r="J471" s="380"/>
      <c r="K471" s="380"/>
      <c r="L471" s="380"/>
      <c r="M471" s="380"/>
      <c r="N471" s="380"/>
      <c r="O471" s="380"/>
      <c r="P471" s="380"/>
      <c r="Q471" s="380"/>
    </row>
    <row r="472" spans="7:17" ht="14">
      <c r="G472" s="380"/>
      <c r="H472" s="380"/>
      <c r="I472" s="380"/>
      <c r="J472" s="380"/>
      <c r="K472" s="380"/>
      <c r="L472" s="380"/>
      <c r="M472" s="380"/>
      <c r="N472" s="380"/>
      <c r="O472" s="380"/>
      <c r="P472" s="380"/>
      <c r="Q472" s="380"/>
    </row>
    <row r="473" spans="7:17" ht="14">
      <c r="G473" s="380"/>
      <c r="H473" s="380"/>
      <c r="I473" s="380"/>
      <c r="J473" s="380"/>
      <c r="K473" s="380"/>
      <c r="L473" s="380"/>
      <c r="M473" s="380"/>
      <c r="N473" s="380"/>
      <c r="O473" s="380"/>
      <c r="P473" s="380"/>
      <c r="Q473" s="380"/>
    </row>
    <row r="474" spans="7:17" ht="14">
      <c r="G474" s="380"/>
      <c r="H474" s="380"/>
      <c r="I474" s="380"/>
      <c r="J474" s="380"/>
      <c r="K474" s="380"/>
      <c r="L474" s="380"/>
      <c r="M474" s="380"/>
      <c r="N474" s="380"/>
      <c r="O474" s="380"/>
      <c r="P474" s="380"/>
      <c r="Q474" s="380"/>
    </row>
    <row r="475" spans="7:17" ht="14">
      <c r="G475" s="380"/>
      <c r="H475" s="380"/>
      <c r="I475" s="380"/>
      <c r="J475" s="380"/>
      <c r="K475" s="380"/>
      <c r="L475" s="380"/>
      <c r="M475" s="380"/>
      <c r="N475" s="380"/>
      <c r="O475" s="380"/>
      <c r="P475" s="380"/>
      <c r="Q475" s="380"/>
    </row>
    <row r="476" spans="7:17" ht="14">
      <c r="G476" s="380"/>
      <c r="H476" s="380"/>
      <c r="I476" s="380"/>
      <c r="J476" s="380"/>
      <c r="K476" s="380"/>
      <c r="L476" s="380"/>
      <c r="M476" s="380"/>
      <c r="N476" s="380"/>
      <c r="O476" s="380"/>
      <c r="P476" s="380"/>
      <c r="Q476" s="380"/>
    </row>
    <row r="477" spans="7:17" ht="14">
      <c r="G477" s="380"/>
      <c r="H477" s="380"/>
      <c r="I477" s="380"/>
      <c r="J477" s="380"/>
      <c r="K477" s="380"/>
      <c r="L477" s="380"/>
      <c r="M477" s="380"/>
      <c r="N477" s="380"/>
      <c r="O477" s="380"/>
      <c r="P477" s="380"/>
      <c r="Q477" s="380"/>
    </row>
    <row r="478" spans="7:17" ht="14">
      <c r="G478" s="380"/>
      <c r="H478" s="380"/>
      <c r="I478" s="380"/>
      <c r="J478" s="380"/>
      <c r="K478" s="380"/>
      <c r="L478" s="380"/>
      <c r="M478" s="380"/>
      <c r="N478" s="380"/>
      <c r="O478" s="380"/>
      <c r="P478" s="380"/>
      <c r="Q478" s="380"/>
    </row>
    <row r="479" spans="7:17" ht="14">
      <c r="G479" s="380"/>
      <c r="H479" s="380"/>
      <c r="I479" s="380"/>
      <c r="J479" s="380"/>
      <c r="K479" s="380"/>
      <c r="L479" s="380"/>
      <c r="M479" s="380"/>
      <c r="N479" s="380"/>
      <c r="O479" s="380"/>
      <c r="P479" s="380"/>
      <c r="Q479" s="380"/>
    </row>
    <row r="480" spans="7:17" ht="14">
      <c r="G480" s="380"/>
      <c r="H480" s="380"/>
      <c r="I480" s="380"/>
      <c r="J480" s="380"/>
      <c r="K480" s="380"/>
      <c r="L480" s="380"/>
      <c r="M480" s="380"/>
      <c r="N480" s="380"/>
      <c r="O480" s="380"/>
      <c r="P480" s="380"/>
      <c r="Q480" s="380"/>
    </row>
    <row r="481" spans="7:17" ht="14">
      <c r="G481" s="380"/>
      <c r="H481" s="380"/>
      <c r="I481" s="380"/>
      <c r="J481" s="380"/>
      <c r="K481" s="380"/>
      <c r="L481" s="380"/>
      <c r="M481" s="380"/>
      <c r="N481" s="380"/>
      <c r="O481" s="380"/>
      <c r="P481" s="380"/>
      <c r="Q481" s="380"/>
    </row>
    <row r="482" spans="7:17" ht="14">
      <c r="G482" s="380"/>
      <c r="H482" s="380"/>
      <c r="I482" s="380"/>
      <c r="J482" s="380"/>
      <c r="K482" s="380"/>
      <c r="L482" s="380"/>
      <c r="M482" s="380"/>
      <c r="N482" s="380"/>
      <c r="O482" s="380"/>
      <c r="P482" s="380"/>
      <c r="Q482" s="380"/>
    </row>
    <row r="483" spans="7:17" ht="14">
      <c r="G483" s="380"/>
      <c r="H483" s="380"/>
      <c r="I483" s="380"/>
      <c r="J483" s="380"/>
      <c r="K483" s="380"/>
      <c r="L483" s="380"/>
      <c r="M483" s="380"/>
      <c r="N483" s="380"/>
      <c r="O483" s="380"/>
      <c r="P483" s="380"/>
      <c r="Q483" s="380"/>
    </row>
    <row r="484" spans="7:17" ht="14">
      <c r="G484" s="380"/>
      <c r="H484" s="380"/>
      <c r="I484" s="380"/>
      <c r="J484" s="380"/>
      <c r="K484" s="380"/>
      <c r="L484" s="380"/>
      <c r="M484" s="380"/>
      <c r="N484" s="380"/>
      <c r="O484" s="380"/>
      <c r="P484" s="380"/>
      <c r="Q484" s="380"/>
    </row>
    <row r="485" spans="7:17" ht="14">
      <c r="G485" s="380"/>
      <c r="H485" s="380"/>
      <c r="I485" s="380"/>
      <c r="J485" s="380"/>
      <c r="K485" s="380"/>
      <c r="L485" s="380"/>
      <c r="M485" s="380"/>
      <c r="N485" s="380"/>
      <c r="O485" s="380"/>
      <c r="P485" s="380"/>
      <c r="Q485" s="380"/>
    </row>
    <row r="486" spans="7:17" ht="14">
      <c r="G486" s="380"/>
      <c r="H486" s="380"/>
      <c r="I486" s="380"/>
      <c r="J486" s="380"/>
      <c r="K486" s="380"/>
      <c r="L486" s="380"/>
      <c r="M486" s="380"/>
      <c r="N486" s="380"/>
      <c r="O486" s="380"/>
      <c r="P486" s="380"/>
      <c r="Q486" s="380"/>
    </row>
    <row r="487" spans="7:17" ht="14">
      <c r="G487" s="380"/>
      <c r="H487" s="380"/>
      <c r="I487" s="380"/>
      <c r="J487" s="380"/>
      <c r="K487" s="380"/>
      <c r="L487" s="380"/>
      <c r="M487" s="380"/>
      <c r="N487" s="380"/>
      <c r="O487" s="380"/>
      <c r="P487" s="380"/>
      <c r="Q487" s="380"/>
    </row>
    <row r="488" spans="7:17" ht="14">
      <c r="G488" s="380"/>
      <c r="H488" s="380"/>
      <c r="I488" s="380"/>
      <c r="J488" s="380"/>
      <c r="K488" s="380"/>
      <c r="L488" s="380"/>
      <c r="M488" s="380"/>
      <c r="N488" s="380"/>
      <c r="O488" s="380"/>
      <c r="P488" s="380"/>
      <c r="Q488" s="380"/>
    </row>
    <row r="489" spans="7:17" ht="14">
      <c r="G489" s="380"/>
      <c r="H489" s="380"/>
      <c r="I489" s="380"/>
      <c r="J489" s="380"/>
      <c r="K489" s="380"/>
      <c r="L489" s="380"/>
      <c r="M489" s="380"/>
      <c r="N489" s="380"/>
      <c r="O489" s="380"/>
      <c r="P489" s="380"/>
      <c r="Q489" s="380"/>
    </row>
    <row r="490" spans="7:17" ht="14">
      <c r="G490" s="380"/>
      <c r="H490" s="380"/>
      <c r="I490" s="380"/>
      <c r="J490" s="380"/>
      <c r="K490" s="380"/>
      <c r="L490" s="380"/>
      <c r="M490" s="380"/>
      <c r="N490" s="380"/>
      <c r="O490" s="380"/>
      <c r="P490" s="380"/>
      <c r="Q490" s="380"/>
    </row>
    <row r="491" spans="7:17" ht="14">
      <c r="G491" s="380"/>
      <c r="H491" s="380"/>
      <c r="I491" s="380"/>
      <c r="J491" s="380"/>
      <c r="K491" s="380"/>
      <c r="L491" s="380"/>
      <c r="M491" s="380"/>
      <c r="N491" s="380"/>
      <c r="O491" s="380"/>
      <c r="P491" s="380"/>
      <c r="Q491" s="380"/>
    </row>
    <row r="492" spans="7:17" ht="14">
      <c r="G492" s="380"/>
      <c r="H492" s="380"/>
      <c r="I492" s="380"/>
      <c r="J492" s="380"/>
      <c r="K492" s="380"/>
      <c r="L492" s="380"/>
      <c r="M492" s="380"/>
      <c r="N492" s="380"/>
      <c r="O492" s="380"/>
      <c r="P492" s="380"/>
      <c r="Q492" s="380"/>
    </row>
    <row r="493" spans="7:17" ht="14">
      <c r="G493" s="380"/>
      <c r="H493" s="380"/>
      <c r="I493" s="380"/>
      <c r="J493" s="380"/>
      <c r="K493" s="380"/>
      <c r="L493" s="380"/>
      <c r="M493" s="380"/>
      <c r="N493" s="380"/>
      <c r="O493" s="380"/>
      <c r="P493" s="380"/>
      <c r="Q493" s="380"/>
    </row>
    <row r="494" spans="7:17" ht="14">
      <c r="G494" s="380"/>
      <c r="H494" s="380"/>
      <c r="I494" s="380"/>
      <c r="J494" s="380"/>
      <c r="K494" s="380"/>
      <c r="L494" s="380"/>
      <c r="M494" s="380"/>
      <c r="N494" s="380"/>
      <c r="O494" s="380"/>
      <c r="P494" s="380"/>
      <c r="Q494" s="380"/>
    </row>
    <row r="495" spans="7:17" ht="14">
      <c r="G495" s="380"/>
      <c r="H495" s="380"/>
      <c r="I495" s="380"/>
      <c r="J495" s="380"/>
      <c r="K495" s="380"/>
      <c r="L495" s="380"/>
      <c r="M495" s="380"/>
      <c r="N495" s="380"/>
      <c r="O495" s="380"/>
      <c r="P495" s="380"/>
      <c r="Q495" s="380"/>
    </row>
    <row r="496" spans="7:17" ht="14">
      <c r="G496" s="380"/>
      <c r="H496" s="380"/>
      <c r="I496" s="380"/>
      <c r="J496" s="380"/>
      <c r="K496" s="380"/>
      <c r="L496" s="380"/>
      <c r="M496" s="380"/>
      <c r="N496" s="380"/>
      <c r="O496" s="380"/>
      <c r="P496" s="380"/>
      <c r="Q496" s="380"/>
    </row>
    <row r="497" spans="7:17" ht="14">
      <c r="G497" s="380"/>
      <c r="H497" s="380"/>
      <c r="I497" s="380"/>
      <c r="J497" s="380"/>
      <c r="K497" s="380"/>
      <c r="L497" s="380"/>
      <c r="M497" s="380"/>
      <c r="N497" s="380"/>
      <c r="O497" s="380"/>
      <c r="P497" s="380"/>
      <c r="Q497" s="380"/>
    </row>
    <row r="498" spans="7:17" ht="14">
      <c r="G498" s="380"/>
      <c r="H498" s="380"/>
      <c r="I498" s="380"/>
      <c r="J498" s="380"/>
      <c r="K498" s="380"/>
      <c r="L498" s="380"/>
      <c r="M498" s="380"/>
      <c r="N498" s="380"/>
      <c r="O498" s="380"/>
      <c r="P498" s="380"/>
      <c r="Q498" s="380"/>
    </row>
    <row r="499" spans="7:17" ht="14">
      <c r="G499" s="380"/>
      <c r="H499" s="380"/>
      <c r="I499" s="380"/>
      <c r="J499" s="380"/>
      <c r="K499" s="380"/>
      <c r="L499" s="380"/>
      <c r="M499" s="380"/>
      <c r="N499" s="380"/>
      <c r="O499" s="380"/>
      <c r="P499" s="380"/>
      <c r="Q499" s="380"/>
    </row>
    <row r="500" spans="7:17" ht="14">
      <c r="G500" s="380"/>
      <c r="H500" s="380"/>
      <c r="I500" s="380"/>
      <c r="J500" s="380"/>
      <c r="K500" s="380"/>
      <c r="L500" s="380"/>
      <c r="M500" s="380"/>
      <c r="N500" s="380"/>
      <c r="O500" s="380"/>
      <c r="P500" s="380"/>
      <c r="Q500" s="380"/>
    </row>
    <row r="501" spans="7:17" ht="14">
      <c r="G501" s="380"/>
      <c r="H501" s="380"/>
      <c r="I501" s="380"/>
      <c r="J501" s="380"/>
      <c r="K501" s="380"/>
      <c r="L501" s="380"/>
      <c r="M501" s="380"/>
      <c r="N501" s="380"/>
      <c r="O501" s="380"/>
      <c r="P501" s="380"/>
      <c r="Q501" s="380"/>
    </row>
    <row r="502" spans="7:17" ht="14">
      <c r="G502" s="380"/>
      <c r="H502" s="380"/>
      <c r="I502" s="380"/>
      <c r="J502" s="380"/>
      <c r="K502" s="380"/>
      <c r="L502" s="380"/>
      <c r="M502" s="380"/>
      <c r="N502" s="380"/>
      <c r="O502" s="380"/>
      <c r="P502" s="380"/>
      <c r="Q502" s="380"/>
    </row>
    <row r="503" spans="7:17" ht="14">
      <c r="G503" s="380"/>
      <c r="H503" s="380"/>
      <c r="I503" s="380"/>
      <c r="J503" s="380"/>
      <c r="K503" s="380"/>
      <c r="L503" s="380"/>
      <c r="M503" s="380"/>
      <c r="N503" s="380"/>
      <c r="O503" s="380"/>
      <c r="P503" s="380"/>
      <c r="Q503" s="380"/>
    </row>
    <row r="504" spans="7:17" ht="14">
      <c r="G504" s="380"/>
      <c r="H504" s="380"/>
      <c r="I504" s="380"/>
      <c r="J504" s="380"/>
      <c r="K504" s="380"/>
      <c r="L504" s="380"/>
      <c r="M504" s="380"/>
      <c r="N504" s="380"/>
      <c r="O504" s="380"/>
      <c r="P504" s="380"/>
      <c r="Q504" s="380"/>
    </row>
    <row r="505" spans="7:17" ht="14">
      <c r="G505" s="380"/>
      <c r="H505" s="380"/>
      <c r="I505" s="380"/>
      <c r="J505" s="380"/>
      <c r="K505" s="380"/>
      <c r="L505" s="380"/>
      <c r="M505" s="380"/>
      <c r="N505" s="380"/>
      <c r="O505" s="380"/>
      <c r="P505" s="380"/>
      <c r="Q505" s="380"/>
    </row>
    <row r="506" spans="7:17" ht="14">
      <c r="G506" s="380"/>
      <c r="H506" s="380"/>
      <c r="I506" s="380"/>
      <c r="J506" s="380"/>
      <c r="K506" s="380"/>
      <c r="L506" s="380"/>
      <c r="M506" s="380"/>
      <c r="N506" s="380"/>
      <c r="O506" s="380"/>
      <c r="P506" s="380"/>
      <c r="Q506" s="380"/>
    </row>
  </sheetData>
  <mergeCells count="117">
    <mergeCell ref="A391:F391"/>
    <mergeCell ref="A418:F418"/>
    <mergeCell ref="A405:F405"/>
    <mergeCell ref="A358:F358"/>
    <mergeCell ref="J334:Q334"/>
    <mergeCell ref="J335:Q335"/>
    <mergeCell ref="A4:F4"/>
    <mergeCell ref="A282:F282"/>
    <mergeCell ref="A314:F314"/>
    <mergeCell ref="A331:F331"/>
    <mergeCell ref="A344:F344"/>
    <mergeCell ref="A350:F350"/>
    <mergeCell ref="A322:F322"/>
    <mergeCell ref="A377:F377"/>
    <mergeCell ref="J282:Q282"/>
    <mergeCell ref="J283:Q283"/>
    <mergeCell ref="J284:Q284"/>
    <mergeCell ref="J287:Q287"/>
    <mergeCell ref="J288:Q288"/>
    <mergeCell ref="J307:Q307"/>
    <mergeCell ref="J315:Q315"/>
    <mergeCell ref="J290:Q290"/>
    <mergeCell ref="J285:Q285"/>
    <mergeCell ref="J314:Q314"/>
    <mergeCell ref="A364:F364"/>
    <mergeCell ref="A371:F371"/>
    <mergeCell ref="J332:Q332"/>
    <mergeCell ref="J333:Q333"/>
    <mergeCell ref="J338:Q338"/>
    <mergeCell ref="J340:Q340"/>
    <mergeCell ref="J319:Q319"/>
    <mergeCell ref="J331:Q331"/>
    <mergeCell ref="J336:Q336"/>
    <mergeCell ref="J337:Q337"/>
    <mergeCell ref="J360:Q360"/>
    <mergeCell ref="J346:Q346"/>
    <mergeCell ref="J350:Q350"/>
    <mergeCell ref="J354:Q354"/>
    <mergeCell ref="J358:Q358"/>
    <mergeCell ref="J327:Q327"/>
    <mergeCell ref="L364:Q364"/>
    <mergeCell ref="L366:Q366"/>
    <mergeCell ref="L367:Q367"/>
    <mergeCell ref="J371:Q371"/>
    <mergeCell ref="J344:Q344"/>
    <mergeCell ref="J345:Q345"/>
    <mergeCell ref="J322:Q322"/>
    <mergeCell ref="J325:Q325"/>
    <mergeCell ref="K426:L426"/>
    <mergeCell ref="I425:J425"/>
    <mergeCell ref="I424:J424"/>
    <mergeCell ref="K424:L424"/>
    <mergeCell ref="H386:Q386"/>
    <mergeCell ref="H418:Q418"/>
    <mergeCell ref="H407:Q407"/>
    <mergeCell ref="H377:Q377"/>
    <mergeCell ref="H399:Q399"/>
    <mergeCell ref="H396:Q396"/>
    <mergeCell ref="H393:Q393"/>
    <mergeCell ref="H381:Q381"/>
    <mergeCell ref="H391:Q391"/>
    <mergeCell ref="H384:Q384"/>
    <mergeCell ref="H383:Q383"/>
    <mergeCell ref="H397:Q397"/>
    <mergeCell ref="H398:Q398"/>
    <mergeCell ref="H409:Q409"/>
    <mergeCell ref="H413:Q413"/>
    <mergeCell ref="H411:Q411"/>
    <mergeCell ref="H395:Q395"/>
    <mergeCell ref="G433:H433"/>
    <mergeCell ref="I433:J433"/>
    <mergeCell ref="K433:L433"/>
    <mergeCell ref="I431:J431"/>
    <mergeCell ref="G429:H429"/>
    <mergeCell ref="H412:Q412"/>
    <mergeCell ref="I429:J429"/>
    <mergeCell ref="G428:H428"/>
    <mergeCell ref="K427:L427"/>
    <mergeCell ref="H420:Q420"/>
    <mergeCell ref="I428:J428"/>
    <mergeCell ref="K428:L428"/>
    <mergeCell ref="G425:H425"/>
    <mergeCell ref="G430:H430"/>
    <mergeCell ref="I430:J430"/>
    <mergeCell ref="K430:L430"/>
    <mergeCell ref="G431:H431"/>
    <mergeCell ref="K431:L431"/>
    <mergeCell ref="K425:L425"/>
    <mergeCell ref="I427:J427"/>
    <mergeCell ref="G424:H424"/>
    <mergeCell ref="I426:J426"/>
    <mergeCell ref="G427:H427"/>
    <mergeCell ref="G426:H426"/>
    <mergeCell ref="J326:Q326"/>
    <mergeCell ref="H405:Q405"/>
    <mergeCell ref="H410:Q410"/>
    <mergeCell ref="J286:Q286"/>
    <mergeCell ref="J308:Q308"/>
    <mergeCell ref="J309:Q309"/>
    <mergeCell ref="J318:Q318"/>
    <mergeCell ref="J299:Q299"/>
    <mergeCell ref="J306:Q306"/>
    <mergeCell ref="J294:Q294"/>
    <mergeCell ref="J295:Q295"/>
    <mergeCell ref="J310:Q310"/>
    <mergeCell ref="J305:Q305"/>
    <mergeCell ref="J297:Q297"/>
    <mergeCell ref="J301:Q301"/>
    <mergeCell ref="J304:Q304"/>
    <mergeCell ref="J317:Q317"/>
    <mergeCell ref="J316:Q316"/>
    <mergeCell ref="J292:Q292"/>
    <mergeCell ref="J289:Q289"/>
    <mergeCell ref="J373:Q373"/>
    <mergeCell ref="H379:Q379"/>
    <mergeCell ref="H382:Q382"/>
    <mergeCell ref="H385:Q385"/>
  </mergeCells>
  <printOptions horizontalCentered="1"/>
  <pageMargins left="0.25" right="0.25" top="0.75" bottom="0.75" header="0.5" footer="0.5"/>
  <pageSetup fitToHeight="4" orientation="landscape" scale="47" r:id="rId1"/>
  <headerFooter alignWithMargins="0">
    <oddHeader>&amp;C&amp;16Cost Support</oddHeader>
    <oddFooter>&amp;CPage &amp;P of 17</oddFooter>
  </headerFooter>
  <rowBreaks count="3" manualBreakCount="3">
    <brk id="275" max="16" man="1"/>
    <brk id="329" max="16" man="1"/>
    <brk id="374" max="16" man="1"/>
  </rowBreaks>
  <customProperties>
    <customPr name="_pios_id" r:id="rId2"/>
  </customPropertie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N340"/>
  <sheetViews>
    <sheetView zoomScale="89" zoomScaleNormal="89" workbookViewId="0" topLeftCell="A121">
      <selection pane="topLeft" activeCell="D100" sqref="D100"/>
    </sheetView>
  </sheetViews>
  <sheetFormatPr defaultRowHeight="12.5"/>
  <cols>
    <col min="1" max="1" width="4.14285714285714" style="171" customWidth="1"/>
    <col min="2" max="2" width="4.71428571428571" style="171" customWidth="1"/>
    <col min="3" max="3" width="7.14285714285714" style="171" customWidth="1"/>
    <col min="4" max="4" width="12" customWidth="1"/>
    <col min="5" max="5" width="18.4285714285714" customWidth="1"/>
    <col min="6" max="6" width="16.4285714285714" customWidth="1"/>
    <col min="7" max="7" width="29" customWidth="1"/>
    <col min="8" max="8" width="11" customWidth="1"/>
    <col min="9" max="9" width="12.8571428571429" customWidth="1"/>
    <col min="10" max="10" width="15.5714285714286" customWidth="1"/>
    <col min="11" max="11" width="16.8571428571429" customWidth="1"/>
  </cols>
  <sheetData>
    <row r="1" spans="1:10" ht="18">
      <c r="A1" s="957" t="s">
        <v>451</v>
      </c>
      <c r="B1" s="1015"/>
      <c r="C1" s="1015"/>
      <c r="D1" s="1015"/>
      <c r="E1" s="1015"/>
      <c r="F1" s="1015"/>
      <c r="G1" s="1015"/>
      <c r="H1" s="1015"/>
      <c r="I1" s="1015"/>
      <c r="J1" s="1015"/>
    </row>
    <row r="2" spans="1:10" ht="13">
      <c r="A2" s="199"/>
      <c r="J2" s="2"/>
    </row>
    <row r="3" spans="1:10" ht="18">
      <c r="A3" s="968" t="s">
        <v>4</v>
      </c>
      <c r="B3" s="968"/>
      <c r="C3" s="968"/>
      <c r="D3" s="968"/>
      <c r="E3" s="968"/>
      <c r="F3" s="968"/>
      <c r="G3" s="968"/>
      <c r="H3" s="968"/>
      <c r="I3" s="965"/>
      <c r="J3" s="965"/>
    </row>
    <row r="4" ht="12.5"/>
    <row r="5" ht="12.5"/>
    <row r="6" spans="1:14" ht="12.5">
      <c r="A6" s="476" t="s">
        <v>375</v>
      </c>
      <c r="B6" s="476" t="s">
        <v>376</v>
      </c>
      <c r="C6" s="476" t="s">
        <v>377</v>
      </c>
      <c r="D6" s="476" t="s">
        <v>378</v>
      </c>
      <c r="E6" s="477"/>
      <c r="F6" s="477"/>
      <c r="G6" s="477"/>
      <c r="H6" s="477"/>
      <c r="I6" s="477"/>
      <c r="J6" s="477"/>
      <c r="K6" s="477"/>
      <c r="L6" s="477"/>
      <c r="M6" s="477"/>
      <c r="N6" s="477"/>
    </row>
    <row r="7" spans="2:14" ht="12.5">
      <c r="B7" s="476"/>
      <c r="C7" s="476"/>
      <c r="D7" s="477"/>
      <c r="E7" s="477"/>
      <c r="F7" s="477"/>
      <c r="G7" s="477"/>
      <c r="H7" s="477"/>
      <c r="I7" s="477"/>
      <c r="J7" s="477"/>
      <c r="K7" s="477"/>
      <c r="L7" s="477"/>
      <c r="M7" s="477"/>
      <c r="N7" s="477"/>
    </row>
    <row r="8" spans="1:14" ht="12.5">
      <c r="A8" s="478" t="s">
        <v>379</v>
      </c>
      <c r="B8" s="476"/>
      <c r="C8" s="476"/>
      <c r="D8" s="477"/>
      <c r="E8" s="477"/>
      <c r="F8" s="477"/>
      <c r="G8" s="477"/>
      <c r="H8" s="477"/>
      <c r="I8" s="477"/>
      <c r="J8" s="477"/>
      <c r="K8" s="477"/>
      <c r="L8" s="477"/>
      <c r="M8" s="477"/>
      <c r="N8" s="477"/>
    </row>
    <row r="9" spans="1:14" ht="12.5">
      <c r="A9" s="476">
        <v>1</v>
      </c>
      <c r="B9" s="476" t="s">
        <v>380</v>
      </c>
      <c r="C9" s="476" t="s">
        <v>5</v>
      </c>
      <c r="D9" s="482" t="s">
        <v>563</v>
      </c>
      <c r="E9" s="477"/>
      <c r="F9" s="477"/>
      <c r="G9" s="477"/>
      <c r="H9" s="477"/>
      <c r="I9" s="477"/>
      <c r="J9" s="477"/>
      <c r="K9" s="477"/>
      <c r="L9" s="477"/>
      <c r="M9" s="477"/>
      <c r="N9" s="477"/>
    </row>
    <row r="10" spans="1:14" ht="12.5">
      <c r="A10" s="476">
        <v>2</v>
      </c>
      <c r="B10" s="476" t="str">
        <f>+B9</f>
        <v>April</v>
      </c>
      <c r="C10" s="476" t="str">
        <f>+C9</f>
        <v>Year 2</v>
      </c>
      <c r="D10" s="482" t="s">
        <v>7</v>
      </c>
      <c r="E10" s="477"/>
      <c r="F10" s="477"/>
      <c r="G10" s="477"/>
      <c r="H10" s="477"/>
      <c r="I10" s="477"/>
      <c r="J10" s="477"/>
      <c r="K10" s="477"/>
      <c r="L10" s="477"/>
      <c r="M10" s="477"/>
      <c r="N10" s="477"/>
    </row>
    <row r="11" spans="1:14" ht="12.5">
      <c r="A11" s="476">
        <v>3</v>
      </c>
      <c r="B11" s="476" t="s">
        <v>380</v>
      </c>
      <c r="C11" s="476" t="str">
        <f>+C10</f>
        <v>Year 2</v>
      </c>
      <c r="D11" s="482" t="s">
        <v>438</v>
      </c>
      <c r="E11" s="477"/>
      <c r="F11" s="477"/>
      <c r="G11" s="477"/>
      <c r="H11" s="477"/>
      <c r="I11" s="477"/>
      <c r="J11" s="477"/>
      <c r="K11" s="477"/>
      <c r="L11" s="477"/>
      <c r="M11" s="477"/>
      <c r="N11" s="477"/>
    </row>
    <row r="12" spans="1:14" ht="12.5">
      <c r="A12" s="476">
        <v>4</v>
      </c>
      <c r="B12" s="476" t="s">
        <v>381</v>
      </c>
      <c r="C12" s="476" t="str">
        <f>+C11</f>
        <v>Year 2</v>
      </c>
      <c r="D12" s="482" t="s">
        <v>8</v>
      </c>
      <c r="E12" s="477"/>
      <c r="F12" s="477"/>
      <c r="G12" s="477"/>
      <c r="H12" s="477"/>
      <c r="I12" s="477"/>
      <c r="J12" s="477"/>
      <c r="K12" s="477"/>
      <c r="L12" s="477"/>
      <c r="M12" s="477"/>
      <c r="N12" s="477"/>
    </row>
    <row r="13" spans="1:14" ht="12.5">
      <c r="A13" s="476">
        <v>5</v>
      </c>
      <c r="B13" s="479" t="s">
        <v>382</v>
      </c>
      <c r="C13" s="476" t="str">
        <f>+C12</f>
        <v>Year 2</v>
      </c>
      <c r="D13" s="482" t="s">
        <v>9</v>
      </c>
      <c r="E13" s="477"/>
      <c r="F13" s="477"/>
      <c r="G13" s="477"/>
      <c r="H13" s="477"/>
      <c r="I13" s="477"/>
      <c r="J13" s="477"/>
      <c r="K13" s="477"/>
      <c r="L13" s="477"/>
      <c r="M13" s="477"/>
      <c r="N13" s="477"/>
    </row>
    <row r="14" spans="1:14" ht="12.5">
      <c r="A14" s="476"/>
      <c r="B14" s="476"/>
      <c r="C14" s="476"/>
      <c r="D14" s="482"/>
      <c r="E14" s="477"/>
      <c r="F14" s="477"/>
      <c r="G14" s="477"/>
      <c r="H14" s="477"/>
      <c r="I14" s="477"/>
      <c r="J14" s="477"/>
      <c r="K14" s="477"/>
      <c r="L14" s="477"/>
      <c r="M14" s="477"/>
      <c r="N14" s="477"/>
    </row>
    <row r="15" spans="1:14" ht="12.5">
      <c r="A15" s="476">
        <v>6</v>
      </c>
      <c r="B15" s="476" t="str">
        <f>+B9</f>
        <v>April</v>
      </c>
      <c r="C15" s="476" t="s">
        <v>6</v>
      </c>
      <c r="D15" s="482" t="s">
        <v>15</v>
      </c>
      <c r="E15" s="477"/>
      <c r="F15" s="477"/>
      <c r="G15" s="477"/>
      <c r="H15" s="477"/>
      <c r="I15" s="477"/>
      <c r="J15" s="477"/>
      <c r="K15" s="477"/>
      <c r="L15" s="477"/>
      <c r="M15" s="477"/>
      <c r="N15" s="477"/>
    </row>
    <row r="16" spans="1:14" ht="12.5">
      <c r="A16" s="476">
        <v>7</v>
      </c>
      <c r="B16" s="476" t="str">
        <f>+B15</f>
        <v>April</v>
      </c>
      <c r="C16" s="476" t="str">
        <f>+C15</f>
        <v>Year 3</v>
      </c>
      <c r="D16" s="482" t="s">
        <v>14</v>
      </c>
      <c r="E16" s="477"/>
      <c r="F16" s="477"/>
      <c r="G16" s="477"/>
      <c r="H16" s="477"/>
      <c r="I16" s="477"/>
      <c r="J16" s="477"/>
      <c r="K16" s="477"/>
      <c r="L16" s="477"/>
      <c r="M16" s="477"/>
      <c r="N16" s="477"/>
    </row>
    <row r="17" spans="1:14" ht="27" customHeight="1">
      <c r="A17" s="696">
        <v>8</v>
      </c>
      <c r="B17" s="696" t="str">
        <f>+B16</f>
        <v>April</v>
      </c>
      <c r="C17" s="696" t="str">
        <f>+C16</f>
        <v>Year 3</v>
      </c>
      <c r="D17" s="1014" t="s">
        <v>10</v>
      </c>
      <c r="E17" s="1014"/>
      <c r="F17" s="1014"/>
      <c r="G17" s="1014"/>
      <c r="H17" s="1014"/>
      <c r="I17" s="1014"/>
      <c r="J17" s="176"/>
      <c r="K17" s="477"/>
      <c r="L17" s="477"/>
      <c r="M17" s="477"/>
      <c r="N17" s="477"/>
    </row>
    <row r="18" spans="1:14" ht="12.5">
      <c r="A18" s="476"/>
      <c r="B18" s="476"/>
      <c r="C18" s="476"/>
      <c r="D18" s="482" t="s">
        <v>11</v>
      </c>
      <c r="E18" s="176"/>
      <c r="F18" s="176"/>
      <c r="G18" s="176"/>
      <c r="H18" s="176"/>
      <c r="I18" s="176"/>
      <c r="J18" s="176"/>
      <c r="K18" s="477"/>
      <c r="L18" s="477"/>
      <c r="M18" s="477"/>
      <c r="N18" s="477"/>
    </row>
    <row r="19" spans="1:14" ht="31.5" customHeight="1">
      <c r="A19" s="696">
        <v>9</v>
      </c>
      <c r="B19" s="696" t="str">
        <f>+B17</f>
        <v>April</v>
      </c>
      <c r="C19" s="696" t="str">
        <f>+C17</f>
        <v>Year 3</v>
      </c>
      <c r="D19" s="1014" t="s">
        <v>12</v>
      </c>
      <c r="E19" s="1014"/>
      <c r="F19" s="1014"/>
      <c r="G19" s="1014"/>
      <c r="H19" s="1014"/>
      <c r="I19" s="1014"/>
      <c r="J19" s="477"/>
      <c r="K19" s="477"/>
      <c r="L19" s="477"/>
      <c r="M19" s="477"/>
      <c r="N19" s="477"/>
    </row>
    <row r="20" spans="1:14" ht="12.5">
      <c r="A20" s="476">
        <v>10</v>
      </c>
      <c r="B20" s="476" t="str">
        <f>+B12</f>
        <v>May</v>
      </c>
      <c r="C20" s="476" t="str">
        <f>+C19</f>
        <v>Year 3</v>
      </c>
      <c r="D20" s="482" t="s">
        <v>13</v>
      </c>
      <c r="E20" s="477"/>
      <c r="F20" s="477"/>
      <c r="G20" s="477"/>
      <c r="H20" s="477"/>
      <c r="I20" s="477"/>
      <c r="J20" s="477"/>
      <c r="K20" s="477"/>
      <c r="L20" s="477"/>
      <c r="M20" s="477"/>
      <c r="N20" s="477"/>
    </row>
    <row r="21" spans="1:14" ht="12.5">
      <c r="A21" s="476">
        <v>11</v>
      </c>
      <c r="B21" s="479" t="str">
        <f>+B13</f>
        <v>June</v>
      </c>
      <c r="C21" s="476" t="str">
        <f>+C20</f>
        <v>Year 3</v>
      </c>
      <c r="D21" s="482" t="s">
        <v>16</v>
      </c>
      <c r="E21" s="477"/>
      <c r="F21" s="477"/>
      <c r="G21" s="477"/>
      <c r="H21" s="477"/>
      <c r="I21" s="477"/>
      <c r="J21" s="477"/>
      <c r="K21" s="477"/>
      <c r="L21" s="477"/>
      <c r="M21" s="477"/>
      <c r="N21" s="477"/>
    </row>
    <row r="22" spans="1:14" ht="12.5">
      <c r="A22" s="476"/>
      <c r="B22" s="479"/>
      <c r="C22" s="476"/>
      <c r="E22" s="477"/>
      <c r="F22" s="477"/>
      <c r="G22" s="477"/>
      <c r="H22" s="477"/>
      <c r="I22" s="477"/>
      <c r="J22" s="477"/>
      <c r="K22" s="477"/>
      <c r="L22" s="477"/>
      <c r="M22" s="477"/>
      <c r="N22" s="477"/>
    </row>
    <row r="23" spans="1:14" ht="12.5">
      <c r="A23" s="476"/>
      <c r="B23" s="476"/>
      <c r="C23" s="476"/>
      <c r="D23" s="477"/>
      <c r="E23" s="477"/>
      <c r="F23" s="477"/>
      <c r="G23" s="477"/>
      <c r="H23" s="477"/>
      <c r="I23" s="477"/>
      <c r="J23" s="477"/>
      <c r="K23" s="477"/>
      <c r="L23" s="477"/>
      <c r="M23" s="477"/>
      <c r="N23" s="477"/>
    </row>
    <row r="24" spans="1:14" ht="12.5">
      <c r="A24" s="478" t="s">
        <v>383</v>
      </c>
      <c r="B24" s="476"/>
      <c r="C24" s="476"/>
      <c r="D24" s="480"/>
      <c r="E24" s="477"/>
      <c r="F24" s="477"/>
      <c r="G24" s="477"/>
      <c r="H24" s="477"/>
      <c r="I24" s="477"/>
      <c r="J24" s="477"/>
      <c r="K24" s="477"/>
      <c r="L24" s="477"/>
      <c r="M24" s="477"/>
      <c r="N24" s="477"/>
    </row>
    <row r="25" spans="1:14" ht="12.5">
      <c r="A25" s="476">
        <f>+A9</f>
        <v>1</v>
      </c>
      <c r="B25" s="476" t="str">
        <f>+B9</f>
        <v>April</v>
      </c>
      <c r="C25" s="476" t="s">
        <v>5</v>
      </c>
      <c r="D25" s="477" t="str">
        <f>+D9</f>
        <v>TO populates the formula with Year 1 data from Form 1 for Year 1 (e.g. 2005 data) (no Cap Adds)</v>
      </c>
      <c r="E25" s="477"/>
      <c r="F25" s="477"/>
      <c r="G25" s="477"/>
      <c r="H25" s="477"/>
      <c r="I25" s="477"/>
      <c r="J25" s="477"/>
      <c r="K25" s="477"/>
      <c r="L25" s="477"/>
      <c r="M25" s="477"/>
      <c r="N25" s="477"/>
    </row>
    <row r="26" spans="1:14" ht="12.5">
      <c r="A26" s="476"/>
      <c r="B26" s="476"/>
      <c r="C26" s="476"/>
      <c r="D26" s="880">
        <v>4112346</v>
      </c>
      <c r="E26" s="477" t="s">
        <v>17</v>
      </c>
      <c r="F26" s="477"/>
      <c r="G26" s="477" t="s">
        <v>18</v>
      </c>
      <c r="H26" s="477"/>
      <c r="I26" s="477"/>
      <c r="J26" s="477"/>
      <c r="K26" s="477"/>
      <c r="L26" s="477"/>
      <c r="M26" s="477"/>
      <c r="N26" s="477"/>
    </row>
    <row r="27" spans="1:14" ht="12.5">
      <c r="A27" s="476"/>
      <c r="B27" s="476"/>
      <c r="C27" s="476"/>
      <c r="D27" s="477"/>
      <c r="E27" s="477"/>
      <c r="F27" s="477"/>
      <c r="G27" s="477"/>
      <c r="H27" s="477"/>
      <c r="I27" s="477"/>
      <c r="J27" s="477"/>
      <c r="K27" s="477"/>
      <c r="L27" s="477"/>
      <c r="M27" s="477"/>
      <c r="N27" s="477"/>
    </row>
    <row r="28" spans="1:14" ht="12.5">
      <c r="A28" s="476">
        <v>2</v>
      </c>
      <c r="B28" s="476" t="str">
        <f>+B25</f>
        <v>April</v>
      </c>
      <c r="C28" s="476" t="s">
        <v>5</v>
      </c>
      <c r="D28" s="482" t="str">
        <f>+D10</f>
        <v>TO estimates all transmission Cap Adds for Year 2 weighted based on Months expected to be in service in Year 2 (e.g. 2006)</v>
      </c>
      <c r="E28" s="477"/>
      <c r="F28" s="477"/>
      <c r="G28" s="477"/>
      <c r="H28" s="477"/>
      <c r="I28" s="477"/>
      <c r="J28" s="477"/>
      <c r="K28" s="477"/>
      <c r="L28" s="477"/>
      <c r="M28" s="477"/>
      <c r="N28" s="477"/>
    </row>
    <row r="29" spans="1:14" ht="12.5">
      <c r="A29" s="476"/>
      <c r="B29" s="476"/>
      <c r="C29" s="476"/>
      <c r="D29" s="477"/>
      <c r="E29" s="476" t="s">
        <v>435</v>
      </c>
      <c r="F29" s="476" t="s">
        <v>384</v>
      </c>
      <c r="G29" s="476" t="s">
        <v>267</v>
      </c>
      <c r="H29" s="476" t="s">
        <v>385</v>
      </c>
      <c r="I29" s="477"/>
      <c r="J29" s="477"/>
      <c r="K29" s="477"/>
      <c r="L29" s="477"/>
      <c r="M29" s="477"/>
      <c r="N29" s="477"/>
    </row>
    <row r="30" spans="1:14" ht="12.5">
      <c r="A30" s="476"/>
      <c r="B30" s="476"/>
      <c r="C30" s="476"/>
      <c r="D30" s="477" t="s">
        <v>386</v>
      </c>
      <c r="E30" s="496">
        <v>0</v>
      </c>
      <c r="F30" s="477">
        <v>11.5</v>
      </c>
      <c r="G30" s="484">
        <f t="shared" si="0" ref="G30:G41">=+F30*E30</f>
        <v>0</v>
      </c>
      <c r="H30" s="480">
        <f t="shared" si="1" ref="H30:H41">=+G30/12</f>
        <v>0</v>
      </c>
      <c r="I30" s="477"/>
      <c r="J30" s="477"/>
      <c r="K30" s="477"/>
      <c r="L30" s="477"/>
      <c r="M30" s="477"/>
      <c r="N30" s="477"/>
    </row>
    <row r="31" spans="1:14" ht="12.5">
      <c r="A31" s="476"/>
      <c r="B31" s="476"/>
      <c r="C31" s="476"/>
      <c r="D31" s="477" t="s">
        <v>387</v>
      </c>
      <c r="E31" s="496">
        <v>0</v>
      </c>
      <c r="F31" s="477">
        <f>F30-1</f>
        <v>10.5</v>
      </c>
      <c r="G31" s="484">
        <f t="shared" si="0"/>
        <v>0</v>
      </c>
      <c r="H31" s="480">
        <f t="shared" si="1"/>
        <v>0</v>
      </c>
      <c r="I31" s="477"/>
      <c r="J31" s="477"/>
      <c r="K31" s="477"/>
      <c r="L31" s="477"/>
      <c r="M31" s="477"/>
      <c r="N31" s="477"/>
    </row>
    <row r="32" spans="1:14" ht="12.5">
      <c r="A32" s="476"/>
      <c r="B32" s="476"/>
      <c r="C32" s="476"/>
      <c r="D32" s="477" t="s">
        <v>388</v>
      </c>
      <c r="E32" s="496">
        <v>0</v>
      </c>
      <c r="F32" s="477">
        <f t="shared" si="2" ref="F32:F41">=+F31-1</f>
        <v>9.5</v>
      </c>
      <c r="G32" s="484">
        <f t="shared" si="0"/>
        <v>0</v>
      </c>
      <c r="H32" s="480">
        <f t="shared" si="1"/>
        <v>0</v>
      </c>
      <c r="I32" s="477"/>
      <c r="J32" s="477"/>
      <c r="K32" s="477"/>
      <c r="L32" s="477"/>
      <c r="M32" s="477"/>
      <c r="N32" s="477"/>
    </row>
    <row r="33" spans="1:14" ht="12.5">
      <c r="A33" s="476"/>
      <c r="B33" s="476"/>
      <c r="C33" s="476"/>
      <c r="D33" s="477" t="s">
        <v>389</v>
      </c>
      <c r="E33" s="496">
        <v>0</v>
      </c>
      <c r="F33" s="477">
        <f t="shared" si="2"/>
        <v>8.5</v>
      </c>
      <c r="G33" s="484">
        <f t="shared" si="0"/>
        <v>0</v>
      </c>
      <c r="H33" s="480">
        <f t="shared" si="1"/>
        <v>0</v>
      </c>
      <c r="I33" s="477"/>
      <c r="J33" s="477"/>
      <c r="K33" s="477"/>
      <c r="L33" s="477"/>
      <c r="M33" s="477"/>
      <c r="N33" s="477"/>
    </row>
    <row r="34" spans="1:14" ht="12.5">
      <c r="A34" s="476"/>
      <c r="B34" s="476"/>
      <c r="C34" s="476"/>
      <c r="D34" s="477" t="s">
        <v>381</v>
      </c>
      <c r="E34" s="496">
        <v>0</v>
      </c>
      <c r="F34" s="477">
        <f t="shared" si="2"/>
        <v>7.5</v>
      </c>
      <c r="G34" s="484">
        <f t="shared" si="0"/>
        <v>0</v>
      </c>
      <c r="H34" s="480">
        <f t="shared" si="1"/>
        <v>0</v>
      </c>
      <c r="I34" s="477"/>
      <c r="J34" s="477"/>
      <c r="K34" s="477"/>
      <c r="L34" s="477"/>
      <c r="M34" s="477"/>
      <c r="N34" s="477"/>
    </row>
    <row r="35" spans="1:14" ht="12.5">
      <c r="A35" s="476"/>
      <c r="B35" s="476"/>
      <c r="C35" s="476"/>
      <c r="D35" s="477" t="s">
        <v>390</v>
      </c>
      <c r="E35" s="496">
        <v>0</v>
      </c>
      <c r="F35" s="477">
        <f t="shared" si="2"/>
        <v>6.5</v>
      </c>
      <c r="G35" s="484">
        <f t="shared" si="0"/>
        <v>0</v>
      </c>
      <c r="H35" s="480">
        <f t="shared" si="1"/>
        <v>0</v>
      </c>
      <c r="I35" s="477"/>
      <c r="J35" s="477"/>
      <c r="K35" s="477"/>
      <c r="L35" s="477"/>
      <c r="M35" s="477"/>
      <c r="N35" s="477"/>
    </row>
    <row r="36" spans="1:14" ht="12.5">
      <c r="A36" s="476"/>
      <c r="B36" s="476"/>
      <c r="C36" s="476"/>
      <c r="D36" s="477" t="s">
        <v>391</v>
      </c>
      <c r="E36" s="496">
        <v>0</v>
      </c>
      <c r="F36" s="477">
        <f t="shared" si="2"/>
        <v>5.5</v>
      </c>
      <c r="G36" s="484">
        <f t="shared" si="0"/>
        <v>0</v>
      </c>
      <c r="H36" s="480">
        <f t="shared" si="1"/>
        <v>0</v>
      </c>
      <c r="I36" s="477"/>
      <c r="J36" s="477"/>
      <c r="K36" s="477"/>
      <c r="L36" s="477"/>
      <c r="M36" s="477"/>
      <c r="N36" s="477"/>
    </row>
    <row r="37" spans="1:14" ht="12.5">
      <c r="A37" s="476"/>
      <c r="B37" s="476"/>
      <c r="C37" s="476"/>
      <c r="D37" s="477" t="s">
        <v>392</v>
      </c>
      <c r="E37" s="496">
        <v>0</v>
      </c>
      <c r="F37" s="477">
        <f t="shared" si="2"/>
        <v>4.5</v>
      </c>
      <c r="G37" s="484">
        <f t="shared" si="0"/>
        <v>0</v>
      </c>
      <c r="H37" s="480">
        <f t="shared" si="1"/>
        <v>0</v>
      </c>
      <c r="I37" s="477"/>
      <c r="J37" s="477"/>
      <c r="K37" s="477"/>
      <c r="L37" s="477"/>
      <c r="M37" s="477"/>
      <c r="N37" s="477"/>
    </row>
    <row r="38" spans="1:14" ht="12.5">
      <c r="A38" s="476"/>
      <c r="B38" s="476"/>
      <c r="C38" s="476"/>
      <c r="D38" s="477" t="s">
        <v>393</v>
      </c>
      <c r="E38" s="496">
        <v>0</v>
      </c>
      <c r="F38" s="477">
        <f t="shared" si="2"/>
        <v>3.5</v>
      </c>
      <c r="G38" s="484">
        <f t="shared" si="0"/>
        <v>0</v>
      </c>
      <c r="H38" s="480">
        <f t="shared" si="1"/>
        <v>0</v>
      </c>
      <c r="I38" s="477"/>
      <c r="J38" s="477"/>
      <c r="K38" s="477"/>
      <c r="L38" s="477"/>
      <c r="M38" s="477"/>
      <c r="N38" s="477"/>
    </row>
    <row r="39" spans="1:14" ht="12.5">
      <c r="A39" s="476"/>
      <c r="B39" s="476"/>
      <c r="C39" s="476"/>
      <c r="D39" s="477" t="s">
        <v>394</v>
      </c>
      <c r="E39" s="496">
        <v>0</v>
      </c>
      <c r="F39" s="477">
        <f t="shared" si="2"/>
        <v>2.5</v>
      </c>
      <c r="G39" s="484">
        <f t="shared" si="0"/>
        <v>0</v>
      </c>
      <c r="H39" s="480">
        <f t="shared" si="1"/>
        <v>0</v>
      </c>
      <c r="I39" s="477"/>
      <c r="J39" s="477"/>
      <c r="K39" s="477"/>
      <c r="L39" s="477"/>
      <c r="M39" s="477"/>
      <c r="N39" s="477"/>
    </row>
    <row r="40" spans="1:14" ht="12.5">
      <c r="A40" s="476"/>
      <c r="B40" s="476"/>
      <c r="C40" s="476"/>
      <c r="D40" s="477" t="s">
        <v>395</v>
      </c>
      <c r="E40" s="496">
        <v>0</v>
      </c>
      <c r="F40" s="477">
        <f t="shared" si="2"/>
        <v>1.5</v>
      </c>
      <c r="G40" s="484">
        <f t="shared" si="0"/>
        <v>0</v>
      </c>
      <c r="H40" s="480">
        <f t="shared" si="1"/>
        <v>0</v>
      </c>
      <c r="I40" s="477"/>
      <c r="J40" s="477"/>
      <c r="K40" s="477"/>
      <c r="L40" s="477"/>
      <c r="M40" s="477"/>
      <c r="N40" s="477"/>
    </row>
    <row r="41" spans="1:14" ht="12.5">
      <c r="A41" s="476"/>
      <c r="B41" s="476"/>
      <c r="C41" s="476"/>
      <c r="D41" s="477" t="s">
        <v>396</v>
      </c>
      <c r="E41" s="496">
        <v>0</v>
      </c>
      <c r="F41" s="477">
        <f t="shared" si="2"/>
        <v>0.5</v>
      </c>
      <c r="G41" s="484">
        <f t="shared" si="0"/>
        <v>0</v>
      </c>
      <c r="H41" s="480">
        <f t="shared" si="1"/>
        <v>0</v>
      </c>
      <c r="I41" s="477"/>
      <c r="J41" s="477"/>
      <c r="K41" s="477"/>
      <c r="L41" s="477"/>
      <c r="M41" s="477"/>
      <c r="N41" s="477"/>
    </row>
    <row r="42" spans="1:14" ht="12.5">
      <c r="A42" s="476"/>
      <c r="B42" s="476"/>
      <c r="C42" s="476"/>
      <c r="D42" s="477" t="s">
        <v>173</v>
      </c>
      <c r="E42" s="484">
        <f>SUM(E30:E41)</f>
        <v>0</v>
      </c>
      <c r="F42" s="477"/>
      <c r="G42" s="484">
        <f>SUM(G30:G41)</f>
        <v>0</v>
      </c>
      <c r="H42" s="480">
        <f>SUM(H30:H41)</f>
        <v>0</v>
      </c>
      <c r="I42" s="477"/>
      <c r="J42" s="477"/>
      <c r="K42" s="477"/>
      <c r="L42" s="477"/>
      <c r="M42" s="477"/>
      <c r="N42" s="477"/>
    </row>
    <row r="43" spans="1:14" ht="12.5">
      <c r="A43" s="476"/>
      <c r="B43" s="476"/>
      <c r="D43" s="477" t="s">
        <v>19</v>
      </c>
      <c r="E43" s="477"/>
      <c r="F43" s="477"/>
      <c r="G43" s="477"/>
      <c r="H43" s="496">
        <f>+H42</f>
        <v>0</v>
      </c>
      <c r="I43" s="216"/>
      <c r="J43" s="477"/>
      <c r="K43" s="477"/>
      <c r="L43" s="477"/>
      <c r="M43" s="477"/>
      <c r="N43" s="477"/>
    </row>
    <row r="44" spans="1:14" ht="12.5">
      <c r="A44" s="476"/>
      <c r="B44" s="476"/>
      <c r="C44" s="477"/>
      <c r="E44" s="477"/>
      <c r="F44" s="477"/>
      <c r="G44" s="477"/>
      <c r="H44" s="484"/>
      <c r="I44" s="477"/>
      <c r="J44" s="477"/>
      <c r="K44" s="477"/>
      <c r="L44" s="477"/>
      <c r="M44" s="477"/>
      <c r="N44" s="477"/>
    </row>
    <row r="45" spans="1:14" ht="12.5">
      <c r="A45" s="476"/>
      <c r="B45" s="476"/>
      <c r="C45" s="476"/>
      <c r="D45" s="477"/>
      <c r="E45" s="477"/>
      <c r="F45" s="477"/>
      <c r="G45" s="477"/>
      <c r="H45" s="484"/>
      <c r="I45" s="477"/>
      <c r="J45" s="477"/>
      <c r="K45" s="477"/>
      <c r="L45" s="477"/>
      <c r="M45" s="477"/>
      <c r="N45" s="477"/>
    </row>
    <row r="46" spans="1:14" ht="12.5">
      <c r="A46" s="476">
        <v>3</v>
      </c>
      <c r="B46" s="476" t="str">
        <f>+B28</f>
        <v>April</v>
      </c>
      <c r="C46" s="476" t="str">
        <f>+C28</f>
        <v>Year 2</v>
      </c>
      <c r="D46" s="482" t="str">
        <f>+D11</f>
        <v>TO adds weighted Cap Adds to plant in service in Formula</v>
      </c>
      <c r="E46" s="477"/>
      <c r="F46" s="477"/>
      <c r="G46" s="477"/>
      <c r="H46" s="477"/>
      <c r="I46" s="477"/>
      <c r="J46" s="477"/>
      <c r="K46" s="477"/>
      <c r="L46" s="477"/>
      <c r="M46" s="477"/>
      <c r="N46" s="477"/>
    </row>
    <row r="47" spans="1:14" ht="12.5">
      <c r="A47" s="476"/>
      <c r="B47" s="476"/>
      <c r="C47" s="476"/>
      <c r="D47" s="486">
        <f>+H43</f>
        <v>0</v>
      </c>
      <c r="E47" s="477" t="s">
        <v>711</v>
      </c>
      <c r="F47" s="484"/>
      <c r="G47" s="476"/>
      <c r="H47" s="484"/>
      <c r="I47" s="477"/>
      <c r="J47" s="477"/>
      <c r="K47" s="477"/>
      <c r="L47" s="477"/>
      <c r="M47" s="477"/>
      <c r="N47" s="477"/>
    </row>
    <row r="48" spans="1:14" ht="12.5">
      <c r="A48" s="476"/>
      <c r="B48" s="476"/>
      <c r="C48" s="476"/>
      <c r="D48" s="486"/>
      <c r="E48" s="476"/>
      <c r="F48" s="484"/>
      <c r="G48" s="476"/>
      <c r="H48" s="484"/>
      <c r="I48" s="477"/>
      <c r="J48" s="477"/>
      <c r="K48" s="477"/>
      <c r="L48" s="477"/>
      <c r="M48" s="477"/>
      <c r="N48" s="477"/>
    </row>
    <row r="49" spans="1:14" ht="12.5">
      <c r="A49" s="476">
        <v>4</v>
      </c>
      <c r="B49" s="476" t="str">
        <f>+B12</f>
        <v>May</v>
      </c>
      <c r="C49" s="476" t="str">
        <f>+C46</f>
        <v>Year 2</v>
      </c>
      <c r="D49" s="477" t="s">
        <v>8</v>
      </c>
      <c r="E49" s="477"/>
      <c r="F49" s="477"/>
      <c r="G49" s="477"/>
      <c r="H49" s="477"/>
      <c r="I49" s="477"/>
      <c r="J49" s="477"/>
      <c r="K49" s="477"/>
      <c r="L49" s="477"/>
      <c r="M49" s="477"/>
      <c r="N49" s="477"/>
    </row>
    <row r="50" spans="1:14" ht="12.5">
      <c r="A50" s="476"/>
      <c r="B50" s="476"/>
      <c r="C50" s="476"/>
      <c r="D50" s="880">
        <v>0</v>
      </c>
      <c r="F50" s="477" t="s">
        <v>20</v>
      </c>
      <c r="H50" s="477"/>
      <c r="I50" s="477"/>
      <c r="J50" s="477"/>
      <c r="K50" s="477"/>
      <c r="L50" s="477"/>
      <c r="M50" s="477"/>
      <c r="N50" s="477"/>
    </row>
    <row r="51" spans="1:14" ht="12.5">
      <c r="A51" s="476"/>
      <c r="B51" s="476"/>
      <c r="C51" s="476"/>
      <c r="D51" s="481"/>
      <c r="E51" s="477"/>
      <c r="F51" s="477"/>
      <c r="G51" s="477"/>
      <c r="H51" s="477"/>
      <c r="I51" s="477"/>
      <c r="J51" s="477"/>
      <c r="K51" s="477"/>
      <c r="L51" s="477"/>
      <c r="M51" s="477"/>
      <c r="N51" s="477"/>
    </row>
    <row r="52" spans="1:14" ht="12.5">
      <c r="A52" s="476">
        <f>+A13</f>
        <v>5</v>
      </c>
      <c r="B52" s="476" t="str">
        <f>+B13</f>
        <v>June</v>
      </c>
      <c r="C52" s="476" t="str">
        <f>+C13</f>
        <v>Year 2</v>
      </c>
      <c r="D52" s="482" t="str">
        <f>+D13</f>
        <v>Results of Step 3 go into effect for the Rate Year 1 (e.g. June 1, 2005 - May 31, 2006)</v>
      </c>
      <c r="E52" s="477"/>
      <c r="F52" s="477"/>
      <c r="G52" s="477"/>
      <c r="H52" s="477"/>
      <c r="I52" s="477"/>
      <c r="J52" s="477"/>
      <c r="K52" s="477"/>
      <c r="L52" s="477"/>
      <c r="M52" s="477"/>
      <c r="N52" s="477"/>
    </row>
    <row r="53" spans="1:14" ht="12.5">
      <c r="A53" s="476"/>
      <c r="B53" s="476"/>
      <c r="C53" s="476"/>
      <c r="D53" s="486">
        <f>+D50</f>
        <v>0</v>
      </c>
      <c r="E53" s="477"/>
      <c r="F53" s="477"/>
      <c r="G53" s="477"/>
      <c r="H53" s="477"/>
      <c r="I53" s="477"/>
      <c r="J53" s="477"/>
      <c r="K53" s="477"/>
      <c r="L53" s="477"/>
      <c r="M53" s="477"/>
      <c r="N53" s="477"/>
    </row>
    <row r="54" spans="1:14" ht="12.5">
      <c r="A54" s="501"/>
      <c r="B54" s="501"/>
      <c r="C54" s="501"/>
      <c r="D54" s="502"/>
      <c r="E54" s="502"/>
      <c r="F54" s="502"/>
      <c r="G54" s="502"/>
      <c r="H54" s="502"/>
      <c r="I54" s="502"/>
      <c r="J54" s="502"/>
      <c r="K54" s="502"/>
      <c r="L54" s="477"/>
      <c r="M54" s="477"/>
      <c r="N54" s="477"/>
    </row>
    <row r="55" spans="1:14" ht="12.5">
      <c r="A55" s="501"/>
      <c r="B55" s="501"/>
      <c r="C55" s="501"/>
      <c r="D55" s="502"/>
      <c r="E55" s="502"/>
      <c r="F55" s="502"/>
      <c r="G55" s="502"/>
      <c r="H55" s="502"/>
      <c r="I55" s="502"/>
      <c r="J55" s="502"/>
      <c r="K55" s="502"/>
      <c r="L55" s="477"/>
      <c r="M55" s="477"/>
      <c r="N55" s="477"/>
    </row>
    <row r="56" spans="1:14" ht="12.5">
      <c r="A56" s="476">
        <f>+A15</f>
        <v>6</v>
      </c>
      <c r="B56" s="476" t="str">
        <f>+B15</f>
        <v>April</v>
      </c>
      <c r="C56" s="476" t="str">
        <f>+C15</f>
        <v>Year 3</v>
      </c>
      <c r="D56" s="482" t="str">
        <f>+D15</f>
        <v>TO populates the formula with Year 2 data from FERC Form 1 for Year 2 (e.g., 2006)</v>
      </c>
      <c r="E56" s="477"/>
      <c r="F56" s="477"/>
      <c r="G56" s="477"/>
      <c r="H56" s="477"/>
      <c r="I56" s="477"/>
      <c r="J56" s="477"/>
      <c r="K56" s="477"/>
      <c r="L56" s="477"/>
      <c r="M56" s="477"/>
      <c r="N56" s="477"/>
    </row>
    <row r="57" spans="1:14" ht="12.5">
      <c r="A57" s="476"/>
      <c r="B57" s="476"/>
      <c r="C57" s="476"/>
      <c r="D57" s="497">
        <v>0</v>
      </c>
      <c r="E57" s="477" t="s">
        <v>439</v>
      </c>
      <c r="F57" s="477"/>
      <c r="G57" s="477" t="s">
        <v>18</v>
      </c>
      <c r="H57" s="477"/>
      <c r="I57" s="477"/>
      <c r="J57" s="477"/>
      <c r="K57" s="477"/>
      <c r="L57" s="477"/>
      <c r="M57" s="477"/>
      <c r="N57" s="477"/>
    </row>
    <row r="58" spans="1:14" ht="12.5">
      <c r="A58" s="476"/>
      <c r="B58" s="476"/>
      <c r="C58" s="476"/>
      <c r="D58" s="497"/>
      <c r="E58" s="477"/>
      <c r="F58" s="477"/>
      <c r="G58" s="477"/>
      <c r="H58" s="477"/>
      <c r="I58" s="477"/>
      <c r="J58" s="477"/>
      <c r="K58" s="477"/>
      <c r="L58" s="477"/>
      <c r="M58" s="477"/>
      <c r="N58" s="477"/>
    </row>
    <row r="59" spans="1:14" ht="12.5">
      <c r="A59" s="476"/>
      <c r="B59" s="476"/>
      <c r="C59" s="476"/>
      <c r="D59" s="487"/>
      <c r="E59" s="477"/>
      <c r="F59" s="477"/>
      <c r="G59" s="477"/>
      <c r="H59" s="477"/>
      <c r="I59" s="477"/>
      <c r="J59" s="477"/>
      <c r="K59" s="477"/>
      <c r="L59" s="477"/>
      <c r="M59" s="477"/>
      <c r="N59" s="477"/>
    </row>
    <row r="60" spans="1:14" ht="12.5">
      <c r="A60" s="476">
        <f>+A16</f>
        <v>7</v>
      </c>
      <c r="B60" s="476" t="str">
        <f>+B16</f>
        <v>April</v>
      </c>
      <c r="C60" s="476" t="str">
        <f>+C16</f>
        <v>Year 3</v>
      </c>
      <c r="D60" s="482" t="str">
        <f>+D16</f>
        <v>TO estimates Cap Adds during Year 3 weighted based on Months expected to be in service in Year 3 (e.g., 2007)</v>
      </c>
      <c r="E60" s="477"/>
      <c r="F60" s="477"/>
      <c r="G60" s="477"/>
      <c r="H60" s="477"/>
      <c r="I60" s="477"/>
      <c r="J60" s="477"/>
      <c r="K60" s="477"/>
      <c r="L60" s="477"/>
      <c r="M60" s="477"/>
      <c r="N60" s="477"/>
    </row>
    <row r="61" spans="1:14" ht="12.5">
      <c r="A61" s="476"/>
      <c r="B61" s="476"/>
      <c r="C61" s="476"/>
      <c r="D61" s="477"/>
      <c r="E61" s="476" t="s">
        <v>435</v>
      </c>
      <c r="F61" s="476" t="s">
        <v>384</v>
      </c>
      <c r="G61" s="476" t="s">
        <v>267</v>
      </c>
      <c r="H61" s="476" t="s">
        <v>385</v>
      </c>
      <c r="I61" s="477"/>
      <c r="J61" s="477"/>
      <c r="K61" s="477"/>
      <c r="N61" s="477"/>
    </row>
    <row r="62" spans="1:14" ht="12.5">
      <c r="A62" s="476"/>
      <c r="B62" s="476"/>
      <c r="C62" s="476"/>
      <c r="D62" s="477" t="s">
        <v>386</v>
      </c>
      <c r="E62" s="559">
        <v>0</v>
      </c>
      <c r="F62" s="477">
        <v>11.5</v>
      </c>
      <c r="G62" s="484">
        <f t="shared" si="3" ref="G62:G73">=+F62*E62</f>
        <v>0</v>
      </c>
      <c r="H62" s="480">
        <f t="shared" si="4" ref="H62:H73">=+G62/12</f>
        <v>0</v>
      </c>
      <c r="I62" s="875" t="s">
        <v>817</v>
      </c>
      <c r="J62" s="715"/>
      <c r="K62" s="477"/>
      <c r="N62" s="477"/>
    </row>
    <row r="63" spans="1:14" ht="12.5">
      <c r="A63" s="476"/>
      <c r="B63" s="476"/>
      <c r="C63" s="476"/>
      <c r="D63" s="477" t="s">
        <v>387</v>
      </c>
      <c r="E63" s="559">
        <v>203000</v>
      </c>
      <c r="F63" s="477">
        <f>F62-1</f>
        <v>10.5</v>
      </c>
      <c r="G63" s="484">
        <f t="shared" si="3"/>
        <v>2131500</v>
      </c>
      <c r="H63" s="480">
        <f t="shared" si="4"/>
        <v>177625</v>
      </c>
      <c r="I63" s="477"/>
      <c r="J63" s="477"/>
      <c r="K63" s="477"/>
      <c r="N63" s="477"/>
    </row>
    <row r="64" spans="1:14" ht="12.5">
      <c r="A64" s="476"/>
      <c r="B64" s="476"/>
      <c r="C64" s="476"/>
      <c r="D64" s="477" t="s">
        <v>388</v>
      </c>
      <c r="E64" s="559">
        <v>0</v>
      </c>
      <c r="F64" s="477">
        <f t="shared" si="5" ref="F64:F73">=+F63-1</f>
        <v>9.5</v>
      </c>
      <c r="G64" s="484">
        <f t="shared" si="3"/>
        <v>0</v>
      </c>
      <c r="H64" s="480">
        <f t="shared" si="4"/>
        <v>0</v>
      </c>
      <c r="I64" s="477"/>
      <c r="J64" s="864"/>
      <c r="K64" s="477"/>
      <c r="N64" s="477"/>
    </row>
    <row r="65" spans="1:14" ht="12.5">
      <c r="A65" s="476"/>
      <c r="B65" s="476"/>
      <c r="C65" s="476"/>
      <c r="D65" s="477" t="s">
        <v>389</v>
      </c>
      <c r="E65" s="483">
        <v>280000</v>
      </c>
      <c r="F65" s="477">
        <f t="shared" si="5"/>
        <v>8.5</v>
      </c>
      <c r="G65" s="484">
        <f t="shared" si="3"/>
        <v>2380000</v>
      </c>
      <c r="H65" s="480">
        <f t="shared" si="4"/>
        <v>198333.33333333334</v>
      </c>
      <c r="I65" s="477"/>
      <c r="J65" s="496"/>
      <c r="K65" s="477"/>
      <c r="N65" s="477"/>
    </row>
    <row r="66" spans="1:14" ht="12.5">
      <c r="A66" s="476"/>
      <c r="B66" s="476"/>
      <c r="C66" s="476"/>
      <c r="D66" s="477" t="s">
        <v>381</v>
      </c>
      <c r="E66" s="559">
        <v>0</v>
      </c>
      <c r="F66" s="477">
        <f t="shared" si="5"/>
        <v>7.5</v>
      </c>
      <c r="G66" s="484">
        <f t="shared" si="3"/>
        <v>0</v>
      </c>
      <c r="H66" s="480">
        <f t="shared" si="4"/>
        <v>0</v>
      </c>
      <c r="I66" s="477"/>
      <c r="J66" s="864"/>
      <c r="K66" s="477"/>
      <c r="N66" s="477"/>
    </row>
    <row r="67" spans="1:14" ht="12.5">
      <c r="A67" s="476"/>
      <c r="B67" s="476"/>
      <c r="C67" s="476"/>
      <c r="D67" s="477" t="s">
        <v>390</v>
      </c>
      <c r="E67" s="483">
        <v>404055</v>
      </c>
      <c r="F67" s="477">
        <f t="shared" si="5"/>
        <v>6.5</v>
      </c>
      <c r="G67" s="484">
        <f t="shared" si="3"/>
        <v>2626357.5</v>
      </c>
      <c r="H67" s="480">
        <f t="shared" si="4"/>
        <v>218863.125</v>
      </c>
      <c r="I67" s="477"/>
      <c r="J67" s="496"/>
      <c r="K67" s="477"/>
      <c r="N67" s="477"/>
    </row>
    <row r="68" spans="1:14" ht="12.5">
      <c r="A68" s="476"/>
      <c r="B68" s="476"/>
      <c r="C68" s="476"/>
      <c r="D68" s="477" t="s">
        <v>391</v>
      </c>
      <c r="E68" s="559">
        <v>235000</v>
      </c>
      <c r="F68" s="477">
        <f t="shared" si="5"/>
        <v>5.5</v>
      </c>
      <c r="G68" s="484">
        <f t="shared" si="3"/>
        <v>1292500</v>
      </c>
      <c r="H68" s="480">
        <f t="shared" si="4"/>
        <v>107708.33333333333</v>
      </c>
      <c r="I68" s="477"/>
      <c r="J68" s="864"/>
      <c r="K68" s="477"/>
      <c r="N68" s="477"/>
    </row>
    <row r="69" spans="1:14" ht="12.5">
      <c r="A69" s="476"/>
      <c r="B69" s="476"/>
      <c r="C69" s="476"/>
      <c r="D69" s="477" t="s">
        <v>392</v>
      </c>
      <c r="E69" s="559">
        <v>0</v>
      </c>
      <c r="F69" s="477">
        <f t="shared" si="5"/>
        <v>4.5</v>
      </c>
      <c r="G69" s="484">
        <f t="shared" si="3"/>
        <v>0</v>
      </c>
      <c r="H69" s="480">
        <f t="shared" si="4"/>
        <v>0</v>
      </c>
      <c r="I69" s="477"/>
      <c r="J69" s="864"/>
      <c r="K69" s="477"/>
      <c r="N69" s="477"/>
    </row>
    <row r="70" spans="1:14" ht="12.5">
      <c r="A70" s="476"/>
      <c r="B70" s="476"/>
      <c r="C70" s="476"/>
      <c r="D70" s="477" t="s">
        <v>393</v>
      </c>
      <c r="E70" s="559">
        <v>2101427</v>
      </c>
      <c r="F70" s="477">
        <f t="shared" si="5"/>
        <v>3.5</v>
      </c>
      <c r="G70" s="484">
        <f t="shared" si="3"/>
        <v>7354994.5</v>
      </c>
      <c r="H70" s="480">
        <f t="shared" si="4"/>
        <v>612916.20833333337</v>
      </c>
      <c r="I70" s="477"/>
      <c r="J70" s="864"/>
      <c r="K70" s="477"/>
      <c r="N70" s="477"/>
    </row>
    <row r="71" spans="1:14" ht="12.5">
      <c r="A71" s="476"/>
      <c r="B71" s="476"/>
      <c r="C71" s="476"/>
      <c r="D71" s="477" t="s">
        <v>394</v>
      </c>
      <c r="E71" s="559">
        <v>624204</v>
      </c>
      <c r="F71" s="477">
        <f t="shared" si="5"/>
        <v>2.5</v>
      </c>
      <c r="G71" s="484">
        <f t="shared" si="3"/>
        <v>1560510</v>
      </c>
      <c r="H71" s="480">
        <f t="shared" si="4"/>
        <v>130042.5</v>
      </c>
      <c r="I71" s="477"/>
      <c r="J71" s="477"/>
      <c r="K71" s="477"/>
      <c r="N71" s="477"/>
    </row>
    <row r="72" spans="1:14" ht="12.5">
      <c r="A72" s="476"/>
      <c r="B72" s="476"/>
      <c r="C72" s="476"/>
      <c r="D72" s="477" t="s">
        <v>395</v>
      </c>
      <c r="E72" s="483">
        <v>106079</v>
      </c>
      <c r="F72" s="477">
        <f t="shared" si="5"/>
        <v>1.5</v>
      </c>
      <c r="G72" s="484">
        <f t="shared" si="3"/>
        <v>159118.5</v>
      </c>
      <c r="H72" s="480">
        <f t="shared" si="4"/>
        <v>13259.875</v>
      </c>
      <c r="I72" s="477"/>
      <c r="J72" s="477"/>
      <c r="K72" s="477"/>
      <c r="N72" s="477"/>
    </row>
    <row r="73" spans="1:14" ht="12.5">
      <c r="A73" s="476"/>
      <c r="B73" s="476"/>
      <c r="C73" s="476"/>
      <c r="D73" s="477" t="s">
        <v>396</v>
      </c>
      <c r="E73" s="483">
        <v>65000</v>
      </c>
      <c r="F73" s="477">
        <f t="shared" si="5"/>
        <v>0.5</v>
      </c>
      <c r="G73" s="484">
        <f t="shared" si="3"/>
        <v>32500</v>
      </c>
      <c r="H73" s="480">
        <f t="shared" si="4"/>
        <v>2708.3333333333335</v>
      </c>
      <c r="I73" s="477"/>
      <c r="J73" s="477"/>
      <c r="K73" s="477"/>
      <c r="N73" s="477"/>
    </row>
    <row r="74" spans="1:14" ht="12.5">
      <c r="A74" s="476"/>
      <c r="B74" s="476"/>
      <c r="C74" s="476"/>
      <c r="D74" s="477" t="s">
        <v>173</v>
      </c>
      <c r="E74" s="876">
        <f>SUM(E62:E73)</f>
        <v>4018765</v>
      </c>
      <c r="F74" s="477"/>
      <c r="G74" s="484">
        <f>SUM(G62:G73)</f>
        <v>17537480.5</v>
      </c>
      <c r="H74" s="480">
        <f>SUM(H62:H73)</f>
        <v>1461456.7083333333</v>
      </c>
      <c r="I74" s="477"/>
      <c r="J74" s="477"/>
      <c r="K74" s="477"/>
      <c r="L74" s="477"/>
      <c r="M74" s="477"/>
      <c r="N74" s="477"/>
    </row>
    <row r="75" spans="1:14" ht="12.5">
      <c r="A75" s="476"/>
      <c r="B75" s="476"/>
      <c r="D75" s="477" t="s">
        <v>21</v>
      </c>
      <c r="E75" s="477"/>
      <c r="F75" s="477"/>
      <c r="G75" s="477"/>
      <c r="H75" s="496">
        <f>+H74</f>
        <v>1461456.7083333333</v>
      </c>
      <c r="I75" s="477" t="str">
        <f>+E47</f>
        <v>Input to Formula Line 21</v>
      </c>
      <c r="J75" s="477"/>
      <c r="K75" s="477"/>
      <c r="L75" s="477"/>
      <c r="M75" s="477"/>
      <c r="N75" s="477"/>
    </row>
    <row r="76" spans="1:14" ht="12.5">
      <c r="A76" s="476"/>
      <c r="B76" s="476"/>
      <c r="C76" s="860"/>
      <c r="D76" s="477"/>
      <c r="E76" s="477"/>
      <c r="F76" s="477"/>
      <c r="G76" s="477"/>
      <c r="H76" s="499"/>
      <c r="I76" s="477"/>
      <c r="J76" s="477"/>
      <c r="K76" s="477"/>
      <c r="L76" s="477"/>
      <c r="M76" s="477"/>
      <c r="N76" s="477"/>
    </row>
    <row r="77" spans="1:14" ht="27.75" customHeight="1">
      <c r="A77" s="931">
        <f>+A17</f>
        <v>8</v>
      </c>
      <c r="B77" s="696" t="str">
        <f>+B17</f>
        <v>April</v>
      </c>
      <c r="C77" s="696" t="str">
        <f>+C17</f>
        <v>Year 3</v>
      </c>
      <c r="D77" s="1014" t="s">
        <v>22</v>
      </c>
      <c r="E77" s="1014"/>
      <c r="F77" s="1014"/>
      <c r="G77" s="1014"/>
      <c r="H77" s="1014"/>
      <c r="I77" s="1014"/>
      <c r="J77" s="1014"/>
      <c r="K77" s="477"/>
      <c r="L77" s="477"/>
      <c r="M77" s="477"/>
      <c r="N77" s="477"/>
    </row>
    <row r="78" spans="1:14" ht="12.5">
      <c r="A78" s="476"/>
      <c r="B78" s="476"/>
      <c r="C78" s="476"/>
      <c r="D78" s="695" t="s">
        <v>11</v>
      </c>
      <c r="E78" s="176"/>
      <c r="F78" s="176"/>
      <c r="G78" s="176"/>
      <c r="H78" s="176"/>
      <c r="I78" s="176"/>
      <c r="J78" s="176"/>
      <c r="K78" s="477"/>
      <c r="L78" s="477"/>
      <c r="M78" s="477"/>
      <c r="N78" s="477"/>
    </row>
    <row r="79" spans="1:14" ht="12.5">
      <c r="A79" s="476"/>
      <c r="B79" s="476"/>
      <c r="C79" s="476"/>
      <c r="D79" s="175"/>
      <c r="E79" s="175"/>
      <c r="F79" s="175"/>
      <c r="G79" s="175"/>
      <c r="H79" s="175"/>
      <c r="I79" s="175"/>
      <c r="J79" s="175"/>
      <c r="K79" s="477"/>
      <c r="L79" s="477"/>
      <c r="M79" s="477"/>
      <c r="N79" s="477"/>
    </row>
    <row r="80" spans="1:14" ht="12.5">
      <c r="A80" s="476"/>
      <c r="B80" s="476"/>
      <c r="C80" s="476"/>
      <c r="D80" s="497" t="s">
        <v>23</v>
      </c>
      <c r="E80" s="477"/>
      <c r="G80" s="875" t="s">
        <v>818</v>
      </c>
      <c r="H80" s="498"/>
      <c r="I80" s="477"/>
      <c r="K80" s="477"/>
      <c r="L80" s="477"/>
      <c r="M80" s="477"/>
      <c r="N80" s="477"/>
    </row>
    <row r="81" spans="1:14" ht="12.5">
      <c r="A81" s="476"/>
      <c r="B81" s="476"/>
      <c r="C81" s="476"/>
      <c r="D81" s="477" t="s">
        <v>26</v>
      </c>
      <c r="E81" s="477"/>
      <c r="F81" s="477"/>
      <c r="G81" s="477"/>
      <c r="H81" s="500">
        <f>+E97</f>
        <v>1574601</v>
      </c>
      <c r="I81" s="477" t="s">
        <v>712</v>
      </c>
      <c r="J81" s="477"/>
      <c r="K81" s="477"/>
      <c r="L81" s="477"/>
      <c r="M81" s="477"/>
      <c r="N81" s="477"/>
    </row>
    <row r="82" spans="1:14" ht="12.5">
      <c r="A82" s="476"/>
      <c r="B82" s="476"/>
      <c r="C82" s="476"/>
      <c r="D82" s="497"/>
      <c r="E82" s="477"/>
      <c r="F82" s="477"/>
      <c r="G82" s="477"/>
      <c r="H82" s="477"/>
      <c r="I82" s="477"/>
      <c r="J82" s="477"/>
      <c r="K82" s="477"/>
      <c r="L82" s="477"/>
      <c r="M82" s="477"/>
      <c r="N82" s="477"/>
    </row>
    <row r="83" spans="1:14" ht="12.5">
      <c r="A83" s="476"/>
      <c r="B83" s="476"/>
      <c r="C83" s="476"/>
      <c r="D83" s="504" t="s">
        <v>27</v>
      </c>
      <c r="E83" s="477"/>
      <c r="F83" s="477"/>
      <c r="G83" s="477"/>
      <c r="H83" s="477"/>
      <c r="I83" s="477"/>
      <c r="J83" s="477"/>
      <c r="K83" s="477"/>
      <c r="L83" s="477"/>
      <c r="M83" s="477"/>
      <c r="N83" s="477"/>
    </row>
    <row r="84" spans="1:14" ht="12.5">
      <c r="A84" s="476"/>
      <c r="B84" s="476"/>
      <c r="C84" s="476"/>
      <c r="D84" s="477"/>
      <c r="E84" s="476" t="s">
        <v>436</v>
      </c>
      <c r="F84" s="476" t="s">
        <v>384</v>
      </c>
      <c r="G84" s="476" t="s">
        <v>267</v>
      </c>
      <c r="H84" s="476" t="s">
        <v>385</v>
      </c>
      <c r="I84" s="477"/>
      <c r="J84" s="477"/>
      <c r="K84" s="477"/>
      <c r="L84" s="477"/>
      <c r="M84" s="477"/>
      <c r="N84" s="477"/>
    </row>
    <row r="85" spans="1:14" ht="12.5">
      <c r="A85" s="476"/>
      <c r="B85" s="476"/>
      <c r="C85" s="476"/>
      <c r="D85" s="477" t="s">
        <v>386</v>
      </c>
      <c r="E85" s="483">
        <v>47248</v>
      </c>
      <c r="F85" s="477">
        <v>11.5</v>
      </c>
      <c r="G85" s="484">
        <f>+F85*E85</f>
        <v>543352</v>
      </c>
      <c r="H85" s="480">
        <f t="shared" si="6" ref="H85:H96">=+G85/12</f>
        <v>45279.333333333336</v>
      </c>
      <c r="I85" s="477"/>
      <c r="J85" s="477"/>
      <c r="K85" s="477"/>
      <c r="L85" s="714"/>
      <c r="M85" s="477"/>
      <c r="N85" s="477"/>
    </row>
    <row r="86" spans="1:14" ht="12.5">
      <c r="A86" s="476"/>
      <c r="B86" s="476"/>
      <c r="C86" s="476"/>
      <c r="D86" s="477" t="s">
        <v>387</v>
      </c>
      <c r="E86" s="483">
        <v>89662</v>
      </c>
      <c r="F86" s="477">
        <f>F85-1</f>
        <v>10.5</v>
      </c>
      <c r="G86" s="484">
        <f t="shared" si="7" ref="G86:G96">=+F86*E86</f>
        <v>941451</v>
      </c>
      <c r="H86" s="480">
        <f t="shared" si="6"/>
        <v>78454.25</v>
      </c>
      <c r="I86" s="477"/>
      <c r="J86" s="477"/>
      <c r="K86" s="477"/>
      <c r="L86" s="714"/>
      <c r="M86" s="477"/>
      <c r="N86" s="477"/>
    </row>
    <row r="87" spans="1:14" ht="12.5">
      <c r="A87" s="476"/>
      <c r="B87" s="476"/>
      <c r="C87" s="476"/>
      <c r="D87" s="477" t="s">
        <v>388</v>
      </c>
      <c r="E87" s="483">
        <v>102726</v>
      </c>
      <c r="F87" s="477">
        <f t="shared" si="8" ref="F87:F96">=+F86-1</f>
        <v>9.5</v>
      </c>
      <c r="G87" s="484">
        <f t="shared" si="7"/>
        <v>975897</v>
      </c>
      <c r="H87" s="480">
        <f t="shared" si="6"/>
        <v>81324.75</v>
      </c>
      <c r="I87" s="477"/>
      <c r="J87" s="477"/>
      <c r="K87" s="477"/>
      <c r="L87" s="714"/>
      <c r="M87" s="477"/>
      <c r="N87" s="477"/>
    </row>
    <row r="88" spans="1:14" ht="12.5">
      <c r="A88" s="476"/>
      <c r="B88" s="476"/>
      <c r="C88" s="476"/>
      <c r="D88" s="477" t="s">
        <v>389</v>
      </c>
      <c r="E88" s="483">
        <v>274367</v>
      </c>
      <c r="F88" s="477">
        <f t="shared" si="8"/>
        <v>8.5</v>
      </c>
      <c r="G88" s="484">
        <f t="shared" si="7"/>
        <v>2332119.5</v>
      </c>
      <c r="H88" s="480">
        <f t="shared" si="6"/>
        <v>194343.29166666666</v>
      </c>
      <c r="I88" s="477"/>
      <c r="J88" s="496"/>
      <c r="K88" s="477"/>
      <c r="L88" s="714"/>
      <c r="M88" s="477"/>
      <c r="N88" s="477"/>
    </row>
    <row r="89" spans="1:14" ht="12.5">
      <c r="A89" s="476"/>
      <c r="B89" s="476"/>
      <c r="C89" s="476"/>
      <c r="D89" s="477" t="s">
        <v>381</v>
      </c>
      <c r="E89" s="483">
        <v>373143</v>
      </c>
      <c r="F89" s="477">
        <f t="shared" si="8"/>
        <v>7.5</v>
      </c>
      <c r="G89" s="484">
        <f t="shared" si="7"/>
        <v>2798572.5</v>
      </c>
      <c r="H89" s="480">
        <f t="shared" si="6"/>
        <v>233214.375</v>
      </c>
      <c r="I89" s="477"/>
      <c r="J89" s="496"/>
      <c r="K89" s="477"/>
      <c r="L89" s="714"/>
      <c r="M89" s="477"/>
      <c r="N89" s="477"/>
    </row>
    <row r="90" spans="1:14" ht="12.5">
      <c r="A90" s="476"/>
      <c r="B90" s="476"/>
      <c r="C90" s="476"/>
      <c r="D90" s="477" t="s">
        <v>390</v>
      </c>
      <c r="E90" s="483">
        <v>0</v>
      </c>
      <c r="F90" s="477">
        <f t="shared" si="8"/>
        <v>6.5</v>
      </c>
      <c r="G90" s="484">
        <f t="shared" si="7"/>
        <v>0</v>
      </c>
      <c r="H90" s="480">
        <f t="shared" si="6"/>
        <v>0</v>
      </c>
      <c r="I90" s="477"/>
      <c r="J90" s="496"/>
      <c r="K90" s="477"/>
      <c r="L90" s="714"/>
      <c r="M90" s="477"/>
      <c r="N90" s="477"/>
    </row>
    <row r="91" spans="1:14" ht="12.5">
      <c r="A91" s="476"/>
      <c r="B91" s="476"/>
      <c r="C91" s="476"/>
      <c r="D91" s="477" t="s">
        <v>391</v>
      </c>
      <c r="E91" s="483">
        <v>0</v>
      </c>
      <c r="F91" s="477">
        <f t="shared" si="8"/>
        <v>5.5</v>
      </c>
      <c r="G91" s="484">
        <f t="shared" si="7"/>
        <v>0</v>
      </c>
      <c r="H91" s="480">
        <f t="shared" si="6"/>
        <v>0</v>
      </c>
      <c r="I91" s="477"/>
      <c r="J91" s="496"/>
      <c r="K91" s="477"/>
      <c r="L91" s="714"/>
      <c r="M91" s="477"/>
      <c r="N91" s="477"/>
    </row>
    <row r="92" spans="1:14" ht="12.5">
      <c r="A92" s="476"/>
      <c r="B92" s="476"/>
      <c r="C92" s="476"/>
      <c r="D92" s="477" t="s">
        <v>392</v>
      </c>
      <c r="E92" s="483">
        <v>0</v>
      </c>
      <c r="F92" s="477">
        <f t="shared" si="8"/>
        <v>4.5</v>
      </c>
      <c r="G92" s="484">
        <f t="shared" si="7"/>
        <v>0</v>
      </c>
      <c r="H92" s="480">
        <f t="shared" si="6"/>
        <v>0</v>
      </c>
      <c r="I92" s="477"/>
      <c r="J92" s="496"/>
      <c r="K92" s="477"/>
      <c r="L92" s="714"/>
      <c r="M92" s="477"/>
      <c r="N92" s="477"/>
    </row>
    <row r="93" spans="1:14" ht="12.5">
      <c r="A93" s="476"/>
      <c r="B93" s="476"/>
      <c r="C93" s="476"/>
      <c r="D93" s="477" t="s">
        <v>393</v>
      </c>
      <c r="E93" s="483">
        <v>254803</v>
      </c>
      <c r="F93" s="477">
        <f t="shared" si="8"/>
        <v>3.5</v>
      </c>
      <c r="G93" s="484">
        <f t="shared" si="7"/>
        <v>891810.5</v>
      </c>
      <c r="H93" s="480">
        <f t="shared" si="6"/>
        <v>74317.541666666672</v>
      </c>
      <c r="I93" s="477"/>
      <c r="J93" s="496"/>
      <c r="K93" s="477"/>
      <c r="L93" s="714"/>
      <c r="M93" s="477"/>
      <c r="N93" s="477"/>
    </row>
    <row r="94" spans="1:14" ht="12.5">
      <c r="A94" s="476"/>
      <c r="B94" s="476"/>
      <c r="C94" s="476"/>
      <c r="D94" s="477" t="s">
        <v>394</v>
      </c>
      <c r="E94" s="483">
        <v>0</v>
      </c>
      <c r="F94" s="477">
        <f t="shared" si="8"/>
        <v>2.5</v>
      </c>
      <c r="G94" s="484">
        <f t="shared" si="7"/>
        <v>0</v>
      </c>
      <c r="H94" s="480">
        <f t="shared" si="6"/>
        <v>0</v>
      </c>
      <c r="I94" s="477"/>
      <c r="J94" s="496"/>
      <c r="K94" s="477"/>
      <c r="L94" s="714"/>
      <c r="M94" s="477"/>
      <c r="N94" s="477"/>
    </row>
    <row r="95" spans="1:14" ht="12.5">
      <c r="A95" s="476"/>
      <c r="B95" s="476"/>
      <c r="C95" s="476"/>
      <c r="D95" s="477" t="s">
        <v>395</v>
      </c>
      <c r="E95" s="483">
        <v>432652</v>
      </c>
      <c r="F95" s="477">
        <f t="shared" si="8"/>
        <v>1.5</v>
      </c>
      <c r="G95" s="484">
        <f t="shared" si="7"/>
        <v>648978</v>
      </c>
      <c r="H95" s="480">
        <f t="shared" si="6"/>
        <v>54081.5</v>
      </c>
      <c r="I95" s="477"/>
      <c r="J95" s="477"/>
      <c r="K95" s="477"/>
      <c r="L95" s="714"/>
      <c r="M95" s="477"/>
      <c r="N95" s="477"/>
    </row>
    <row r="96" spans="1:14" ht="12.5">
      <c r="A96" s="476"/>
      <c r="B96" s="476"/>
      <c r="C96" s="476"/>
      <c r="D96" s="477" t="s">
        <v>396</v>
      </c>
      <c r="E96" s="483"/>
      <c r="F96" s="477">
        <f t="shared" si="8"/>
        <v>0.5</v>
      </c>
      <c r="G96" s="484">
        <f t="shared" si="7"/>
        <v>0</v>
      </c>
      <c r="H96" s="480">
        <f t="shared" si="6"/>
        <v>0</v>
      </c>
      <c r="I96" s="477"/>
      <c r="J96" s="477"/>
      <c r="K96" s="477"/>
      <c r="L96" s="714"/>
      <c r="M96" s="477"/>
      <c r="N96" s="477"/>
    </row>
    <row r="97" spans="1:14" ht="12.5">
      <c r="A97" s="476"/>
      <c r="B97" s="476"/>
      <c r="C97" s="476"/>
      <c r="D97" s="477" t="s">
        <v>173</v>
      </c>
      <c r="E97" s="876">
        <f>SUM(E85:E96)</f>
        <v>1574601</v>
      </c>
      <c r="F97" s="484"/>
      <c r="G97" s="484">
        <f>SUM(G85:G96)</f>
        <v>9132180.5</v>
      </c>
      <c r="H97" s="480">
        <f>SUM(H85:H96)</f>
        <v>761015.04166666663</v>
      </c>
      <c r="I97" s="477"/>
      <c r="J97" s="477"/>
      <c r="K97" s="477"/>
      <c r="L97" s="714"/>
      <c r="M97" s="477"/>
      <c r="N97" s="477"/>
    </row>
    <row r="98" spans="1:14" ht="12.5">
      <c r="A98" s="476"/>
      <c r="B98" s="476"/>
      <c r="C98" s="476"/>
      <c r="D98" s="504" t="s">
        <v>28</v>
      </c>
      <c r="E98" s="477"/>
      <c r="F98" s="477"/>
      <c r="G98" s="477"/>
      <c r="H98" s="484">
        <f>+H97</f>
        <v>761015.04166666663</v>
      </c>
      <c r="I98" s="477" t="s">
        <v>711</v>
      </c>
      <c r="J98" s="477"/>
      <c r="K98" s="477"/>
      <c r="L98" s="477"/>
      <c r="M98" s="477"/>
      <c r="N98" s="477"/>
    </row>
    <row r="99" spans="1:14" ht="12.5">
      <c r="A99" s="476"/>
      <c r="B99" s="476"/>
      <c r="C99" s="476"/>
      <c r="D99" s="497"/>
      <c r="E99" s="477"/>
      <c r="F99" s="477"/>
      <c r="G99" s="477"/>
      <c r="H99" s="484"/>
      <c r="I99" s="477"/>
      <c r="J99" s="477"/>
      <c r="K99" s="477"/>
      <c r="L99" s="477"/>
      <c r="M99" s="477"/>
      <c r="N99" s="477"/>
    </row>
    <row r="100" spans="1:14" ht="12.5">
      <c r="A100" s="476"/>
      <c r="B100" s="476"/>
      <c r="C100" s="476"/>
      <c r="D100" s="870">
        <v>9454153</v>
      </c>
      <c r="E100" s="497" t="s">
        <v>29</v>
      </c>
      <c r="F100" s="477"/>
      <c r="G100" s="477"/>
      <c r="H100" s="876" t="s">
        <v>592</v>
      </c>
      <c r="I100" s="477"/>
      <c r="J100" s="477"/>
      <c r="K100" s="477"/>
      <c r="L100" s="477"/>
      <c r="M100" s="477"/>
      <c r="N100" s="477"/>
    </row>
    <row r="101" spans="2:14" ht="12.5">
      <c r="B101" s="476"/>
      <c r="C101" s="476"/>
      <c r="E101" s="477"/>
      <c r="F101" s="477"/>
      <c r="G101" s="477"/>
      <c r="H101" s="484"/>
      <c r="I101" s="477"/>
      <c r="J101" s="477"/>
      <c r="K101" s="477"/>
      <c r="L101" s="477"/>
      <c r="M101" s="477"/>
      <c r="N101" s="477"/>
    </row>
    <row r="102" spans="1:14" ht="12.5">
      <c r="A102" s="476"/>
      <c r="B102" s="476"/>
      <c r="C102" s="476"/>
      <c r="D102" s="497"/>
      <c r="E102" s="477"/>
      <c r="F102" s="477"/>
      <c r="G102" s="477"/>
      <c r="H102" s="484"/>
      <c r="I102" s="477"/>
      <c r="J102" s="477"/>
      <c r="K102" s="477"/>
      <c r="L102" s="477"/>
      <c r="M102" s="477"/>
      <c r="N102" s="477"/>
    </row>
    <row r="103" spans="1:14" ht="28.5" customHeight="1">
      <c r="A103" s="696">
        <f>+A19</f>
        <v>9</v>
      </c>
      <c r="B103" s="696" t="str">
        <f>+B19</f>
        <v>April</v>
      </c>
      <c r="C103" s="696" t="s">
        <v>594</v>
      </c>
      <c r="D103" s="1014" t="s">
        <v>30</v>
      </c>
      <c r="E103" s="1014"/>
      <c r="F103" s="1014"/>
      <c r="G103" s="1014"/>
      <c r="H103" s="1014"/>
      <c r="I103" s="1014"/>
      <c r="J103" s="1014"/>
      <c r="K103" s="477"/>
      <c r="L103" s="477"/>
      <c r="M103" s="477"/>
      <c r="N103" s="477"/>
    </row>
    <row r="104" spans="1:14" ht="12.5">
      <c r="A104" s="476"/>
      <c r="B104" s="476"/>
      <c r="C104" s="476"/>
      <c r="D104" s="482"/>
      <c r="E104" s="477"/>
      <c r="F104" s="477"/>
      <c r="G104" s="477"/>
      <c r="H104" s="477"/>
      <c r="I104" s="477"/>
      <c r="J104" s="477"/>
      <c r="K104" s="477"/>
      <c r="L104" s="477"/>
      <c r="M104" s="477"/>
      <c r="N104" s="477"/>
    </row>
    <row r="105" spans="1:14" ht="12.5">
      <c r="A105" s="476"/>
      <c r="B105" s="476"/>
      <c r="C105" s="476"/>
      <c r="D105" s="482" t="s">
        <v>31</v>
      </c>
      <c r="E105" s="477"/>
      <c r="F105" s="477" t="s">
        <v>440</v>
      </c>
      <c r="G105" s="477"/>
      <c r="H105" s="477"/>
      <c r="I105" s="477"/>
      <c r="J105" s="477"/>
      <c r="K105" s="477"/>
      <c r="L105" s="477"/>
      <c r="M105" s="477"/>
      <c r="N105" s="477"/>
    </row>
    <row r="106" spans="1:14" ht="12.5">
      <c r="A106" s="476"/>
      <c r="B106" s="476"/>
      <c r="C106" s="476"/>
      <c r="D106" s="484">
        <f>+D100</f>
        <v>9454153</v>
      </c>
      <c r="E106" s="476" t="str">
        <f>"-"</f>
        <v>-</v>
      </c>
      <c r="F106" s="870">
        <v>7759086</v>
      </c>
      <c r="G106" s="476" t="str">
        <f>"="</f>
        <v>=</v>
      </c>
      <c r="H106" s="484">
        <f>+D106-F106</f>
        <v>1695067</v>
      </c>
      <c r="I106" s="477"/>
      <c r="J106" s="477"/>
      <c r="K106" s="477"/>
      <c r="L106" s="477"/>
      <c r="M106" s="477"/>
      <c r="N106" s="477"/>
    </row>
    <row r="107" spans="1:14" ht="12.5">
      <c r="A107" s="476"/>
      <c r="B107" s="476"/>
      <c r="C107" s="476"/>
      <c r="D107" s="488"/>
      <c r="E107" s="476"/>
      <c r="F107" s="484"/>
      <c r="G107" s="476"/>
      <c r="H107" s="484"/>
      <c r="I107" s="477"/>
      <c r="J107" s="477"/>
      <c r="K107" s="477"/>
      <c r="L107" s="477"/>
      <c r="M107" s="477"/>
      <c r="N107" s="477"/>
    </row>
    <row r="108" spans="1:14" ht="12.5">
      <c r="A108" s="476"/>
      <c r="B108" s="476"/>
      <c r="C108" s="476"/>
      <c r="D108" s="503" t="s">
        <v>397</v>
      </c>
      <c r="E108" s="476"/>
      <c r="F108" s="484"/>
      <c r="G108" s="476"/>
      <c r="H108" s="484"/>
      <c r="I108" s="477"/>
      <c r="J108" s="477"/>
      <c r="K108" s="477"/>
      <c r="L108" s="477"/>
      <c r="M108" s="477"/>
      <c r="N108" s="477"/>
    </row>
    <row r="109" spans="1:14" ht="12.5">
      <c r="A109" s="476"/>
      <c r="B109" s="476"/>
      <c r="C109" s="476"/>
      <c r="D109" s="503" t="s">
        <v>437</v>
      </c>
      <c r="E109" s="476"/>
      <c r="F109" s="877">
        <v>0.0028</v>
      </c>
      <c r="G109" s="878" t="s">
        <v>819</v>
      </c>
      <c r="H109" s="484"/>
      <c r="I109" s="477"/>
      <c r="J109" s="476" t="s">
        <v>35</v>
      </c>
      <c r="K109" s="477"/>
      <c r="L109" s="477"/>
      <c r="M109" s="477"/>
      <c r="N109" s="477"/>
    </row>
    <row r="110" spans="1:14" ht="12.5">
      <c r="A110" s="476"/>
      <c r="B110" s="476"/>
      <c r="C110" s="476"/>
      <c r="D110" s="489" t="s">
        <v>376</v>
      </c>
      <c r="E110" s="476" t="s">
        <v>398</v>
      </c>
      <c r="F110" s="476" t="s">
        <v>399</v>
      </c>
      <c r="G110" s="489" t="s">
        <v>33</v>
      </c>
      <c r="H110" s="476"/>
      <c r="I110" s="489" t="s">
        <v>400</v>
      </c>
      <c r="J110" s="476" t="s">
        <v>36</v>
      </c>
      <c r="K110" s="477"/>
      <c r="L110" s="477"/>
      <c r="M110" s="477"/>
      <c r="N110" s="477"/>
    </row>
    <row r="111" spans="1:14" ht="12.5">
      <c r="A111" s="476"/>
      <c r="B111" s="476"/>
      <c r="C111" s="476"/>
      <c r="D111" s="476"/>
      <c r="E111" s="476"/>
      <c r="F111" s="476"/>
      <c r="G111" s="476" t="s">
        <v>34</v>
      </c>
      <c r="H111" s="476" t="s">
        <v>401</v>
      </c>
      <c r="I111" s="476"/>
      <c r="J111" s="476"/>
      <c r="K111" s="477"/>
      <c r="L111" s="477"/>
      <c r="M111" s="477"/>
      <c r="N111" s="477"/>
    </row>
    <row r="112" spans="1:14" ht="12.5">
      <c r="A112" s="476"/>
      <c r="B112" s="476"/>
      <c r="C112" s="476"/>
      <c r="D112" s="477" t="s">
        <v>390</v>
      </c>
      <c r="E112" s="477" t="s">
        <v>32</v>
      </c>
      <c r="F112" s="480">
        <f>+H106/12</f>
        <v>141255.58333333334</v>
      </c>
      <c r="G112" s="485">
        <f>+F109</f>
        <v>0.0028</v>
      </c>
      <c r="H112" s="477">
        <v>11.5</v>
      </c>
      <c r="I112" s="480">
        <f>+H112*G112*F112</f>
        <v>4548.4297833333339</v>
      </c>
      <c r="J112" s="480">
        <f>+F112+I112</f>
        <v>145804.01311666667</v>
      </c>
      <c r="K112" s="477"/>
      <c r="L112" s="477"/>
      <c r="M112" s="477"/>
      <c r="N112" s="477"/>
    </row>
    <row r="113" spans="1:14" ht="12.5">
      <c r="A113" s="476"/>
      <c r="B113" s="476"/>
      <c r="C113" s="476"/>
      <c r="D113" s="477" t="s">
        <v>391</v>
      </c>
      <c r="E113" s="477" t="str">
        <f t="shared" si="9" ref="E113:G123">=+E112</f>
        <v>Year 1</v>
      </c>
      <c r="F113" s="484">
        <f t="shared" si="9"/>
        <v>141255.58333333334</v>
      </c>
      <c r="G113" s="490">
        <f t="shared" si="9"/>
        <v>0.0028</v>
      </c>
      <c r="H113" s="477">
        <f>H112-1</f>
        <v>10.5</v>
      </c>
      <c r="I113" s="480">
        <f t="shared" si="10" ref="I113:I123">=+H113*G113*F113</f>
        <v>4152.9141500000005</v>
      </c>
      <c r="J113" s="480">
        <f t="shared" si="11" ref="J113:J123">=+F113+I113</f>
        <v>145408.49748333334</v>
      </c>
      <c r="K113" s="477"/>
      <c r="L113" s="477"/>
      <c r="M113" s="477"/>
      <c r="N113" s="477"/>
    </row>
    <row r="114" spans="1:14" ht="12.5">
      <c r="A114" s="476"/>
      <c r="B114" s="476"/>
      <c r="C114" s="476"/>
      <c r="D114" s="477" t="s">
        <v>392</v>
      </c>
      <c r="E114" s="477" t="str">
        <f t="shared" si="9"/>
        <v>Year 1</v>
      </c>
      <c r="F114" s="484">
        <f t="shared" si="9"/>
        <v>141255.58333333334</v>
      </c>
      <c r="G114" s="490">
        <f t="shared" si="9"/>
        <v>0.0028</v>
      </c>
      <c r="H114" s="477">
        <f t="shared" si="12" ref="H114:H123">=+H113-1</f>
        <v>9.5</v>
      </c>
      <c r="I114" s="480">
        <f t="shared" si="10"/>
        <v>3757.3985166666666</v>
      </c>
      <c r="J114" s="480">
        <f t="shared" si="11"/>
        <v>145012.98185000001</v>
      </c>
      <c r="K114" s="477"/>
      <c r="L114" s="477"/>
      <c r="M114" s="477"/>
      <c r="N114" s="477"/>
    </row>
    <row r="115" spans="1:14" ht="12.5">
      <c r="A115" s="476"/>
      <c r="B115" s="476"/>
      <c r="C115" s="476"/>
      <c r="D115" s="477" t="s">
        <v>393</v>
      </c>
      <c r="E115" s="477" t="str">
        <f t="shared" si="9"/>
        <v>Year 1</v>
      </c>
      <c r="F115" s="484">
        <f t="shared" si="9"/>
        <v>141255.58333333334</v>
      </c>
      <c r="G115" s="490">
        <f t="shared" si="9"/>
        <v>0.0028</v>
      </c>
      <c r="H115" s="477">
        <f t="shared" si="12"/>
        <v>8.5</v>
      </c>
      <c r="I115" s="480">
        <f t="shared" si="10"/>
        <v>3361.8828833333332</v>
      </c>
      <c r="J115" s="480">
        <f t="shared" si="11"/>
        <v>144617.46621666668</v>
      </c>
      <c r="K115" s="477"/>
      <c r="L115" s="477"/>
      <c r="M115" s="477"/>
      <c r="N115" s="477"/>
    </row>
    <row r="116" spans="1:14" ht="12.5">
      <c r="A116" s="476"/>
      <c r="B116" s="476"/>
      <c r="C116" s="476"/>
      <c r="D116" s="477" t="s">
        <v>394</v>
      </c>
      <c r="E116" s="477" t="str">
        <f t="shared" si="9"/>
        <v>Year 1</v>
      </c>
      <c r="F116" s="484">
        <f t="shared" si="9"/>
        <v>141255.58333333334</v>
      </c>
      <c r="G116" s="490">
        <f t="shared" si="9"/>
        <v>0.0028</v>
      </c>
      <c r="H116" s="477">
        <f t="shared" si="12"/>
        <v>7.5</v>
      </c>
      <c r="I116" s="480">
        <f t="shared" si="10"/>
        <v>2966.3672500000002</v>
      </c>
      <c r="J116" s="480">
        <f t="shared" si="11"/>
        <v>144221.95058333335</v>
      </c>
      <c r="K116" s="477"/>
      <c r="L116" s="477"/>
      <c r="M116" s="477"/>
      <c r="N116" s="477"/>
    </row>
    <row r="117" spans="1:14" ht="12.5">
      <c r="A117" s="476"/>
      <c r="B117" s="476"/>
      <c r="C117" s="476"/>
      <c r="D117" s="477" t="s">
        <v>395</v>
      </c>
      <c r="E117" s="477" t="str">
        <f t="shared" si="9"/>
        <v>Year 1</v>
      </c>
      <c r="F117" s="484">
        <f t="shared" si="9"/>
        <v>141255.58333333334</v>
      </c>
      <c r="G117" s="490">
        <f t="shared" si="9"/>
        <v>0.0028</v>
      </c>
      <c r="H117" s="477">
        <f t="shared" si="12"/>
        <v>6.5</v>
      </c>
      <c r="I117" s="480">
        <f t="shared" si="10"/>
        <v>2570.8516166666668</v>
      </c>
      <c r="J117" s="480">
        <f t="shared" si="11"/>
        <v>143826.43495000002</v>
      </c>
      <c r="K117" s="477"/>
      <c r="L117" s="477"/>
      <c r="M117" s="477"/>
      <c r="N117" s="477"/>
    </row>
    <row r="118" spans="1:14" ht="12.5">
      <c r="A118" s="476"/>
      <c r="B118" s="476"/>
      <c r="C118" s="476"/>
      <c r="D118" s="477" t="s">
        <v>396</v>
      </c>
      <c r="E118" s="477" t="str">
        <f t="shared" si="9"/>
        <v>Year 1</v>
      </c>
      <c r="F118" s="484">
        <f t="shared" si="9"/>
        <v>141255.58333333334</v>
      </c>
      <c r="G118" s="490">
        <f t="shared" si="9"/>
        <v>0.0028</v>
      </c>
      <c r="H118" s="477">
        <f t="shared" si="12"/>
        <v>5.5</v>
      </c>
      <c r="I118" s="480">
        <f t="shared" si="10"/>
        <v>2175.3359833333334</v>
      </c>
      <c r="J118" s="480">
        <f t="shared" si="11"/>
        <v>143430.91931666667</v>
      </c>
      <c r="K118" s="477"/>
      <c r="L118" s="477"/>
      <c r="M118" s="477"/>
      <c r="N118" s="477"/>
    </row>
    <row r="119" spans="1:14" ht="12.5">
      <c r="A119" s="476"/>
      <c r="B119" s="476"/>
      <c r="C119" s="476"/>
      <c r="D119" s="477" t="s">
        <v>386</v>
      </c>
      <c r="E119" s="477" t="s">
        <v>5</v>
      </c>
      <c r="F119" s="484">
        <f t="shared" si="9"/>
        <v>141255.58333333334</v>
      </c>
      <c r="G119" s="490">
        <f t="shared" si="9"/>
        <v>0.0028</v>
      </c>
      <c r="H119" s="477">
        <f t="shared" si="12"/>
        <v>4.5</v>
      </c>
      <c r="I119" s="480">
        <f t="shared" si="10"/>
        <v>1779.8203500000002</v>
      </c>
      <c r="J119" s="480">
        <f t="shared" si="11"/>
        <v>143035.40368333334</v>
      </c>
      <c r="K119" s="477"/>
      <c r="L119" s="477"/>
      <c r="M119" s="477"/>
      <c r="N119" s="477"/>
    </row>
    <row r="120" spans="1:14" ht="12.5">
      <c r="A120" s="476"/>
      <c r="B120" s="476"/>
      <c r="C120" s="476"/>
      <c r="D120" s="477" t="s">
        <v>387</v>
      </c>
      <c r="E120" s="477" t="str">
        <f t="shared" si="9"/>
        <v>Year 2</v>
      </c>
      <c r="F120" s="484">
        <f t="shared" si="9"/>
        <v>141255.58333333334</v>
      </c>
      <c r="G120" s="490">
        <f t="shared" si="9"/>
        <v>0.0028</v>
      </c>
      <c r="H120" s="477">
        <f t="shared" si="12"/>
        <v>3.5</v>
      </c>
      <c r="I120" s="480">
        <f t="shared" si="10"/>
        <v>1384.3047166666668</v>
      </c>
      <c r="J120" s="480">
        <f t="shared" si="11"/>
        <v>142639.88805000001</v>
      </c>
      <c r="K120" s="477"/>
      <c r="L120" s="477"/>
      <c r="M120" s="477"/>
      <c r="N120" s="477"/>
    </row>
    <row r="121" spans="1:14" ht="12.5">
      <c r="A121" s="476"/>
      <c r="B121" s="476"/>
      <c r="C121" s="476"/>
      <c r="D121" s="477" t="s">
        <v>388</v>
      </c>
      <c r="E121" s="477" t="str">
        <f t="shared" si="9"/>
        <v>Year 2</v>
      </c>
      <c r="F121" s="484">
        <f t="shared" si="9"/>
        <v>141255.58333333334</v>
      </c>
      <c r="G121" s="490">
        <f t="shared" si="9"/>
        <v>0.0028</v>
      </c>
      <c r="H121" s="477">
        <f t="shared" si="12"/>
        <v>2.5</v>
      </c>
      <c r="I121" s="480">
        <f t="shared" si="10"/>
        <v>988.78908333333345</v>
      </c>
      <c r="J121" s="480">
        <f t="shared" si="11"/>
        <v>142244.37241666668</v>
      </c>
      <c r="K121" s="477"/>
      <c r="L121" s="477"/>
      <c r="M121" s="477"/>
      <c r="N121" s="477"/>
    </row>
    <row r="122" spans="1:14" ht="12.5">
      <c r="A122" s="476"/>
      <c r="B122" s="476"/>
      <c r="C122" s="476"/>
      <c r="D122" s="477" t="s">
        <v>389</v>
      </c>
      <c r="E122" s="477" t="str">
        <f t="shared" si="9"/>
        <v>Year 2</v>
      </c>
      <c r="F122" s="484">
        <f t="shared" si="9"/>
        <v>141255.58333333334</v>
      </c>
      <c r="G122" s="490">
        <f t="shared" si="9"/>
        <v>0.0028</v>
      </c>
      <c r="H122" s="477">
        <f t="shared" si="12"/>
        <v>1.5</v>
      </c>
      <c r="I122" s="480">
        <f t="shared" si="10"/>
        <v>593.27345000000003</v>
      </c>
      <c r="J122" s="480">
        <f t="shared" si="11"/>
        <v>141848.85678333335</v>
      </c>
      <c r="K122" s="477"/>
      <c r="L122" s="477"/>
      <c r="M122" s="477"/>
      <c r="N122" s="477"/>
    </row>
    <row r="123" spans="1:14" ht="12.5">
      <c r="A123" s="476"/>
      <c r="B123" s="476"/>
      <c r="C123" s="476"/>
      <c r="D123" s="477" t="s">
        <v>381</v>
      </c>
      <c r="E123" s="477" t="str">
        <f t="shared" si="9"/>
        <v>Year 2</v>
      </c>
      <c r="F123" s="484">
        <f t="shared" si="9"/>
        <v>141255.58333333334</v>
      </c>
      <c r="G123" s="490">
        <f t="shared" si="9"/>
        <v>0.0028</v>
      </c>
      <c r="H123" s="477">
        <f t="shared" si="12"/>
        <v>0.5</v>
      </c>
      <c r="I123" s="480">
        <f t="shared" si="10"/>
        <v>197.75781666666669</v>
      </c>
      <c r="J123" s="480">
        <f t="shared" si="11"/>
        <v>141453.34115000002</v>
      </c>
      <c r="K123" s="477"/>
      <c r="L123" s="477"/>
      <c r="M123" s="477"/>
      <c r="N123" s="477"/>
    </row>
    <row r="124" spans="1:14" ht="12.5">
      <c r="A124" s="476"/>
      <c r="B124" s="476"/>
      <c r="C124" s="476"/>
      <c r="D124" s="477" t="s">
        <v>173</v>
      </c>
      <c r="E124" s="477"/>
      <c r="F124" s="484">
        <f>SUM(F112:F123)</f>
        <v>1695066.9999999998</v>
      </c>
      <c r="G124" s="477"/>
      <c r="H124" s="477"/>
      <c r="I124" s="477"/>
      <c r="J124" s="480">
        <f>SUM(J112:J123)</f>
        <v>1723544.1256000001</v>
      </c>
      <c r="K124" s="477"/>
      <c r="L124" s="477"/>
      <c r="M124" s="477"/>
      <c r="N124" s="477"/>
    </row>
    <row r="125" spans="1:14" ht="12.5">
      <c r="A125" s="476"/>
      <c r="B125" s="476"/>
      <c r="C125" s="476"/>
      <c r="D125" s="477"/>
      <c r="E125" s="477"/>
      <c r="F125" s="484"/>
      <c r="G125" s="477"/>
      <c r="H125" s="476" t="s">
        <v>37</v>
      </c>
      <c r="I125" s="477"/>
      <c r="J125" s="480"/>
      <c r="K125" s="477"/>
      <c r="L125" s="477"/>
      <c r="M125" s="477"/>
      <c r="N125" s="477"/>
    </row>
    <row r="126" spans="1:14" ht="12.5">
      <c r="A126" s="476"/>
      <c r="B126" s="476"/>
      <c r="C126" s="476"/>
      <c r="D126" s="477"/>
      <c r="E126" s="477"/>
      <c r="F126" s="489" t="s">
        <v>402</v>
      </c>
      <c r="G126" s="476" t="s">
        <v>400</v>
      </c>
      <c r="H126" s="476" t="s">
        <v>38</v>
      </c>
      <c r="I126" s="476" t="s">
        <v>402</v>
      </c>
      <c r="J126" s="477"/>
      <c r="K126" s="477"/>
      <c r="L126" s="477"/>
      <c r="M126" s="477"/>
      <c r="N126" s="477"/>
    </row>
    <row r="127" spans="1:14" ht="12.5">
      <c r="A127" s="476"/>
      <c r="B127" s="476"/>
      <c r="C127" s="476"/>
      <c r="D127" s="477" t="str">
        <f t="shared" si="13" ref="D127:D138">=+D112</f>
        <v>Jun</v>
      </c>
      <c r="E127" s="477" t="str">
        <f>+E123</f>
        <v>Year 2</v>
      </c>
      <c r="F127" s="484">
        <f>+J124</f>
        <v>1723544.1256000001</v>
      </c>
      <c r="G127" s="490">
        <f>+G123</f>
        <v>0.0028</v>
      </c>
      <c r="H127" s="480">
        <f>-PMT(G127,12,J124)</f>
        <v>146256.11880127911</v>
      </c>
      <c r="I127" s="480">
        <f>+F127+F127*G127-H127</f>
        <v>1582113.930350401</v>
      </c>
      <c r="J127" s="477"/>
      <c r="K127" s="477"/>
      <c r="L127" s="477"/>
      <c r="M127" s="477"/>
      <c r="N127" s="477"/>
    </row>
    <row r="128" spans="1:14" ht="12.5">
      <c r="A128" s="476"/>
      <c r="B128" s="476"/>
      <c r="C128" s="476"/>
      <c r="D128" s="477" t="str">
        <f t="shared" si="13"/>
        <v>Jul</v>
      </c>
      <c r="E128" s="477" t="str">
        <f t="shared" si="14" ref="E128:E133">=+E127</f>
        <v>Year 2</v>
      </c>
      <c r="F128" s="484">
        <f t="shared" si="15" ref="F128:F138">=+I127</f>
        <v>1582113.930350401</v>
      </c>
      <c r="G128" s="490">
        <f t="shared" si="16" ref="G128:H138">=+G127</f>
        <v>0.0028</v>
      </c>
      <c r="H128" s="484">
        <f t="shared" si="16"/>
        <v>146256.11880127911</v>
      </c>
      <c r="I128" s="480">
        <f t="shared" si="17" ref="I128:I138">=+F128+F128*G128-H128</f>
        <v>1440287.7305541029</v>
      </c>
      <c r="J128" s="477"/>
      <c r="K128" s="477"/>
      <c r="L128" s="477"/>
      <c r="M128" s="477"/>
      <c r="N128" s="477"/>
    </row>
    <row r="129" spans="1:14" ht="12.5">
      <c r="A129" s="476"/>
      <c r="B129" s="476"/>
      <c r="C129" s="476"/>
      <c r="D129" s="477" t="str">
        <f t="shared" si="13"/>
        <v>Aug</v>
      </c>
      <c r="E129" s="477" t="str">
        <f t="shared" si="14"/>
        <v>Year 2</v>
      </c>
      <c r="F129" s="484">
        <f>+I128</f>
        <v>1440287.7305541029</v>
      </c>
      <c r="G129" s="490">
        <f t="shared" si="16"/>
        <v>0.0028</v>
      </c>
      <c r="H129" s="484">
        <f t="shared" si="16"/>
        <v>146256.11880127911</v>
      </c>
      <c r="I129" s="480">
        <f t="shared" si="17"/>
        <v>1298064.4173983755</v>
      </c>
      <c r="J129" s="477"/>
      <c r="K129" s="477"/>
      <c r="L129" s="477"/>
      <c r="M129" s="477"/>
      <c r="N129" s="477"/>
    </row>
    <row r="130" spans="1:14" ht="12.5">
      <c r="A130" s="476"/>
      <c r="B130" s="476"/>
      <c r="C130" s="476"/>
      <c r="D130" s="477" t="str">
        <f t="shared" si="13"/>
        <v>Sep</v>
      </c>
      <c r="E130" s="477" t="str">
        <f t="shared" si="14"/>
        <v>Year 2</v>
      </c>
      <c r="F130" s="484">
        <f t="shared" si="15"/>
        <v>1298064.4173983755</v>
      </c>
      <c r="G130" s="490">
        <f t="shared" si="16"/>
        <v>0.0028</v>
      </c>
      <c r="H130" s="484">
        <f t="shared" si="16"/>
        <v>146256.11880127911</v>
      </c>
      <c r="I130" s="480">
        <f t="shared" si="17"/>
        <v>1155442.8789658118</v>
      </c>
      <c r="J130" s="477"/>
      <c r="K130" s="491"/>
      <c r="L130" s="477"/>
      <c r="M130" s="477"/>
      <c r="N130" s="477"/>
    </row>
    <row r="131" spans="1:14" ht="12.5">
      <c r="A131" s="476"/>
      <c r="B131" s="476"/>
      <c r="C131" s="476"/>
      <c r="D131" s="477" t="str">
        <f t="shared" si="13"/>
        <v>Oct</v>
      </c>
      <c r="E131" s="477" t="str">
        <f t="shared" si="14"/>
        <v>Year 2</v>
      </c>
      <c r="F131" s="484">
        <f t="shared" si="15"/>
        <v>1155442.8789658118</v>
      </c>
      <c r="G131" s="490">
        <f t="shared" si="16"/>
        <v>0.0028</v>
      </c>
      <c r="H131" s="484">
        <f t="shared" si="16"/>
        <v>146256.11880127911</v>
      </c>
      <c r="I131" s="480">
        <f t="shared" si="17"/>
        <v>1012422.000225637</v>
      </c>
      <c r="J131" s="477"/>
      <c r="K131" s="490"/>
      <c r="L131" s="477"/>
      <c r="M131" s="477"/>
      <c r="N131" s="477"/>
    </row>
    <row r="132" spans="1:14" ht="12.5">
      <c r="A132" s="476"/>
      <c r="B132" s="476"/>
      <c r="C132" s="476"/>
      <c r="D132" s="477" t="str">
        <f t="shared" si="13"/>
        <v>Nov</v>
      </c>
      <c r="E132" s="477" t="str">
        <f t="shared" si="14"/>
        <v>Year 2</v>
      </c>
      <c r="F132" s="484">
        <f t="shared" si="15"/>
        <v>1012422.000225637</v>
      </c>
      <c r="G132" s="490">
        <f t="shared" si="16"/>
        <v>0.0028</v>
      </c>
      <c r="H132" s="484">
        <f t="shared" si="16"/>
        <v>146256.11880127911</v>
      </c>
      <c r="I132" s="480">
        <f t="shared" si="17"/>
        <v>869000.66302498966</v>
      </c>
      <c r="J132" s="477"/>
      <c r="K132" s="477"/>
      <c r="L132" s="477"/>
      <c r="M132" s="477"/>
      <c r="N132" s="477"/>
    </row>
    <row r="133" spans="1:14" ht="12.5">
      <c r="A133" s="476"/>
      <c r="B133" s="476"/>
      <c r="C133" s="476"/>
      <c r="D133" s="477" t="str">
        <f t="shared" si="13"/>
        <v>Dec</v>
      </c>
      <c r="E133" s="477" t="str">
        <f t="shared" si="14"/>
        <v>Year 2</v>
      </c>
      <c r="F133" s="484">
        <f t="shared" si="15"/>
        <v>869000.66302498966</v>
      </c>
      <c r="G133" s="490">
        <f t="shared" si="16"/>
        <v>0.0028</v>
      </c>
      <c r="H133" s="484">
        <f t="shared" si="16"/>
        <v>146256.11880127911</v>
      </c>
      <c r="I133" s="480">
        <f t="shared" si="17"/>
        <v>725177.74608018051</v>
      </c>
      <c r="J133" s="477"/>
      <c r="K133" s="477"/>
      <c r="L133" s="477"/>
      <c r="M133" s="477"/>
      <c r="N133" s="477"/>
    </row>
    <row r="134" spans="1:14" ht="12.5">
      <c r="A134" s="476"/>
      <c r="B134" s="476"/>
      <c r="C134" s="476"/>
      <c r="D134" s="477" t="str">
        <f t="shared" si="13"/>
        <v>Jan</v>
      </c>
      <c r="E134" s="477" t="s">
        <v>6</v>
      </c>
      <c r="F134" s="484">
        <f t="shared" si="15"/>
        <v>725177.74608018051</v>
      </c>
      <c r="G134" s="490">
        <f t="shared" si="16"/>
        <v>0.0028</v>
      </c>
      <c r="H134" s="484">
        <f t="shared" si="16"/>
        <v>146256.11880127911</v>
      </c>
      <c r="I134" s="480">
        <f t="shared" si="17"/>
        <v>580952.12496792595</v>
      </c>
      <c r="J134" s="477"/>
      <c r="K134" s="477"/>
      <c r="L134" s="477"/>
      <c r="M134" s="477"/>
      <c r="N134" s="477"/>
    </row>
    <row r="135" spans="1:14" ht="12.5">
      <c r="A135" s="476"/>
      <c r="B135" s="476"/>
      <c r="C135" s="476"/>
      <c r="D135" s="477" t="str">
        <f t="shared" si="13"/>
        <v>Feb</v>
      </c>
      <c r="E135" s="477" t="str">
        <f>+E134</f>
        <v>Year 3</v>
      </c>
      <c r="F135" s="484">
        <f t="shared" si="15"/>
        <v>580952.12496792595</v>
      </c>
      <c r="G135" s="490">
        <f t="shared" si="16"/>
        <v>0.0028</v>
      </c>
      <c r="H135" s="484">
        <f t="shared" si="16"/>
        <v>146256.11880127911</v>
      </c>
      <c r="I135" s="480">
        <f t="shared" si="17"/>
        <v>436322.67211655702</v>
      </c>
      <c r="J135" s="477"/>
      <c r="K135" s="477"/>
      <c r="L135" s="477"/>
      <c r="M135" s="477"/>
      <c r="N135" s="477"/>
    </row>
    <row r="136" spans="1:14" ht="12.5">
      <c r="A136" s="476"/>
      <c r="B136" s="476"/>
      <c r="C136" s="476"/>
      <c r="D136" s="477" t="str">
        <f t="shared" si="13"/>
        <v>Mar</v>
      </c>
      <c r="E136" s="477" t="str">
        <f>+E135</f>
        <v>Year 3</v>
      </c>
      <c r="F136" s="484">
        <f t="shared" si="15"/>
        <v>436322.67211655702</v>
      </c>
      <c r="G136" s="490">
        <f t="shared" si="16"/>
        <v>0.0028</v>
      </c>
      <c r="H136" s="484">
        <f t="shared" si="16"/>
        <v>146256.11880127911</v>
      </c>
      <c r="I136" s="480">
        <f t="shared" si="17"/>
        <v>291288.25679720426</v>
      </c>
      <c r="J136" s="477"/>
      <c r="K136" s="477"/>
      <c r="L136" s="477"/>
      <c r="M136" s="477"/>
      <c r="N136" s="477"/>
    </row>
    <row r="137" spans="1:14" ht="12.5">
      <c r="A137" s="476"/>
      <c r="B137" s="476"/>
      <c r="C137" s="476"/>
      <c r="D137" s="477" t="str">
        <f t="shared" si="13"/>
        <v>Apr</v>
      </c>
      <c r="E137" s="477" t="str">
        <f>+E136</f>
        <v>Year 3</v>
      </c>
      <c r="F137" s="484">
        <f t="shared" si="15"/>
        <v>291288.25679720426</v>
      </c>
      <c r="G137" s="490">
        <f t="shared" si="16"/>
        <v>0.0028</v>
      </c>
      <c r="H137" s="484">
        <f t="shared" si="16"/>
        <v>146256.11880127911</v>
      </c>
      <c r="I137" s="480">
        <f t="shared" si="17"/>
        <v>145847.74511495733</v>
      </c>
      <c r="J137" s="477"/>
      <c r="K137" s="477"/>
      <c r="L137" s="477"/>
      <c r="M137" s="477"/>
      <c r="N137" s="477"/>
    </row>
    <row r="138" spans="1:14" ht="12.5">
      <c r="A138" s="476"/>
      <c r="B138" s="476"/>
      <c r="C138" s="476"/>
      <c r="D138" s="477" t="str">
        <f t="shared" si="13"/>
        <v>May</v>
      </c>
      <c r="E138" s="477" t="str">
        <f>+E137</f>
        <v>Year 3</v>
      </c>
      <c r="F138" s="484">
        <f t="shared" si="15"/>
        <v>145847.74511495733</v>
      </c>
      <c r="G138" s="490">
        <f t="shared" si="16"/>
        <v>0.0028</v>
      </c>
      <c r="H138" s="484">
        <f t="shared" si="16"/>
        <v>146256.11880127911</v>
      </c>
      <c r="I138" s="480">
        <f t="shared" si="17"/>
        <v>0</v>
      </c>
      <c r="J138" s="477"/>
      <c r="K138" s="477"/>
      <c r="L138" s="477"/>
      <c r="M138" s="477"/>
      <c r="N138" s="477"/>
    </row>
    <row r="139" spans="1:14" ht="12.5">
      <c r="A139" s="476"/>
      <c r="B139" s="476"/>
      <c r="C139" s="476"/>
      <c r="D139" s="477" t="s">
        <v>441</v>
      </c>
      <c r="E139" s="477"/>
      <c r="F139" s="477"/>
      <c r="G139" s="477"/>
      <c r="H139" s="484">
        <f>SUM(H127:H138)</f>
        <v>1755073.4256153489</v>
      </c>
      <c r="I139" s="477"/>
      <c r="J139" s="477"/>
      <c r="K139" s="477"/>
      <c r="L139" s="477"/>
      <c r="M139" s="477"/>
      <c r="N139" s="477"/>
    </row>
    <row r="140" spans="1:14" ht="12.5">
      <c r="A140" s="476"/>
      <c r="B140" s="476"/>
      <c r="C140" s="476"/>
      <c r="D140" s="477"/>
      <c r="E140" s="477"/>
      <c r="F140" s="477"/>
      <c r="G140" s="477"/>
      <c r="H140" s="477"/>
      <c r="I140" s="477"/>
      <c r="J140" s="477"/>
      <c r="K140" s="477"/>
      <c r="L140" s="477"/>
      <c r="M140" s="477"/>
      <c r="N140" s="477"/>
    </row>
    <row r="141" spans="2:14" ht="12.5">
      <c r="B141" s="476"/>
      <c r="C141" s="476"/>
      <c r="D141" s="503" t="s">
        <v>39</v>
      </c>
      <c r="E141" s="476"/>
      <c r="G141" s="476"/>
      <c r="H141" s="484">
        <f>+H139</f>
        <v>1755073.4256153489</v>
      </c>
      <c r="I141" s="476"/>
      <c r="J141" s="484"/>
      <c r="K141" s="477"/>
      <c r="L141" s="477"/>
      <c r="M141" s="477"/>
      <c r="N141" s="477"/>
    </row>
    <row r="142" spans="2:14" ht="12.5">
      <c r="B142" s="476"/>
      <c r="C142" s="476"/>
      <c r="D142" s="503" t="s">
        <v>593</v>
      </c>
      <c r="E142" s="476"/>
      <c r="G142" s="476"/>
      <c r="H142" s="486">
        <f>'ATT H'!H261</f>
        <v>9637614.8312386964</v>
      </c>
      <c r="I142" s="476"/>
      <c r="J142" s="484"/>
      <c r="K142" s="477"/>
      <c r="L142" s="477"/>
      <c r="M142" s="477"/>
      <c r="N142" s="477"/>
    </row>
    <row r="143" spans="2:14" ht="12.5">
      <c r="B143" s="476"/>
      <c r="C143" s="476"/>
      <c r="D143" s="503" t="s">
        <v>40</v>
      </c>
      <c r="E143" s="476"/>
      <c r="G143" s="476"/>
      <c r="H143" s="484">
        <f>+H141+H142</f>
        <v>11392688.256854046</v>
      </c>
      <c r="I143" s="476"/>
      <c r="J143" s="484"/>
      <c r="K143" s="477"/>
      <c r="L143" s="477"/>
      <c r="M143" s="477"/>
      <c r="N143" s="477"/>
    </row>
    <row r="144" spans="2:14" ht="12.5">
      <c r="B144" s="476"/>
      <c r="C144" s="476"/>
      <c r="D144" s="486"/>
      <c r="E144" s="476"/>
      <c r="G144" s="476"/>
      <c r="H144" s="484"/>
      <c r="I144" s="476"/>
      <c r="J144" s="484"/>
      <c r="K144" s="477"/>
      <c r="L144" s="477"/>
      <c r="M144" s="477"/>
      <c r="N144" s="477"/>
    </row>
    <row r="145" spans="1:14" ht="12.5">
      <c r="A145" s="476"/>
      <c r="B145" s="476"/>
      <c r="C145" s="476"/>
      <c r="D145" s="486"/>
      <c r="E145" s="476"/>
      <c r="F145" s="484"/>
      <c r="G145" s="476"/>
      <c r="H145" s="484"/>
      <c r="I145" s="476"/>
      <c r="J145" s="484"/>
      <c r="K145" s="477"/>
      <c r="L145" s="477"/>
      <c r="M145" s="477"/>
      <c r="N145" s="477"/>
    </row>
    <row r="146" spans="1:14" ht="12.5">
      <c r="A146" s="476">
        <f>+A20</f>
        <v>10</v>
      </c>
      <c r="B146" s="476" t="str">
        <f>+B20</f>
        <v>May</v>
      </c>
      <c r="C146" s="476" t="str">
        <f>C103</f>
        <v>Year 4</v>
      </c>
      <c r="D146" s="482" t="s">
        <v>13</v>
      </c>
      <c r="E146" s="477"/>
      <c r="F146" s="477"/>
      <c r="G146" s="477"/>
      <c r="H146" s="477"/>
      <c r="I146" s="477"/>
      <c r="J146" s="477"/>
      <c r="K146" s="477"/>
      <c r="L146" s="477"/>
      <c r="M146" s="477"/>
      <c r="N146" s="477"/>
    </row>
    <row r="147" spans="1:14" ht="12.5">
      <c r="A147" s="476"/>
      <c r="B147" s="476"/>
      <c r="C147" s="476"/>
      <c r="D147" s="481">
        <f>+H143</f>
        <v>11392688.256854046</v>
      </c>
      <c r="E147" s="477" t="str">
        <f>+D49</f>
        <v>Post results of Step 3 on PJM web site</v>
      </c>
      <c r="F147" s="477"/>
      <c r="G147" s="477"/>
      <c r="H147" s="477"/>
      <c r="I147" s="477"/>
      <c r="J147" s="477"/>
      <c r="K147" s="477"/>
      <c r="L147" s="477"/>
      <c r="M147" s="477"/>
      <c r="N147" s="477"/>
    </row>
    <row r="148" spans="1:14" ht="12.5">
      <c r="A148" s="476"/>
      <c r="B148" s="476"/>
      <c r="C148" s="476"/>
      <c r="D148" s="487"/>
      <c r="E148" s="486"/>
      <c r="F148" s="477"/>
      <c r="G148" s="477"/>
      <c r="H148" s="477"/>
      <c r="I148" s="477"/>
      <c r="J148" s="477"/>
      <c r="K148" s="477"/>
      <c r="L148" s="477"/>
      <c r="M148" s="477"/>
      <c r="N148" s="477"/>
    </row>
    <row r="149" spans="1:14" ht="12.5">
      <c r="A149" s="476"/>
      <c r="B149" s="476"/>
      <c r="C149" s="476"/>
      <c r="D149" s="481"/>
      <c r="E149" s="477"/>
      <c r="F149" s="477"/>
      <c r="G149" s="477"/>
      <c r="H149" s="477"/>
      <c r="I149" s="477"/>
      <c r="J149" s="477"/>
      <c r="K149" s="477"/>
      <c r="L149" s="477"/>
      <c r="M149" s="477"/>
      <c r="N149" s="477"/>
    </row>
    <row r="150" spans="1:14" ht="12.5">
      <c r="A150" s="476">
        <f>+A21</f>
        <v>11</v>
      </c>
      <c r="B150" s="476" t="str">
        <f>+B21</f>
        <v>June</v>
      </c>
      <c r="C150" s="476" t="str">
        <f>C146</f>
        <v>Year 4</v>
      </c>
      <c r="D150" s="482" t="s">
        <v>757</v>
      </c>
      <c r="E150" s="477"/>
      <c r="F150" s="477"/>
      <c r="G150" s="477"/>
      <c r="H150" s="477"/>
      <c r="I150" s="477"/>
      <c r="J150" s="477"/>
      <c r="K150" s="477"/>
      <c r="L150" s="477"/>
      <c r="M150" s="477"/>
      <c r="N150" s="477"/>
    </row>
    <row r="151" spans="1:14" ht="12.5">
      <c r="A151" s="476"/>
      <c r="B151" s="476"/>
      <c r="C151" s="476"/>
      <c r="D151" s="492">
        <f>+D147</f>
        <v>11392688.256854046</v>
      </c>
      <c r="E151" s="477"/>
      <c r="F151" s="477"/>
      <c r="G151" s="477"/>
      <c r="H151" s="477"/>
      <c r="I151" s="477"/>
      <c r="J151" s="477"/>
      <c r="K151" s="477"/>
      <c r="L151" s="477"/>
      <c r="M151" s="477"/>
      <c r="N151" s="477"/>
    </row>
    <row r="152" spans="1:14" ht="12.5">
      <c r="A152" s="476"/>
      <c r="B152" s="476"/>
      <c r="C152" s="476"/>
      <c r="D152" s="477"/>
      <c r="E152" s="477"/>
      <c r="F152" s="477"/>
      <c r="G152" s="477"/>
      <c r="H152" s="477"/>
      <c r="I152" s="477"/>
      <c r="J152" s="477"/>
      <c r="K152" s="477"/>
      <c r="L152" s="477"/>
      <c r="M152" s="477"/>
      <c r="N152" s="477"/>
    </row>
    <row r="153" spans="1:14" ht="12.5">
      <c r="A153" s="476"/>
      <c r="B153" s="477"/>
      <c r="C153" s="476"/>
      <c r="D153" s="477"/>
      <c r="E153" s="477"/>
      <c r="F153" s="477"/>
      <c r="G153" s="477"/>
      <c r="H153" s="477"/>
      <c r="I153" s="477"/>
      <c r="J153" s="477"/>
      <c r="K153" s="477"/>
      <c r="L153" s="477"/>
      <c r="M153" s="477"/>
      <c r="N153" s="477"/>
    </row>
    <row r="154" spans="1:14" ht="12.5">
      <c r="A154" s="476"/>
      <c r="B154" s="476"/>
      <c r="C154" s="476"/>
      <c r="D154" s="477"/>
      <c r="E154" s="477"/>
      <c r="F154" s="477"/>
      <c r="G154" s="477"/>
      <c r="H154" s="477"/>
      <c r="I154" s="477"/>
      <c r="J154" s="477"/>
      <c r="K154" s="477"/>
      <c r="L154" s="477"/>
      <c r="M154" s="477"/>
      <c r="N154" s="477"/>
    </row>
    <row r="155" spans="1:14" ht="12.5">
      <c r="A155" s="476"/>
      <c r="B155" s="476"/>
      <c r="C155" s="476"/>
      <c r="D155" s="477"/>
      <c r="E155" s="477"/>
      <c r="F155" s="477"/>
      <c r="G155" s="477"/>
      <c r="H155" s="477"/>
      <c r="I155" s="477"/>
      <c r="J155" s="477"/>
      <c r="K155" s="477"/>
      <c r="L155" s="477"/>
      <c r="M155" s="477"/>
      <c r="N155" s="477"/>
    </row>
    <row r="156" spans="1:14" ht="12.5">
      <c r="A156" s="476"/>
      <c r="B156" s="476"/>
      <c r="C156" s="476"/>
      <c r="D156" s="477"/>
      <c r="E156" s="477"/>
      <c r="F156" s="477"/>
      <c r="G156" s="477"/>
      <c r="H156" s="477"/>
      <c r="I156" s="477"/>
      <c r="J156" s="477"/>
      <c r="K156" s="477"/>
      <c r="L156" s="477"/>
      <c r="M156" s="477"/>
      <c r="N156" s="477"/>
    </row>
    <row r="157" spans="1:14" ht="12.5">
      <c r="A157" s="476"/>
      <c r="B157" s="476"/>
      <c r="C157" s="476"/>
      <c r="D157" s="477"/>
      <c r="E157" s="477"/>
      <c r="F157" s="477"/>
      <c r="G157" s="477"/>
      <c r="H157" s="477"/>
      <c r="I157" s="477"/>
      <c r="J157" s="477"/>
      <c r="K157" s="477"/>
      <c r="L157" s="477"/>
      <c r="M157" s="477"/>
      <c r="N157" s="477"/>
    </row>
    <row r="158" spans="1:14" ht="12.5">
      <c r="A158" s="476"/>
      <c r="B158" s="476"/>
      <c r="C158" s="476"/>
      <c r="D158" s="477"/>
      <c r="E158" s="477"/>
      <c r="F158" s="477"/>
      <c r="G158" s="477"/>
      <c r="H158" s="477"/>
      <c r="I158" s="477"/>
      <c r="J158" s="477"/>
      <c r="K158" s="477"/>
      <c r="L158" s="477"/>
      <c r="M158" s="477"/>
      <c r="N158" s="477"/>
    </row>
    <row r="159" spans="1:14" ht="12.5">
      <c r="A159" s="476"/>
      <c r="B159" s="476"/>
      <c r="C159" s="476"/>
      <c r="D159" s="477"/>
      <c r="E159" s="477"/>
      <c r="F159" s="477"/>
      <c r="G159" s="477"/>
      <c r="H159" s="477"/>
      <c r="I159" s="477"/>
      <c r="J159" s="477"/>
      <c r="K159" s="477"/>
      <c r="L159" s="477"/>
      <c r="M159" s="477"/>
      <c r="N159" s="477"/>
    </row>
    <row r="160" spans="1:14" ht="12.5">
      <c r="A160" s="476"/>
      <c r="B160" s="476"/>
      <c r="C160" s="476"/>
      <c r="D160" s="477"/>
      <c r="E160" s="477"/>
      <c r="F160" s="477"/>
      <c r="G160" s="477"/>
      <c r="H160" s="477"/>
      <c r="I160" s="477"/>
      <c r="J160" s="477"/>
      <c r="K160" s="477"/>
      <c r="L160" s="477"/>
      <c r="M160" s="477"/>
      <c r="N160" s="477"/>
    </row>
    <row r="161" spans="1:14" ht="12.5">
      <c r="A161" s="476"/>
      <c r="B161" s="476"/>
      <c r="C161" s="476"/>
      <c r="D161" s="477"/>
      <c r="E161" s="477"/>
      <c r="F161" s="477"/>
      <c r="G161" s="477"/>
      <c r="H161" s="477"/>
      <c r="I161" s="477"/>
      <c r="J161" s="477"/>
      <c r="K161" s="477"/>
      <c r="L161" s="477"/>
      <c r="M161" s="477"/>
      <c r="N161" s="477"/>
    </row>
    <row r="162" spans="1:14" ht="12.5">
      <c r="A162" s="476"/>
      <c r="B162" s="476"/>
      <c r="C162" s="476"/>
      <c r="D162" s="477"/>
      <c r="E162" s="477"/>
      <c r="F162" s="477"/>
      <c r="G162" s="477"/>
      <c r="H162" s="477"/>
      <c r="I162" s="477"/>
      <c r="J162" s="477"/>
      <c r="K162" s="477"/>
      <c r="L162" s="477"/>
      <c r="M162" s="477"/>
      <c r="N162" s="477"/>
    </row>
    <row r="163" spans="1:14" ht="12.5">
      <c r="A163" s="476"/>
      <c r="B163" s="476"/>
      <c r="C163" s="476"/>
      <c r="D163" s="477"/>
      <c r="E163" s="477"/>
      <c r="F163" s="477"/>
      <c r="G163" s="477"/>
      <c r="H163" s="477"/>
      <c r="I163" s="477"/>
      <c r="J163" s="477"/>
      <c r="K163" s="477"/>
      <c r="L163" s="477"/>
      <c r="M163" s="477"/>
      <c r="N163" s="477"/>
    </row>
    <row r="164" spans="1:14" ht="12.5">
      <c r="A164" s="476"/>
      <c r="B164" s="476"/>
      <c r="C164" s="476"/>
      <c r="D164" s="477"/>
      <c r="E164" s="477"/>
      <c r="F164" s="477"/>
      <c r="G164" s="477"/>
      <c r="H164" s="477"/>
      <c r="I164" s="477"/>
      <c r="J164" s="477"/>
      <c r="K164" s="477"/>
      <c r="L164" s="477"/>
      <c r="M164" s="477"/>
      <c r="N164" s="477"/>
    </row>
    <row r="165" spans="1:14" ht="12.5">
      <c r="A165" s="476"/>
      <c r="B165" s="476"/>
      <c r="C165" s="476"/>
      <c r="D165" s="477"/>
      <c r="E165" s="477"/>
      <c r="F165" s="477"/>
      <c r="G165" s="477"/>
      <c r="H165" s="477"/>
      <c r="I165" s="477"/>
      <c r="J165" s="477"/>
      <c r="K165" s="477"/>
      <c r="L165" s="477"/>
      <c r="M165" s="477"/>
      <c r="N165" s="477"/>
    </row>
    <row r="166" spans="1:14" ht="12.5">
      <c r="A166" s="476"/>
      <c r="B166" s="476"/>
      <c r="C166" s="476"/>
      <c r="D166" s="477"/>
      <c r="E166" s="477"/>
      <c r="F166" s="477"/>
      <c r="G166" s="477"/>
      <c r="H166" s="477"/>
      <c r="I166" s="477"/>
      <c r="J166" s="477"/>
      <c r="K166" s="477"/>
      <c r="L166" s="477"/>
      <c r="M166" s="477"/>
      <c r="N166" s="477"/>
    </row>
    <row r="167" spans="1:14" ht="12.5">
      <c r="A167" s="476"/>
      <c r="B167" s="476"/>
      <c r="C167" s="476"/>
      <c r="D167" s="477"/>
      <c r="E167" s="477"/>
      <c r="F167" s="477"/>
      <c r="G167" s="477"/>
      <c r="H167" s="477"/>
      <c r="I167" s="477"/>
      <c r="J167" s="477"/>
      <c r="K167" s="477"/>
      <c r="L167" s="477"/>
      <c r="M167" s="477"/>
      <c r="N167" s="477"/>
    </row>
    <row r="168" spans="1:14" ht="12.5">
      <c r="A168" s="476"/>
      <c r="B168" s="476"/>
      <c r="C168" s="476"/>
      <c r="D168" s="477"/>
      <c r="E168" s="477"/>
      <c r="F168" s="477"/>
      <c r="G168" s="477"/>
      <c r="H168" s="477"/>
      <c r="I168" s="477"/>
      <c r="J168" s="477"/>
      <c r="K168" s="477"/>
      <c r="L168" s="477"/>
      <c r="M168" s="477"/>
      <c r="N168" s="477"/>
    </row>
    <row r="169" spans="1:14" ht="15.5">
      <c r="A169" s="461"/>
      <c r="B169" s="476"/>
      <c r="C169" s="476"/>
      <c r="D169" s="477"/>
      <c r="E169" s="477"/>
      <c r="F169" s="477"/>
      <c r="G169" s="477"/>
      <c r="H169" s="477"/>
      <c r="I169" s="477"/>
      <c r="J169" s="477"/>
      <c r="K169" s="477"/>
      <c r="L169" s="477"/>
      <c r="M169" s="477"/>
      <c r="N169" s="477"/>
    </row>
    <row r="170" spans="1:14" ht="15.5">
      <c r="A170" s="461"/>
      <c r="B170" s="476"/>
      <c r="C170" s="476"/>
      <c r="D170" s="477"/>
      <c r="E170" s="477"/>
      <c r="F170" s="477"/>
      <c r="G170" s="477"/>
      <c r="H170" s="477"/>
      <c r="I170" s="477"/>
      <c r="J170" s="477"/>
      <c r="K170" s="477"/>
      <c r="L170" s="477"/>
      <c r="M170" s="477"/>
      <c r="N170" s="477"/>
    </row>
    <row r="171" spans="1:14" ht="15.5">
      <c r="A171" s="461"/>
      <c r="B171" s="461"/>
      <c r="C171" s="461"/>
      <c r="D171" s="460"/>
      <c r="E171" s="460"/>
      <c r="F171" s="460"/>
      <c r="G171" s="460"/>
      <c r="H171" s="460"/>
      <c r="I171" s="460"/>
      <c r="J171" s="460"/>
      <c r="K171" s="460"/>
      <c r="L171" s="460"/>
      <c r="M171" s="460"/>
      <c r="N171" s="460"/>
    </row>
    <row r="172" spans="1:14" ht="15.5">
      <c r="A172" s="461"/>
      <c r="B172" s="461"/>
      <c r="C172" s="461"/>
      <c r="D172" s="460"/>
      <c r="E172" s="460"/>
      <c r="F172" s="460"/>
      <c r="G172" s="460"/>
      <c r="H172" s="460"/>
      <c r="I172" s="460"/>
      <c r="J172" s="460"/>
      <c r="K172" s="460"/>
      <c r="L172" s="460"/>
      <c r="M172" s="460"/>
      <c r="N172" s="460"/>
    </row>
    <row r="173" spans="1:14" ht="15.5">
      <c r="A173" s="461"/>
      <c r="B173" s="461"/>
      <c r="C173" s="461"/>
      <c r="D173" s="460"/>
      <c r="E173" s="460"/>
      <c r="F173" s="460"/>
      <c r="G173" s="460"/>
      <c r="H173" s="460"/>
      <c r="I173" s="460"/>
      <c r="J173" s="460"/>
      <c r="K173" s="460"/>
      <c r="L173" s="460"/>
      <c r="M173" s="460"/>
      <c r="N173" s="460"/>
    </row>
    <row r="174" spans="1:14" ht="15.5">
      <c r="A174" s="461"/>
      <c r="B174" s="461"/>
      <c r="C174" s="461"/>
      <c r="D174" s="460"/>
      <c r="E174" s="460"/>
      <c r="F174" s="460"/>
      <c r="G174" s="460"/>
      <c r="H174" s="460"/>
      <c r="I174" s="460"/>
      <c r="J174" s="460"/>
      <c r="K174" s="460"/>
      <c r="L174" s="460"/>
      <c r="M174" s="460"/>
      <c r="N174" s="460"/>
    </row>
    <row r="175" spans="1:14" ht="15.5">
      <c r="A175" s="461"/>
      <c r="B175" s="461"/>
      <c r="C175" s="461"/>
      <c r="D175" s="460"/>
      <c r="E175" s="460"/>
      <c r="F175" s="460"/>
      <c r="G175" s="460"/>
      <c r="H175" s="460"/>
      <c r="I175" s="460"/>
      <c r="J175" s="460"/>
      <c r="K175" s="460"/>
      <c r="L175" s="460"/>
      <c r="M175" s="460"/>
      <c r="N175" s="460"/>
    </row>
    <row r="176" spans="1:14" ht="15.5">
      <c r="A176" s="461"/>
      <c r="B176" s="461"/>
      <c r="C176" s="461"/>
      <c r="D176" s="460"/>
      <c r="E176" s="460"/>
      <c r="F176" s="460"/>
      <c r="G176" s="460"/>
      <c r="H176" s="460"/>
      <c r="I176" s="460"/>
      <c r="J176" s="460"/>
      <c r="K176" s="460"/>
      <c r="L176" s="460"/>
      <c r="M176" s="460"/>
      <c r="N176" s="460"/>
    </row>
    <row r="177" spans="1:14" ht="15.5">
      <c r="A177" s="461"/>
      <c r="B177" s="461"/>
      <c r="C177" s="461"/>
      <c r="D177" s="460"/>
      <c r="E177" s="460"/>
      <c r="F177" s="460"/>
      <c r="G177" s="460"/>
      <c r="H177" s="460"/>
      <c r="I177" s="460"/>
      <c r="J177" s="460"/>
      <c r="K177" s="460"/>
      <c r="L177" s="460"/>
      <c r="M177" s="460"/>
      <c r="N177" s="460"/>
    </row>
    <row r="178" spans="1:14" ht="15.5">
      <c r="A178" s="461"/>
      <c r="B178" s="461"/>
      <c r="C178" s="461"/>
      <c r="D178" s="460"/>
      <c r="E178" s="460"/>
      <c r="F178" s="460"/>
      <c r="G178" s="460"/>
      <c r="H178" s="460"/>
      <c r="I178" s="460"/>
      <c r="J178" s="460"/>
      <c r="K178" s="460"/>
      <c r="L178" s="460"/>
      <c r="M178" s="460"/>
      <c r="N178" s="460"/>
    </row>
    <row r="179" spans="1:14" ht="15.5">
      <c r="A179" s="461"/>
      <c r="B179" s="461"/>
      <c r="C179" s="461"/>
      <c r="D179" s="460"/>
      <c r="E179" s="460"/>
      <c r="F179" s="460"/>
      <c r="G179" s="460"/>
      <c r="H179" s="460"/>
      <c r="I179" s="460"/>
      <c r="J179" s="460"/>
      <c r="K179" s="460"/>
      <c r="L179" s="460"/>
      <c r="M179" s="460"/>
      <c r="N179" s="460"/>
    </row>
    <row r="180" spans="1:14" ht="15.5">
      <c r="A180" s="461"/>
      <c r="B180" s="461"/>
      <c r="C180" s="461"/>
      <c r="D180" s="460"/>
      <c r="E180" s="460"/>
      <c r="F180" s="460"/>
      <c r="G180" s="460"/>
      <c r="H180" s="460"/>
      <c r="I180" s="460"/>
      <c r="J180" s="460"/>
      <c r="K180" s="460"/>
      <c r="L180" s="460"/>
      <c r="M180" s="460"/>
      <c r="N180" s="460"/>
    </row>
    <row r="181" spans="1:14" ht="15.5">
      <c r="A181" s="461"/>
      <c r="B181" s="461"/>
      <c r="C181" s="461"/>
      <c r="D181" s="460"/>
      <c r="E181" s="460"/>
      <c r="F181" s="460"/>
      <c r="G181" s="460"/>
      <c r="H181" s="460"/>
      <c r="I181" s="460"/>
      <c r="J181" s="460"/>
      <c r="K181" s="460"/>
      <c r="L181" s="460"/>
      <c r="M181" s="460"/>
      <c r="N181" s="460"/>
    </row>
    <row r="182" spans="1:14" ht="15.5">
      <c r="A182" s="461"/>
      <c r="B182" s="461"/>
      <c r="C182" s="461"/>
      <c r="D182" s="460"/>
      <c r="E182" s="460"/>
      <c r="F182" s="460"/>
      <c r="G182" s="460"/>
      <c r="H182" s="460"/>
      <c r="I182" s="460"/>
      <c r="J182" s="460"/>
      <c r="K182" s="460"/>
      <c r="L182" s="460"/>
      <c r="M182" s="460"/>
      <c r="N182" s="460"/>
    </row>
    <row r="183" spans="1:14" ht="15.5">
      <c r="A183" s="461"/>
      <c r="B183" s="461"/>
      <c r="C183" s="461"/>
      <c r="D183" s="460"/>
      <c r="E183" s="460"/>
      <c r="F183" s="460"/>
      <c r="G183" s="460"/>
      <c r="H183" s="460"/>
      <c r="I183" s="460"/>
      <c r="J183" s="460"/>
      <c r="K183" s="460"/>
      <c r="L183" s="460"/>
      <c r="M183" s="460"/>
      <c r="N183" s="460"/>
    </row>
    <row r="184" spans="1:14" ht="15.5">
      <c r="A184" s="461"/>
      <c r="B184" s="461"/>
      <c r="C184" s="461"/>
      <c r="D184" s="460"/>
      <c r="E184" s="460"/>
      <c r="F184" s="460"/>
      <c r="G184" s="460"/>
      <c r="H184" s="460"/>
      <c r="I184" s="460"/>
      <c r="J184" s="460"/>
      <c r="K184" s="460"/>
      <c r="L184" s="460"/>
      <c r="M184" s="460"/>
      <c r="N184" s="460"/>
    </row>
    <row r="185" spans="1:14" ht="15.5">
      <c r="A185" s="461"/>
      <c r="B185" s="461"/>
      <c r="C185" s="461"/>
      <c r="D185" s="460"/>
      <c r="E185" s="460"/>
      <c r="F185" s="460"/>
      <c r="G185" s="460"/>
      <c r="H185" s="460"/>
      <c r="I185" s="460"/>
      <c r="J185" s="460"/>
      <c r="K185" s="460"/>
      <c r="L185" s="460"/>
      <c r="M185" s="460"/>
      <c r="N185" s="460"/>
    </row>
    <row r="186" spans="1:14" ht="15.5">
      <c r="A186" s="461"/>
      <c r="B186" s="461"/>
      <c r="C186" s="461"/>
      <c r="D186" s="460"/>
      <c r="E186" s="460"/>
      <c r="F186" s="460"/>
      <c r="G186" s="460"/>
      <c r="H186" s="460"/>
      <c r="I186" s="460"/>
      <c r="J186" s="460"/>
      <c r="K186" s="460"/>
      <c r="L186" s="460"/>
      <c r="M186" s="460"/>
      <c r="N186" s="460"/>
    </row>
    <row r="187" spans="1:14" ht="15.5">
      <c r="A187" s="461"/>
      <c r="B187" s="461"/>
      <c r="C187" s="461"/>
      <c r="D187" s="460"/>
      <c r="E187" s="460"/>
      <c r="F187" s="460"/>
      <c r="G187" s="460"/>
      <c r="H187" s="460"/>
      <c r="I187" s="460"/>
      <c r="J187" s="460"/>
      <c r="K187" s="460"/>
      <c r="L187" s="460"/>
      <c r="M187" s="460"/>
      <c r="N187" s="460"/>
    </row>
    <row r="188" spans="1:14" ht="15.5">
      <c r="A188" s="461"/>
      <c r="B188" s="461"/>
      <c r="C188" s="461"/>
      <c r="D188" s="460"/>
      <c r="E188" s="460"/>
      <c r="F188" s="460"/>
      <c r="G188" s="460"/>
      <c r="H188" s="460"/>
      <c r="I188" s="460"/>
      <c r="J188" s="460"/>
      <c r="K188" s="460"/>
      <c r="L188" s="460"/>
      <c r="M188" s="460"/>
      <c r="N188" s="460"/>
    </row>
    <row r="189" spans="1:14" ht="15.5">
      <c r="A189" s="461"/>
      <c r="B189" s="461"/>
      <c r="C189" s="461"/>
      <c r="D189" s="460"/>
      <c r="E189" s="460"/>
      <c r="F189" s="460"/>
      <c r="G189" s="460"/>
      <c r="H189" s="460"/>
      <c r="I189" s="460"/>
      <c r="J189" s="460"/>
      <c r="K189" s="460"/>
      <c r="L189" s="460"/>
      <c r="M189" s="460"/>
      <c r="N189" s="460"/>
    </row>
    <row r="190" spans="1:14" ht="15.5">
      <c r="A190" s="461"/>
      <c r="B190" s="461"/>
      <c r="C190" s="461"/>
      <c r="D190" s="460"/>
      <c r="E190" s="460"/>
      <c r="F190" s="460"/>
      <c r="G190" s="460"/>
      <c r="H190" s="460"/>
      <c r="I190" s="460"/>
      <c r="J190" s="460"/>
      <c r="K190" s="460"/>
      <c r="L190" s="460"/>
      <c r="M190" s="460"/>
      <c r="N190" s="460"/>
    </row>
    <row r="191" spans="1:14" ht="15.5">
      <c r="A191" s="461"/>
      <c r="B191" s="461"/>
      <c r="C191" s="461"/>
      <c r="D191" s="460"/>
      <c r="E191" s="460"/>
      <c r="F191" s="460"/>
      <c r="G191" s="460"/>
      <c r="H191" s="460"/>
      <c r="I191" s="460"/>
      <c r="J191" s="460"/>
      <c r="K191" s="460"/>
      <c r="L191" s="460"/>
      <c r="M191" s="460"/>
      <c r="N191" s="460"/>
    </row>
    <row r="192" spans="1:14" ht="15.5">
      <c r="A192" s="461"/>
      <c r="B192" s="461"/>
      <c r="C192" s="461"/>
      <c r="D192" s="460"/>
      <c r="E192" s="460"/>
      <c r="F192" s="460"/>
      <c r="G192" s="460"/>
      <c r="H192" s="460"/>
      <c r="I192" s="460"/>
      <c r="J192" s="460"/>
      <c r="K192" s="460"/>
      <c r="L192" s="460"/>
      <c r="M192" s="460"/>
      <c r="N192" s="460"/>
    </row>
    <row r="193" spans="1:14" ht="15.5">
      <c r="A193" s="461"/>
      <c r="B193" s="461"/>
      <c r="C193" s="461"/>
      <c r="D193" s="460"/>
      <c r="E193" s="460"/>
      <c r="F193" s="460"/>
      <c r="G193" s="460"/>
      <c r="H193" s="460"/>
      <c r="I193" s="460"/>
      <c r="J193" s="460"/>
      <c r="K193" s="460"/>
      <c r="L193" s="460"/>
      <c r="M193" s="460"/>
      <c r="N193" s="460"/>
    </row>
    <row r="194" spans="1:14" ht="15.5">
      <c r="A194" s="461"/>
      <c r="B194" s="461"/>
      <c r="C194" s="461"/>
      <c r="D194" s="460"/>
      <c r="E194" s="460"/>
      <c r="F194" s="460"/>
      <c r="G194" s="460"/>
      <c r="H194" s="460"/>
      <c r="I194" s="460"/>
      <c r="J194" s="460"/>
      <c r="K194" s="460"/>
      <c r="L194" s="460"/>
      <c r="M194" s="460"/>
      <c r="N194" s="460"/>
    </row>
    <row r="195" spans="1:14" ht="15.5">
      <c r="A195" s="461"/>
      <c r="B195" s="461"/>
      <c r="C195" s="461"/>
      <c r="D195" s="460"/>
      <c r="E195" s="460"/>
      <c r="F195" s="460"/>
      <c r="G195" s="460"/>
      <c r="H195" s="460"/>
      <c r="I195" s="460"/>
      <c r="J195" s="460"/>
      <c r="K195" s="460"/>
      <c r="L195" s="460"/>
      <c r="M195" s="460"/>
      <c r="N195" s="460"/>
    </row>
    <row r="196" spans="1:14" ht="15.5">
      <c r="A196" s="461"/>
      <c r="B196" s="461"/>
      <c r="C196" s="461"/>
      <c r="D196" s="460"/>
      <c r="E196" s="460"/>
      <c r="F196" s="460"/>
      <c r="G196" s="460"/>
      <c r="H196" s="460"/>
      <c r="I196" s="460"/>
      <c r="J196" s="460"/>
      <c r="K196" s="460"/>
      <c r="L196" s="460"/>
      <c r="M196" s="460"/>
      <c r="N196" s="460"/>
    </row>
    <row r="197" spans="1:14" ht="15.5">
      <c r="A197" s="461"/>
      <c r="B197" s="461"/>
      <c r="C197" s="461"/>
      <c r="D197" s="460"/>
      <c r="E197" s="460"/>
      <c r="F197" s="460"/>
      <c r="G197" s="460"/>
      <c r="H197" s="460"/>
      <c r="I197" s="460"/>
      <c r="J197" s="460"/>
      <c r="K197" s="460"/>
      <c r="L197" s="460"/>
      <c r="M197" s="460"/>
      <c r="N197" s="460"/>
    </row>
    <row r="198" spans="1:14" ht="15.5">
      <c r="A198" s="461"/>
      <c r="B198" s="461"/>
      <c r="C198" s="461"/>
      <c r="D198" s="460"/>
      <c r="E198" s="460"/>
      <c r="F198" s="460"/>
      <c r="G198" s="460"/>
      <c r="H198" s="460"/>
      <c r="I198" s="460"/>
      <c r="J198" s="460"/>
      <c r="K198" s="460"/>
      <c r="L198" s="460"/>
      <c r="M198" s="460"/>
      <c r="N198" s="460"/>
    </row>
    <row r="199" spans="1:14" ht="15.5">
      <c r="A199" s="461"/>
      <c r="B199" s="461"/>
      <c r="C199" s="461"/>
      <c r="D199" s="460"/>
      <c r="E199" s="460"/>
      <c r="F199" s="460"/>
      <c r="G199" s="460"/>
      <c r="H199" s="460"/>
      <c r="I199" s="460"/>
      <c r="J199" s="460"/>
      <c r="K199" s="460"/>
      <c r="L199" s="460"/>
      <c r="M199" s="460"/>
      <c r="N199" s="460"/>
    </row>
    <row r="200" spans="1:14" ht="15.5">
      <c r="A200" s="461"/>
      <c r="B200" s="461"/>
      <c r="C200" s="461"/>
      <c r="D200" s="460"/>
      <c r="E200" s="460"/>
      <c r="F200" s="460"/>
      <c r="G200" s="460"/>
      <c r="H200" s="460"/>
      <c r="I200" s="460"/>
      <c r="J200" s="460"/>
      <c r="K200" s="460"/>
      <c r="L200" s="460"/>
      <c r="M200" s="460"/>
      <c r="N200" s="460"/>
    </row>
    <row r="201" spans="1:14" ht="15.5">
      <c r="A201" s="461"/>
      <c r="B201" s="461"/>
      <c r="C201" s="461"/>
      <c r="D201" s="460"/>
      <c r="E201" s="460"/>
      <c r="F201" s="460"/>
      <c r="G201" s="460"/>
      <c r="H201" s="460"/>
      <c r="I201" s="460"/>
      <c r="J201" s="460"/>
      <c r="K201" s="460"/>
      <c r="L201" s="460"/>
      <c r="M201" s="460"/>
      <c r="N201" s="460"/>
    </row>
    <row r="202" spans="1:14" ht="15.5">
      <c r="A202" s="461"/>
      <c r="B202" s="461"/>
      <c r="C202" s="461"/>
      <c r="D202" s="460"/>
      <c r="E202" s="460"/>
      <c r="F202" s="460"/>
      <c r="G202" s="460"/>
      <c r="H202" s="460"/>
      <c r="I202" s="460"/>
      <c r="J202" s="460"/>
      <c r="K202" s="460"/>
      <c r="L202" s="460"/>
      <c r="M202" s="460"/>
      <c r="N202" s="460"/>
    </row>
    <row r="203" spans="1:14" ht="15.5">
      <c r="A203" s="461"/>
      <c r="B203" s="461"/>
      <c r="C203" s="461"/>
      <c r="D203" s="460"/>
      <c r="E203" s="460"/>
      <c r="F203" s="460"/>
      <c r="G203" s="460"/>
      <c r="H203" s="460"/>
      <c r="I203" s="460"/>
      <c r="J203" s="460"/>
      <c r="K203" s="460"/>
      <c r="L203" s="460"/>
      <c r="M203" s="460"/>
      <c r="N203" s="460"/>
    </row>
    <row r="204" spans="1:14" ht="15.5">
      <c r="A204" s="461"/>
      <c r="B204" s="461"/>
      <c r="C204" s="461"/>
      <c r="D204" s="460"/>
      <c r="E204" s="460"/>
      <c r="F204" s="460"/>
      <c r="G204" s="460"/>
      <c r="H204" s="460"/>
      <c r="I204" s="460"/>
      <c r="J204" s="460"/>
      <c r="K204" s="460"/>
      <c r="L204" s="460"/>
      <c r="M204" s="460"/>
      <c r="N204" s="460"/>
    </row>
    <row r="205" spans="1:14" ht="15.5">
      <c r="A205" s="461"/>
      <c r="B205" s="461"/>
      <c r="C205" s="461"/>
      <c r="D205" s="460"/>
      <c r="E205" s="460"/>
      <c r="F205" s="460"/>
      <c r="G205" s="460"/>
      <c r="H205" s="460"/>
      <c r="I205" s="460"/>
      <c r="J205" s="460"/>
      <c r="K205" s="460"/>
      <c r="L205" s="460"/>
      <c r="M205" s="460"/>
      <c r="N205" s="460"/>
    </row>
    <row r="206" spans="1:14" ht="15.5">
      <c r="A206" s="461"/>
      <c r="B206" s="461"/>
      <c r="C206" s="461"/>
      <c r="D206" s="460"/>
      <c r="E206" s="460"/>
      <c r="F206" s="460"/>
      <c r="G206" s="460"/>
      <c r="H206" s="460"/>
      <c r="I206" s="460"/>
      <c r="J206" s="460"/>
      <c r="K206" s="460"/>
      <c r="L206" s="460"/>
      <c r="M206" s="460"/>
      <c r="N206" s="460"/>
    </row>
    <row r="207" spans="1:14" ht="15.5">
      <c r="A207" s="461"/>
      <c r="B207" s="461"/>
      <c r="C207" s="461"/>
      <c r="D207" s="460"/>
      <c r="E207" s="460"/>
      <c r="F207" s="460"/>
      <c r="G207" s="460"/>
      <c r="H207" s="460"/>
      <c r="I207" s="460"/>
      <c r="J207" s="460"/>
      <c r="K207" s="460"/>
      <c r="L207" s="460"/>
      <c r="M207" s="460"/>
      <c r="N207" s="460"/>
    </row>
    <row r="208" spans="1:14" ht="15.5">
      <c r="A208" s="461"/>
      <c r="B208" s="461"/>
      <c r="C208" s="461"/>
      <c r="D208" s="460"/>
      <c r="E208" s="460"/>
      <c r="F208" s="460"/>
      <c r="G208" s="460"/>
      <c r="H208" s="460"/>
      <c r="I208" s="460"/>
      <c r="J208" s="460"/>
      <c r="K208" s="460"/>
      <c r="L208" s="460"/>
      <c r="M208" s="460"/>
      <c r="N208" s="460"/>
    </row>
    <row r="209" spans="1:14" ht="15.5">
      <c r="A209" s="461"/>
      <c r="B209" s="461"/>
      <c r="C209" s="461"/>
      <c r="D209" s="460"/>
      <c r="E209" s="460"/>
      <c r="F209" s="460"/>
      <c r="G209" s="460"/>
      <c r="H209" s="460"/>
      <c r="I209" s="460"/>
      <c r="J209" s="460"/>
      <c r="K209" s="460"/>
      <c r="L209" s="460"/>
      <c r="M209" s="460"/>
      <c r="N209" s="460"/>
    </row>
    <row r="210" spans="1:14" ht="15.5">
      <c r="A210" s="461"/>
      <c r="B210" s="461"/>
      <c r="C210" s="461"/>
      <c r="D210" s="460"/>
      <c r="E210" s="460"/>
      <c r="F210" s="460"/>
      <c r="G210" s="460"/>
      <c r="H210" s="460"/>
      <c r="I210" s="460"/>
      <c r="J210" s="460"/>
      <c r="K210" s="460"/>
      <c r="L210" s="460"/>
      <c r="M210" s="460"/>
      <c r="N210" s="460"/>
    </row>
    <row r="211" spans="1:14" ht="15.5">
      <c r="A211" s="461"/>
      <c r="B211" s="461"/>
      <c r="C211" s="461"/>
      <c r="D211" s="460"/>
      <c r="E211" s="460"/>
      <c r="F211" s="460"/>
      <c r="G211" s="460"/>
      <c r="H211" s="460"/>
      <c r="I211" s="460"/>
      <c r="J211" s="460"/>
      <c r="K211" s="460"/>
      <c r="L211" s="460"/>
      <c r="M211" s="460"/>
      <c r="N211" s="460"/>
    </row>
    <row r="212" spans="1:14" ht="15.5">
      <c r="A212" s="461"/>
      <c r="B212" s="461"/>
      <c r="C212" s="461"/>
      <c r="D212" s="460"/>
      <c r="E212" s="460"/>
      <c r="F212" s="460"/>
      <c r="G212" s="460"/>
      <c r="H212" s="460"/>
      <c r="I212" s="460"/>
      <c r="J212" s="460"/>
      <c r="K212" s="460"/>
      <c r="L212" s="460"/>
      <c r="M212" s="460"/>
      <c r="N212" s="460"/>
    </row>
    <row r="213" spans="1:14" ht="15.5">
      <c r="A213" s="461"/>
      <c r="B213" s="461"/>
      <c r="C213" s="461"/>
      <c r="D213" s="460"/>
      <c r="E213" s="460"/>
      <c r="F213" s="460"/>
      <c r="G213" s="460"/>
      <c r="H213" s="460"/>
      <c r="I213" s="460"/>
      <c r="J213" s="460"/>
      <c r="K213" s="460"/>
      <c r="L213" s="460"/>
      <c r="M213" s="460"/>
      <c r="N213" s="460"/>
    </row>
    <row r="214" spans="1:14" ht="15.5">
      <c r="A214" s="461"/>
      <c r="B214" s="461"/>
      <c r="C214" s="461"/>
      <c r="D214" s="460"/>
      <c r="E214" s="460"/>
      <c r="F214" s="460"/>
      <c r="G214" s="460"/>
      <c r="H214" s="460"/>
      <c r="I214" s="460"/>
      <c r="J214" s="460"/>
      <c r="K214" s="460"/>
      <c r="L214" s="460"/>
      <c r="M214" s="460"/>
      <c r="N214" s="460"/>
    </row>
    <row r="215" spans="1:14" ht="15.5">
      <c r="A215" s="461"/>
      <c r="B215" s="461"/>
      <c r="C215" s="461"/>
      <c r="D215" s="460"/>
      <c r="E215" s="460"/>
      <c r="F215" s="460"/>
      <c r="G215" s="460"/>
      <c r="H215" s="460"/>
      <c r="I215" s="460"/>
      <c r="J215" s="460"/>
      <c r="K215" s="460"/>
      <c r="L215" s="460"/>
      <c r="M215" s="460"/>
      <c r="N215" s="460"/>
    </row>
    <row r="216" spans="1:14" ht="15.5">
      <c r="A216" s="461"/>
      <c r="B216" s="461"/>
      <c r="C216" s="461"/>
      <c r="D216" s="460"/>
      <c r="E216" s="460"/>
      <c r="F216" s="460"/>
      <c r="G216" s="460"/>
      <c r="H216" s="460"/>
      <c r="I216" s="460"/>
      <c r="J216" s="460"/>
      <c r="K216" s="460"/>
      <c r="L216" s="460"/>
      <c r="M216" s="460"/>
      <c r="N216" s="460"/>
    </row>
    <row r="217" spans="1:14" ht="15.5">
      <c r="A217" s="461"/>
      <c r="B217" s="461"/>
      <c r="C217" s="461"/>
      <c r="D217" s="460"/>
      <c r="E217" s="460"/>
      <c r="F217" s="460"/>
      <c r="G217" s="460"/>
      <c r="H217" s="460"/>
      <c r="I217" s="460"/>
      <c r="J217" s="460"/>
      <c r="K217" s="460"/>
      <c r="L217" s="460"/>
      <c r="M217" s="460"/>
      <c r="N217" s="460"/>
    </row>
    <row r="218" spans="1:14" ht="15.5">
      <c r="A218" s="461"/>
      <c r="B218" s="461"/>
      <c r="C218" s="461"/>
      <c r="D218" s="460"/>
      <c r="E218" s="460"/>
      <c r="F218" s="460"/>
      <c r="G218" s="460"/>
      <c r="H218" s="460"/>
      <c r="I218" s="460"/>
      <c r="J218" s="460"/>
      <c r="K218" s="460"/>
      <c r="L218" s="460"/>
      <c r="M218" s="460"/>
      <c r="N218" s="460"/>
    </row>
    <row r="219" spans="1:14" ht="15.5">
      <c r="A219" s="461"/>
      <c r="B219" s="461"/>
      <c r="C219" s="461"/>
      <c r="D219" s="460"/>
      <c r="E219" s="460"/>
      <c r="F219" s="460"/>
      <c r="G219" s="460"/>
      <c r="H219" s="460"/>
      <c r="I219" s="460"/>
      <c r="J219" s="460"/>
      <c r="K219" s="460"/>
      <c r="L219" s="460"/>
      <c r="M219" s="460"/>
      <c r="N219" s="460"/>
    </row>
    <row r="220" spans="1:14" ht="15.5">
      <c r="A220" s="461"/>
      <c r="B220" s="461"/>
      <c r="C220" s="461"/>
      <c r="D220" s="460"/>
      <c r="E220" s="460"/>
      <c r="F220" s="460"/>
      <c r="G220" s="460"/>
      <c r="H220" s="460"/>
      <c r="I220" s="460"/>
      <c r="J220" s="460"/>
      <c r="K220" s="460"/>
      <c r="L220" s="460"/>
      <c r="M220" s="460"/>
      <c r="N220" s="460"/>
    </row>
    <row r="221" spans="1:14" ht="15.5">
      <c r="A221" s="461"/>
      <c r="B221" s="461"/>
      <c r="C221" s="461"/>
      <c r="D221" s="460"/>
      <c r="E221" s="460"/>
      <c r="F221" s="460"/>
      <c r="G221" s="460"/>
      <c r="H221" s="460"/>
      <c r="I221" s="460"/>
      <c r="J221" s="460"/>
      <c r="K221" s="460"/>
      <c r="L221" s="460"/>
      <c r="M221" s="460"/>
      <c r="N221" s="460"/>
    </row>
    <row r="222" spans="1:14" ht="15.5">
      <c r="A222" s="461"/>
      <c r="B222" s="461"/>
      <c r="C222" s="461"/>
      <c r="D222" s="460"/>
      <c r="E222" s="460"/>
      <c r="F222" s="460"/>
      <c r="G222" s="460"/>
      <c r="H222" s="460"/>
      <c r="I222" s="460"/>
      <c r="J222" s="460"/>
      <c r="K222" s="460"/>
      <c r="L222" s="460"/>
      <c r="M222" s="460"/>
      <c r="N222" s="460"/>
    </row>
    <row r="223" spans="1:14" ht="15.5">
      <c r="A223" s="461"/>
      <c r="B223" s="461"/>
      <c r="C223" s="461"/>
      <c r="D223" s="460"/>
      <c r="E223" s="460"/>
      <c r="F223" s="460"/>
      <c r="G223" s="460"/>
      <c r="H223" s="460"/>
      <c r="I223" s="460"/>
      <c r="J223" s="460"/>
      <c r="K223" s="460"/>
      <c r="L223" s="460"/>
      <c r="M223" s="460"/>
      <c r="N223" s="460"/>
    </row>
    <row r="224" spans="1:14" ht="15.5">
      <c r="A224" s="461"/>
      <c r="B224" s="461"/>
      <c r="C224" s="461"/>
      <c r="D224" s="460"/>
      <c r="E224" s="460"/>
      <c r="F224" s="460"/>
      <c r="G224" s="460"/>
      <c r="H224" s="460"/>
      <c r="I224" s="460"/>
      <c r="J224" s="460"/>
      <c r="K224" s="460"/>
      <c r="L224" s="460"/>
      <c r="M224" s="460"/>
      <c r="N224" s="460"/>
    </row>
    <row r="225" spans="1:14" ht="15.5">
      <c r="A225" s="461"/>
      <c r="B225" s="461"/>
      <c r="C225" s="461"/>
      <c r="D225" s="460"/>
      <c r="E225" s="460"/>
      <c r="F225" s="460"/>
      <c r="G225" s="460"/>
      <c r="H225" s="460"/>
      <c r="I225" s="460"/>
      <c r="J225" s="460"/>
      <c r="K225" s="460"/>
      <c r="L225" s="460"/>
      <c r="M225" s="460"/>
      <c r="N225" s="460"/>
    </row>
    <row r="226" spans="1:14" ht="15.5">
      <c r="A226" s="461"/>
      <c r="B226" s="461"/>
      <c r="C226" s="461"/>
      <c r="D226" s="460"/>
      <c r="E226" s="460"/>
      <c r="F226" s="460"/>
      <c r="G226" s="460"/>
      <c r="H226" s="460"/>
      <c r="I226" s="460"/>
      <c r="J226" s="460"/>
      <c r="K226" s="460"/>
      <c r="L226" s="460"/>
      <c r="M226" s="460"/>
      <c r="N226" s="460"/>
    </row>
    <row r="227" spans="1:14" ht="15.5">
      <c r="A227" s="461"/>
      <c r="B227" s="461"/>
      <c r="C227" s="461"/>
      <c r="D227" s="460"/>
      <c r="E227" s="460"/>
      <c r="F227" s="460"/>
      <c r="G227" s="460"/>
      <c r="H227" s="460"/>
      <c r="I227" s="460"/>
      <c r="J227" s="460"/>
      <c r="K227" s="460"/>
      <c r="L227" s="460"/>
      <c r="M227" s="460"/>
      <c r="N227" s="460"/>
    </row>
    <row r="228" spans="1:14" ht="15.5">
      <c r="A228" s="461"/>
      <c r="B228" s="461"/>
      <c r="C228" s="461"/>
      <c r="D228" s="460"/>
      <c r="E228" s="460"/>
      <c r="F228" s="460"/>
      <c r="G228" s="460"/>
      <c r="H228" s="460"/>
      <c r="I228" s="460"/>
      <c r="J228" s="460"/>
      <c r="K228" s="460"/>
      <c r="L228" s="460"/>
      <c r="M228" s="460"/>
      <c r="N228" s="460"/>
    </row>
    <row r="229" spans="1:14" ht="15.5">
      <c r="A229" s="461"/>
      <c r="B229" s="461"/>
      <c r="C229" s="461"/>
      <c r="D229" s="460"/>
      <c r="E229" s="460"/>
      <c r="F229" s="460"/>
      <c r="G229" s="460"/>
      <c r="H229" s="460"/>
      <c r="I229" s="460"/>
      <c r="J229" s="460"/>
      <c r="K229" s="460"/>
      <c r="L229" s="460"/>
      <c r="M229" s="460"/>
      <c r="N229" s="460"/>
    </row>
    <row r="230" spans="1:14" ht="15.5">
      <c r="A230" s="461"/>
      <c r="B230" s="461"/>
      <c r="C230" s="461"/>
      <c r="D230" s="460"/>
      <c r="E230" s="460"/>
      <c r="F230" s="460"/>
      <c r="G230" s="460"/>
      <c r="H230" s="460"/>
      <c r="I230" s="460"/>
      <c r="J230" s="460"/>
      <c r="K230" s="460"/>
      <c r="L230" s="460"/>
      <c r="M230" s="460"/>
      <c r="N230" s="460"/>
    </row>
    <row r="231" spans="1:14" ht="15.5">
      <c r="A231" s="461"/>
      <c r="B231" s="461"/>
      <c r="C231" s="461"/>
      <c r="D231" s="460"/>
      <c r="E231" s="460"/>
      <c r="F231" s="460"/>
      <c r="G231" s="460"/>
      <c r="H231" s="460"/>
      <c r="I231" s="460"/>
      <c r="J231" s="460"/>
      <c r="K231" s="460"/>
      <c r="L231" s="460"/>
      <c r="M231" s="460"/>
      <c r="N231" s="460"/>
    </row>
    <row r="232" spans="1:14" ht="15.5">
      <c r="A232" s="461"/>
      <c r="B232" s="461"/>
      <c r="C232" s="461"/>
      <c r="D232" s="460"/>
      <c r="E232" s="460"/>
      <c r="F232" s="460"/>
      <c r="G232" s="460"/>
      <c r="H232" s="460"/>
      <c r="I232" s="460"/>
      <c r="J232" s="460"/>
      <c r="K232" s="460"/>
      <c r="L232" s="460"/>
      <c r="M232" s="460"/>
      <c r="N232" s="460"/>
    </row>
    <row r="233" spans="1:14" ht="15.5">
      <c r="A233" s="461"/>
      <c r="B233" s="461"/>
      <c r="C233" s="461"/>
      <c r="D233" s="460"/>
      <c r="E233" s="460"/>
      <c r="F233" s="460"/>
      <c r="G233" s="460"/>
      <c r="H233" s="460"/>
      <c r="I233" s="460"/>
      <c r="J233" s="460"/>
      <c r="K233" s="460"/>
      <c r="L233" s="460"/>
      <c r="M233" s="460"/>
      <c r="N233" s="460"/>
    </row>
    <row r="234" spans="1:14" ht="15.5">
      <c r="A234" s="461"/>
      <c r="B234" s="461"/>
      <c r="C234" s="461"/>
      <c r="D234" s="460"/>
      <c r="E234" s="460"/>
      <c r="F234" s="460"/>
      <c r="G234" s="460"/>
      <c r="H234" s="460"/>
      <c r="I234" s="460"/>
      <c r="J234" s="460"/>
      <c r="K234" s="460"/>
      <c r="L234" s="460"/>
      <c r="M234" s="460"/>
      <c r="N234" s="460"/>
    </row>
    <row r="235" spans="1:14" ht="15.5">
      <c r="A235" s="461"/>
      <c r="B235" s="461"/>
      <c r="C235" s="461"/>
      <c r="D235" s="460"/>
      <c r="E235" s="460"/>
      <c r="F235" s="460"/>
      <c r="G235" s="460"/>
      <c r="H235" s="460"/>
      <c r="I235" s="460"/>
      <c r="J235" s="460"/>
      <c r="K235" s="460"/>
      <c r="L235" s="460"/>
      <c r="M235" s="460"/>
      <c r="N235" s="460"/>
    </row>
    <row r="236" spans="1:14" ht="15.5">
      <c r="A236" s="461"/>
      <c r="B236" s="461"/>
      <c r="C236" s="461"/>
      <c r="D236" s="460"/>
      <c r="E236" s="460"/>
      <c r="F236" s="460"/>
      <c r="G236" s="460"/>
      <c r="H236" s="460"/>
      <c r="I236" s="460"/>
      <c r="J236" s="460"/>
      <c r="K236" s="460"/>
      <c r="L236" s="460"/>
      <c r="M236" s="460"/>
      <c r="N236" s="460"/>
    </row>
    <row r="237" spans="1:14" ht="15.5">
      <c r="A237" s="461"/>
      <c r="B237" s="461"/>
      <c r="C237" s="461"/>
      <c r="D237" s="460"/>
      <c r="E237" s="460"/>
      <c r="F237" s="460"/>
      <c r="G237" s="460"/>
      <c r="H237" s="460"/>
      <c r="I237" s="460"/>
      <c r="J237" s="460"/>
      <c r="K237" s="460"/>
      <c r="L237" s="460"/>
      <c r="M237" s="460"/>
      <c r="N237" s="460"/>
    </row>
    <row r="238" spans="1:14" ht="15.5">
      <c r="A238" s="461"/>
      <c r="B238" s="461"/>
      <c r="C238" s="461"/>
      <c r="D238" s="460"/>
      <c r="E238" s="460"/>
      <c r="F238" s="460"/>
      <c r="G238" s="460"/>
      <c r="H238" s="460"/>
      <c r="I238" s="460"/>
      <c r="J238" s="460"/>
      <c r="K238" s="460"/>
      <c r="L238" s="460"/>
      <c r="M238" s="460"/>
      <c r="N238" s="460"/>
    </row>
    <row r="239" spans="1:14" ht="15.5">
      <c r="A239" s="461"/>
      <c r="B239" s="461"/>
      <c r="C239" s="461"/>
      <c r="D239" s="460"/>
      <c r="E239" s="460"/>
      <c r="F239" s="460"/>
      <c r="G239" s="460"/>
      <c r="H239" s="460"/>
      <c r="I239" s="460"/>
      <c r="J239" s="460"/>
      <c r="K239" s="460"/>
      <c r="L239" s="460"/>
      <c r="M239" s="460"/>
      <c r="N239" s="460"/>
    </row>
    <row r="240" spans="1:14" ht="15.5">
      <c r="A240" s="461"/>
      <c r="B240" s="461"/>
      <c r="C240" s="461"/>
      <c r="D240" s="460"/>
      <c r="E240" s="460"/>
      <c r="F240" s="460"/>
      <c r="G240" s="460"/>
      <c r="H240" s="460"/>
      <c r="I240" s="460"/>
      <c r="J240" s="460"/>
      <c r="K240" s="460"/>
      <c r="L240" s="460"/>
      <c r="M240" s="460"/>
      <c r="N240" s="460"/>
    </row>
    <row r="241" spans="1:14" ht="15.5">
      <c r="A241" s="461"/>
      <c r="B241" s="461"/>
      <c r="C241" s="461"/>
      <c r="D241" s="460"/>
      <c r="E241" s="460"/>
      <c r="F241" s="460"/>
      <c r="G241" s="460"/>
      <c r="H241" s="460"/>
      <c r="I241" s="460"/>
      <c r="J241" s="460"/>
      <c r="K241" s="460"/>
      <c r="L241" s="460"/>
      <c r="M241" s="460"/>
      <c r="N241" s="460"/>
    </row>
    <row r="242" spans="1:14" ht="15.5">
      <c r="A242" s="461"/>
      <c r="B242" s="461"/>
      <c r="C242" s="461"/>
      <c r="D242" s="460"/>
      <c r="E242" s="460"/>
      <c r="F242" s="460"/>
      <c r="G242" s="460"/>
      <c r="H242" s="460"/>
      <c r="I242" s="460"/>
      <c r="J242" s="460"/>
      <c r="K242" s="460"/>
      <c r="L242" s="460"/>
      <c r="M242" s="460"/>
      <c r="N242" s="460"/>
    </row>
    <row r="243" spans="1:14" ht="15.5">
      <c r="A243" s="461"/>
      <c r="B243" s="461"/>
      <c r="C243" s="461"/>
      <c r="D243" s="460"/>
      <c r="E243" s="460"/>
      <c r="F243" s="460"/>
      <c r="G243" s="460"/>
      <c r="H243" s="460"/>
      <c r="I243" s="460"/>
      <c r="J243" s="460"/>
      <c r="K243" s="460"/>
      <c r="L243" s="460"/>
      <c r="M243" s="460"/>
      <c r="N243" s="460"/>
    </row>
    <row r="244" spans="1:14" ht="15.5">
      <c r="A244" s="461"/>
      <c r="B244" s="461"/>
      <c r="C244" s="461"/>
      <c r="D244" s="460"/>
      <c r="E244" s="460"/>
      <c r="F244" s="460"/>
      <c r="G244" s="460"/>
      <c r="H244" s="460"/>
      <c r="I244" s="460"/>
      <c r="J244" s="460"/>
      <c r="K244" s="460"/>
      <c r="L244" s="460"/>
      <c r="M244" s="460"/>
      <c r="N244" s="460"/>
    </row>
    <row r="245" spans="1:14" ht="15.5">
      <c r="A245" s="461"/>
      <c r="B245" s="461"/>
      <c r="C245" s="461"/>
      <c r="D245" s="460"/>
      <c r="E245" s="460"/>
      <c r="F245" s="460"/>
      <c r="G245" s="460"/>
      <c r="H245" s="460"/>
      <c r="I245" s="460"/>
      <c r="J245" s="460"/>
      <c r="K245" s="460"/>
      <c r="L245" s="460"/>
      <c r="M245" s="460"/>
      <c r="N245" s="460"/>
    </row>
    <row r="246" spans="1:14" ht="15.5">
      <c r="A246" s="461"/>
      <c r="B246" s="461"/>
      <c r="C246" s="461"/>
      <c r="D246" s="460"/>
      <c r="E246" s="460"/>
      <c r="F246" s="460"/>
      <c r="G246" s="460"/>
      <c r="H246" s="460"/>
      <c r="I246" s="460"/>
      <c r="J246" s="460"/>
      <c r="K246" s="460"/>
      <c r="L246" s="460"/>
      <c r="M246" s="460"/>
      <c r="N246" s="460"/>
    </row>
    <row r="247" spans="1:14" ht="15.5">
      <c r="A247" s="461"/>
      <c r="B247" s="461"/>
      <c r="C247" s="461"/>
      <c r="D247" s="460"/>
      <c r="E247" s="460"/>
      <c r="F247" s="460"/>
      <c r="G247" s="460"/>
      <c r="H247" s="460"/>
      <c r="I247" s="460"/>
      <c r="J247" s="460"/>
      <c r="K247" s="460"/>
      <c r="L247" s="460"/>
      <c r="M247" s="460"/>
      <c r="N247" s="460"/>
    </row>
    <row r="248" spans="1:14" ht="15.5">
      <c r="A248" s="461"/>
      <c r="B248" s="461"/>
      <c r="C248" s="461"/>
      <c r="D248" s="460"/>
      <c r="E248" s="460"/>
      <c r="F248" s="460"/>
      <c r="G248" s="460"/>
      <c r="H248" s="460"/>
      <c r="I248" s="460"/>
      <c r="J248" s="460"/>
      <c r="K248" s="460"/>
      <c r="L248" s="460"/>
      <c r="M248" s="460"/>
      <c r="N248" s="460"/>
    </row>
    <row r="249" spans="1:14" ht="15.5">
      <c r="A249" s="461"/>
      <c r="B249" s="461"/>
      <c r="C249" s="461"/>
      <c r="D249" s="460"/>
      <c r="E249" s="460"/>
      <c r="F249" s="460"/>
      <c r="G249" s="460"/>
      <c r="H249" s="460"/>
      <c r="I249" s="460"/>
      <c r="J249" s="460"/>
      <c r="K249" s="460"/>
      <c r="L249" s="460"/>
      <c r="M249" s="460"/>
      <c r="N249" s="460"/>
    </row>
    <row r="250" spans="1:14" ht="15.5">
      <c r="A250" s="461"/>
      <c r="B250" s="461"/>
      <c r="C250" s="461"/>
      <c r="D250" s="460"/>
      <c r="E250" s="460"/>
      <c r="F250" s="460"/>
      <c r="G250" s="460"/>
      <c r="H250" s="460"/>
      <c r="I250" s="460"/>
      <c r="J250" s="460"/>
      <c r="K250" s="460"/>
      <c r="L250" s="460"/>
      <c r="M250" s="460"/>
      <c r="N250" s="460"/>
    </row>
    <row r="251" spans="1:14" ht="15.5">
      <c r="A251" s="461"/>
      <c r="B251" s="461"/>
      <c r="C251" s="461"/>
      <c r="D251" s="460"/>
      <c r="E251" s="460"/>
      <c r="F251" s="460"/>
      <c r="G251" s="460"/>
      <c r="H251" s="460"/>
      <c r="I251" s="460"/>
      <c r="J251" s="460"/>
      <c r="K251" s="460"/>
      <c r="L251" s="460"/>
      <c r="M251" s="460"/>
      <c r="N251" s="460"/>
    </row>
    <row r="252" spans="1:14" ht="15.5">
      <c r="A252" s="461"/>
      <c r="B252" s="461"/>
      <c r="C252" s="461"/>
      <c r="D252" s="460"/>
      <c r="E252" s="460"/>
      <c r="F252" s="460"/>
      <c r="G252" s="460"/>
      <c r="H252" s="460"/>
      <c r="I252" s="460"/>
      <c r="J252" s="460"/>
      <c r="K252" s="460"/>
      <c r="L252" s="460"/>
      <c r="M252" s="460"/>
      <c r="N252" s="460"/>
    </row>
    <row r="253" spans="1:14" ht="15.5">
      <c r="A253" s="461"/>
      <c r="B253" s="461"/>
      <c r="C253" s="461"/>
      <c r="D253" s="460"/>
      <c r="E253" s="460"/>
      <c r="F253" s="460"/>
      <c r="G253" s="460"/>
      <c r="H253" s="460"/>
      <c r="I253" s="460"/>
      <c r="J253" s="460"/>
      <c r="K253" s="460"/>
      <c r="L253" s="460"/>
      <c r="M253" s="460"/>
      <c r="N253" s="460"/>
    </row>
    <row r="254" spans="1:14" ht="15.5">
      <c r="A254" s="461"/>
      <c r="B254" s="461"/>
      <c r="C254" s="461"/>
      <c r="D254" s="460"/>
      <c r="E254" s="460"/>
      <c r="F254" s="460"/>
      <c r="G254" s="460"/>
      <c r="H254" s="460"/>
      <c r="I254" s="460"/>
      <c r="J254" s="460"/>
      <c r="K254" s="460"/>
      <c r="L254" s="460"/>
      <c r="M254" s="460"/>
      <c r="N254" s="460"/>
    </row>
    <row r="255" spans="1:14" ht="15.5">
      <c r="A255" s="461"/>
      <c r="B255" s="461"/>
      <c r="C255" s="461"/>
      <c r="D255" s="460"/>
      <c r="E255" s="460"/>
      <c r="F255" s="460"/>
      <c r="G255" s="460"/>
      <c r="H255" s="460"/>
      <c r="I255" s="460"/>
      <c r="J255" s="460"/>
      <c r="K255" s="460"/>
      <c r="L255" s="460"/>
      <c r="M255" s="460"/>
      <c r="N255" s="460"/>
    </row>
    <row r="256" spans="1:14" ht="15.5">
      <c r="A256" s="461"/>
      <c r="B256" s="461"/>
      <c r="C256" s="461"/>
      <c r="D256" s="460"/>
      <c r="E256" s="460"/>
      <c r="F256" s="460"/>
      <c r="G256" s="460"/>
      <c r="H256" s="460"/>
      <c r="I256" s="460"/>
      <c r="J256" s="460"/>
      <c r="K256" s="460"/>
      <c r="L256" s="460"/>
      <c r="M256" s="460"/>
      <c r="N256" s="460"/>
    </row>
    <row r="257" spans="1:14" ht="15.5">
      <c r="A257" s="461"/>
      <c r="B257" s="461"/>
      <c r="C257" s="461"/>
      <c r="D257" s="460"/>
      <c r="E257" s="460"/>
      <c r="F257" s="460"/>
      <c r="G257" s="460"/>
      <c r="H257" s="460"/>
      <c r="I257" s="460"/>
      <c r="J257" s="460"/>
      <c r="K257" s="460"/>
      <c r="L257" s="460"/>
      <c r="M257" s="460"/>
      <c r="N257" s="460"/>
    </row>
    <row r="258" spans="1:14" ht="15.5">
      <c r="A258" s="461"/>
      <c r="B258" s="461"/>
      <c r="C258" s="461"/>
      <c r="D258" s="460"/>
      <c r="E258" s="460"/>
      <c r="F258" s="460"/>
      <c r="G258" s="460"/>
      <c r="H258" s="460"/>
      <c r="I258" s="460"/>
      <c r="J258" s="460"/>
      <c r="K258" s="460"/>
      <c r="L258" s="460"/>
      <c r="M258" s="460"/>
      <c r="N258" s="460"/>
    </row>
    <row r="259" spans="1:14" ht="15.5">
      <c r="A259" s="461"/>
      <c r="B259" s="461"/>
      <c r="C259" s="461"/>
      <c r="D259" s="460"/>
      <c r="E259" s="460"/>
      <c r="F259" s="460"/>
      <c r="G259" s="460"/>
      <c r="H259" s="460"/>
      <c r="I259" s="460"/>
      <c r="J259" s="460"/>
      <c r="K259" s="460"/>
      <c r="L259" s="460"/>
      <c r="M259" s="460"/>
      <c r="N259" s="460"/>
    </row>
    <row r="260" spans="1:14" ht="15.5">
      <c r="A260" s="461"/>
      <c r="B260" s="461"/>
      <c r="C260" s="461"/>
      <c r="D260" s="460"/>
      <c r="E260" s="460"/>
      <c r="F260" s="460"/>
      <c r="G260" s="460"/>
      <c r="H260" s="460"/>
      <c r="I260" s="460"/>
      <c r="J260" s="460"/>
      <c r="K260" s="460"/>
      <c r="L260" s="460"/>
      <c r="M260" s="460"/>
      <c r="N260" s="460"/>
    </row>
    <row r="261" spans="1:14" ht="15.5">
      <c r="A261" s="461"/>
      <c r="B261" s="461"/>
      <c r="C261" s="461"/>
      <c r="D261" s="460"/>
      <c r="E261" s="460"/>
      <c r="F261" s="460"/>
      <c r="G261" s="460"/>
      <c r="H261" s="460"/>
      <c r="I261" s="460"/>
      <c r="J261" s="460"/>
      <c r="K261" s="460"/>
      <c r="L261" s="460"/>
      <c r="M261" s="460"/>
      <c r="N261" s="460"/>
    </row>
    <row r="262" spans="1:14" ht="15.5">
      <c r="A262" s="461"/>
      <c r="B262" s="461"/>
      <c r="C262" s="461"/>
      <c r="D262" s="460"/>
      <c r="E262" s="460"/>
      <c r="F262" s="460"/>
      <c r="G262" s="460"/>
      <c r="H262" s="460"/>
      <c r="I262" s="460"/>
      <c r="J262" s="460"/>
      <c r="K262" s="460"/>
      <c r="L262" s="460"/>
      <c r="M262" s="460"/>
      <c r="N262" s="460"/>
    </row>
    <row r="263" spans="1:14" ht="15.5">
      <c r="A263" s="461"/>
      <c r="B263" s="461"/>
      <c r="C263" s="461"/>
      <c r="D263" s="460"/>
      <c r="E263" s="460"/>
      <c r="F263" s="460"/>
      <c r="G263" s="460"/>
      <c r="H263" s="460"/>
      <c r="I263" s="460"/>
      <c r="J263" s="460"/>
      <c r="K263" s="460"/>
      <c r="L263" s="460"/>
      <c r="M263" s="460"/>
      <c r="N263" s="460"/>
    </row>
    <row r="264" spans="1:14" ht="15.5">
      <c r="A264" s="461"/>
      <c r="B264" s="461"/>
      <c r="C264" s="461"/>
      <c r="D264" s="460"/>
      <c r="E264" s="460"/>
      <c r="F264" s="460"/>
      <c r="G264" s="460"/>
      <c r="H264" s="460"/>
      <c r="I264" s="460"/>
      <c r="J264" s="460"/>
      <c r="K264" s="460"/>
      <c r="L264" s="460"/>
      <c r="M264" s="460"/>
      <c r="N264" s="460"/>
    </row>
    <row r="265" spans="1:14" ht="15.5">
      <c r="A265" s="461"/>
      <c r="B265" s="461"/>
      <c r="C265" s="461"/>
      <c r="D265" s="460"/>
      <c r="E265" s="460"/>
      <c r="F265" s="460"/>
      <c r="G265" s="460"/>
      <c r="H265" s="460"/>
      <c r="I265" s="460"/>
      <c r="J265" s="460"/>
      <c r="K265" s="460"/>
      <c r="L265" s="460"/>
      <c r="M265" s="460"/>
      <c r="N265" s="460"/>
    </row>
    <row r="266" spans="1:14" ht="15.5">
      <c r="A266" s="461"/>
      <c r="B266" s="461"/>
      <c r="C266" s="461"/>
      <c r="D266" s="460"/>
      <c r="E266" s="460"/>
      <c r="F266" s="460"/>
      <c r="G266" s="460"/>
      <c r="H266" s="460"/>
      <c r="I266" s="460"/>
      <c r="J266" s="460"/>
      <c r="K266" s="460"/>
      <c r="L266" s="460"/>
      <c r="M266" s="460"/>
      <c r="N266" s="460"/>
    </row>
    <row r="267" spans="1:14" ht="15.5">
      <c r="A267" s="461"/>
      <c r="B267" s="461"/>
      <c r="C267" s="461"/>
      <c r="D267" s="460"/>
      <c r="E267" s="460"/>
      <c r="F267" s="460"/>
      <c r="G267" s="460"/>
      <c r="H267" s="460"/>
      <c r="I267" s="460"/>
      <c r="J267" s="460"/>
      <c r="K267" s="460"/>
      <c r="L267" s="460"/>
      <c r="M267" s="460"/>
      <c r="N267" s="460"/>
    </row>
    <row r="268" spans="1:14" ht="15.5">
      <c r="A268" s="461"/>
      <c r="B268" s="461"/>
      <c r="C268" s="461"/>
      <c r="D268" s="460"/>
      <c r="E268" s="460"/>
      <c r="F268" s="460"/>
      <c r="G268" s="460"/>
      <c r="H268" s="460"/>
      <c r="I268" s="460"/>
      <c r="J268" s="460"/>
      <c r="K268" s="460"/>
      <c r="L268" s="460"/>
      <c r="M268" s="460"/>
      <c r="N268" s="460"/>
    </row>
    <row r="269" spans="1:14" ht="15.5">
      <c r="A269" s="461"/>
      <c r="B269" s="461"/>
      <c r="C269" s="461"/>
      <c r="D269" s="460"/>
      <c r="E269" s="460"/>
      <c r="F269" s="460"/>
      <c r="G269" s="460"/>
      <c r="H269" s="460"/>
      <c r="I269" s="460"/>
      <c r="J269" s="460"/>
      <c r="K269" s="460"/>
      <c r="L269" s="460"/>
      <c r="M269" s="460"/>
      <c r="N269" s="460"/>
    </row>
    <row r="270" spans="1:14" ht="15.5">
      <c r="A270" s="461"/>
      <c r="B270" s="461"/>
      <c r="C270" s="461"/>
      <c r="D270" s="460"/>
      <c r="E270" s="460"/>
      <c r="F270" s="460"/>
      <c r="G270" s="460"/>
      <c r="H270" s="460"/>
      <c r="I270" s="460"/>
      <c r="J270" s="460"/>
      <c r="K270" s="460"/>
      <c r="L270" s="460"/>
      <c r="M270" s="460"/>
      <c r="N270" s="460"/>
    </row>
    <row r="271" spans="1:14" ht="15.5">
      <c r="A271" s="461"/>
      <c r="B271" s="461"/>
      <c r="C271" s="461"/>
      <c r="D271" s="460"/>
      <c r="E271" s="460"/>
      <c r="F271" s="460"/>
      <c r="G271" s="460"/>
      <c r="H271" s="460"/>
      <c r="I271" s="460"/>
      <c r="J271" s="460"/>
      <c r="K271" s="460"/>
      <c r="L271" s="460"/>
      <c r="M271" s="460"/>
      <c r="N271" s="460"/>
    </row>
    <row r="272" spans="1:14" ht="15.5">
      <c r="A272" s="461"/>
      <c r="B272" s="461"/>
      <c r="C272" s="461"/>
      <c r="D272" s="460"/>
      <c r="E272" s="460"/>
      <c r="F272" s="460"/>
      <c r="G272" s="460"/>
      <c r="H272" s="460"/>
      <c r="I272" s="460"/>
      <c r="J272" s="460"/>
      <c r="K272" s="460"/>
      <c r="L272" s="460"/>
      <c r="M272" s="460"/>
      <c r="N272" s="460"/>
    </row>
    <row r="273" spans="1:14" ht="15.5">
      <c r="A273" s="461"/>
      <c r="B273" s="461"/>
      <c r="C273" s="461"/>
      <c r="D273" s="460"/>
      <c r="E273" s="460"/>
      <c r="F273" s="460"/>
      <c r="G273" s="460"/>
      <c r="H273" s="460"/>
      <c r="I273" s="460"/>
      <c r="J273" s="460"/>
      <c r="K273" s="460"/>
      <c r="L273" s="460"/>
      <c r="M273" s="460"/>
      <c r="N273" s="460"/>
    </row>
    <row r="274" spans="1:14" ht="15.5">
      <c r="A274" s="461"/>
      <c r="B274" s="461"/>
      <c r="C274" s="461"/>
      <c r="D274" s="460"/>
      <c r="E274" s="460"/>
      <c r="F274" s="460"/>
      <c r="G274" s="460"/>
      <c r="H274" s="460"/>
      <c r="I274" s="460"/>
      <c r="J274" s="460"/>
      <c r="K274" s="460"/>
      <c r="L274" s="460"/>
      <c r="M274" s="460"/>
      <c r="N274" s="460"/>
    </row>
    <row r="275" spans="1:14" ht="15.5">
      <c r="A275" s="461"/>
      <c r="B275" s="461"/>
      <c r="C275" s="461"/>
      <c r="D275" s="460"/>
      <c r="E275" s="460"/>
      <c r="F275" s="460"/>
      <c r="G275" s="460"/>
      <c r="H275" s="460"/>
      <c r="I275" s="460"/>
      <c r="J275" s="460"/>
      <c r="K275" s="460"/>
      <c r="L275" s="460"/>
      <c r="M275" s="460"/>
      <c r="N275" s="460"/>
    </row>
    <row r="276" spans="1:14" ht="15.5">
      <c r="A276" s="461"/>
      <c r="B276" s="461"/>
      <c r="C276" s="461"/>
      <c r="D276" s="460"/>
      <c r="E276" s="460"/>
      <c r="F276" s="460"/>
      <c r="G276" s="460"/>
      <c r="H276" s="460"/>
      <c r="I276" s="460"/>
      <c r="J276" s="460"/>
      <c r="K276" s="460"/>
      <c r="L276" s="460"/>
      <c r="M276" s="460"/>
      <c r="N276" s="460"/>
    </row>
    <row r="277" spans="1:14" ht="15.5">
      <c r="A277" s="461"/>
      <c r="B277" s="461"/>
      <c r="C277" s="461"/>
      <c r="D277" s="460"/>
      <c r="E277" s="460"/>
      <c r="F277" s="460"/>
      <c r="G277" s="460"/>
      <c r="H277" s="460"/>
      <c r="I277" s="460"/>
      <c r="J277" s="460"/>
      <c r="K277" s="460"/>
      <c r="L277" s="460"/>
      <c r="M277" s="460"/>
      <c r="N277" s="460"/>
    </row>
    <row r="278" spans="1:14" ht="15.5">
      <c r="A278" s="461"/>
      <c r="B278" s="461"/>
      <c r="C278" s="461"/>
      <c r="D278" s="460"/>
      <c r="E278" s="460"/>
      <c r="F278" s="460"/>
      <c r="G278" s="460"/>
      <c r="H278" s="460"/>
      <c r="I278" s="460"/>
      <c r="J278" s="460"/>
      <c r="K278" s="460"/>
      <c r="L278" s="460"/>
      <c r="M278" s="460"/>
      <c r="N278" s="460"/>
    </row>
    <row r="279" spans="1:14" ht="15.5">
      <c r="A279" s="461"/>
      <c r="B279" s="461"/>
      <c r="C279" s="461"/>
      <c r="D279" s="460"/>
      <c r="E279" s="460"/>
      <c r="F279" s="460"/>
      <c r="G279" s="460"/>
      <c r="H279" s="460"/>
      <c r="I279" s="460"/>
      <c r="J279" s="460"/>
      <c r="K279" s="460"/>
      <c r="L279" s="460"/>
      <c r="M279" s="460"/>
      <c r="N279" s="460"/>
    </row>
    <row r="280" spans="1:14" ht="15.5">
      <c r="A280" s="461"/>
      <c r="B280" s="461"/>
      <c r="C280" s="461"/>
      <c r="D280" s="460"/>
      <c r="E280" s="460"/>
      <c r="F280" s="460"/>
      <c r="G280" s="460"/>
      <c r="H280" s="460"/>
      <c r="I280" s="460"/>
      <c r="J280" s="460"/>
      <c r="K280" s="460"/>
      <c r="L280" s="460"/>
      <c r="M280" s="460"/>
      <c r="N280" s="460"/>
    </row>
    <row r="281" spans="1:14" ht="15.5">
      <c r="A281" s="461"/>
      <c r="B281" s="461"/>
      <c r="C281" s="461"/>
      <c r="D281" s="460"/>
      <c r="E281" s="460"/>
      <c r="F281" s="460"/>
      <c r="G281" s="460"/>
      <c r="H281" s="460"/>
      <c r="I281" s="460"/>
      <c r="J281" s="460"/>
      <c r="K281" s="460"/>
      <c r="L281" s="460"/>
      <c r="M281" s="460"/>
      <c r="N281" s="460"/>
    </row>
    <row r="282" spans="1:14" ht="15.5">
      <c r="A282" s="461"/>
      <c r="B282" s="461"/>
      <c r="C282" s="461"/>
      <c r="D282" s="460"/>
      <c r="E282" s="460"/>
      <c r="F282" s="460"/>
      <c r="G282" s="460"/>
      <c r="H282" s="460"/>
      <c r="I282" s="460"/>
      <c r="J282" s="460"/>
      <c r="K282" s="460"/>
      <c r="L282" s="460"/>
      <c r="M282" s="460"/>
      <c r="N282" s="460"/>
    </row>
    <row r="283" spans="1:14" ht="15.5">
      <c r="A283" s="461"/>
      <c r="B283" s="461"/>
      <c r="C283" s="461"/>
      <c r="D283" s="460"/>
      <c r="E283" s="460"/>
      <c r="F283" s="460"/>
      <c r="G283" s="460"/>
      <c r="H283" s="460"/>
      <c r="I283" s="460"/>
      <c r="J283" s="460"/>
      <c r="K283" s="460"/>
      <c r="L283" s="460"/>
      <c r="M283" s="460"/>
      <c r="N283" s="460"/>
    </row>
    <row r="284" spans="1:14" ht="15.5">
      <c r="A284" s="461"/>
      <c r="B284" s="461"/>
      <c r="C284" s="461"/>
      <c r="D284" s="460"/>
      <c r="E284" s="460"/>
      <c r="F284" s="460"/>
      <c r="G284" s="460"/>
      <c r="H284" s="460"/>
      <c r="I284" s="460"/>
      <c r="J284" s="460"/>
      <c r="K284" s="460"/>
      <c r="L284" s="460"/>
      <c r="M284" s="460"/>
      <c r="N284" s="460"/>
    </row>
    <row r="285" spans="1:14" ht="15.5">
      <c r="A285" s="461"/>
      <c r="B285" s="461"/>
      <c r="C285" s="461"/>
      <c r="D285" s="460"/>
      <c r="E285" s="460"/>
      <c r="F285" s="460"/>
      <c r="G285" s="460"/>
      <c r="H285" s="460"/>
      <c r="I285" s="460"/>
      <c r="J285" s="460"/>
      <c r="K285" s="460"/>
      <c r="L285" s="460"/>
      <c r="M285" s="460"/>
      <c r="N285" s="460"/>
    </row>
    <row r="286" spans="1:14" ht="15.5">
      <c r="A286" s="461"/>
      <c r="B286" s="461"/>
      <c r="C286" s="461"/>
      <c r="D286" s="460"/>
      <c r="E286" s="460"/>
      <c r="F286" s="460"/>
      <c r="G286" s="460"/>
      <c r="H286" s="460"/>
      <c r="I286" s="460"/>
      <c r="J286" s="460"/>
      <c r="K286" s="460"/>
      <c r="L286" s="460"/>
      <c r="M286" s="460"/>
      <c r="N286" s="460"/>
    </row>
    <row r="287" spans="1:14" ht="15.5">
      <c r="A287" s="461"/>
      <c r="B287" s="461"/>
      <c r="C287" s="461"/>
      <c r="D287" s="460"/>
      <c r="E287" s="460"/>
      <c r="F287" s="460"/>
      <c r="G287" s="460"/>
      <c r="H287" s="460"/>
      <c r="I287" s="460"/>
      <c r="J287" s="460"/>
      <c r="K287" s="460"/>
      <c r="L287" s="460"/>
      <c r="M287" s="460"/>
      <c r="N287" s="460"/>
    </row>
    <row r="288" spans="1:14" ht="15.5">
      <c r="A288" s="461"/>
      <c r="B288" s="461"/>
      <c r="C288" s="461"/>
      <c r="D288" s="460"/>
      <c r="E288" s="460"/>
      <c r="F288" s="460"/>
      <c r="G288" s="460"/>
      <c r="H288" s="460"/>
      <c r="I288" s="460"/>
      <c r="J288" s="460"/>
      <c r="K288" s="460"/>
      <c r="L288" s="460"/>
      <c r="M288" s="460"/>
      <c r="N288" s="460"/>
    </row>
    <row r="289" spans="1:14" ht="15.5">
      <c r="A289" s="461"/>
      <c r="B289" s="461"/>
      <c r="C289" s="461"/>
      <c r="D289" s="460"/>
      <c r="E289" s="460"/>
      <c r="F289" s="460"/>
      <c r="G289" s="460"/>
      <c r="H289" s="460"/>
      <c r="I289" s="460"/>
      <c r="J289" s="460"/>
      <c r="K289" s="460"/>
      <c r="L289" s="460"/>
      <c r="M289" s="460"/>
      <c r="N289" s="460"/>
    </row>
    <row r="290" spans="1:14" ht="15.5">
      <c r="A290" s="461"/>
      <c r="B290" s="461"/>
      <c r="C290" s="461"/>
      <c r="D290" s="460"/>
      <c r="E290" s="460"/>
      <c r="F290" s="460"/>
      <c r="G290" s="460"/>
      <c r="H290" s="460"/>
      <c r="I290" s="460"/>
      <c r="J290" s="460"/>
      <c r="K290" s="460"/>
      <c r="L290" s="460"/>
      <c r="M290" s="460"/>
      <c r="N290" s="460"/>
    </row>
    <row r="291" spans="1:14" ht="15.5">
      <c r="A291" s="461"/>
      <c r="B291" s="461"/>
      <c r="C291" s="461"/>
      <c r="D291" s="460"/>
      <c r="E291" s="460"/>
      <c r="F291" s="460"/>
      <c r="G291" s="460"/>
      <c r="H291" s="460"/>
      <c r="I291" s="460"/>
      <c r="J291" s="460"/>
      <c r="K291" s="460"/>
      <c r="L291" s="460"/>
      <c r="M291" s="460"/>
      <c r="N291" s="460"/>
    </row>
    <row r="292" spans="1:14" ht="15.5">
      <c r="A292" s="461"/>
      <c r="B292" s="461"/>
      <c r="C292" s="461"/>
      <c r="D292" s="460"/>
      <c r="E292" s="460"/>
      <c r="F292" s="460"/>
      <c r="G292" s="460"/>
      <c r="H292" s="460"/>
      <c r="I292" s="460"/>
      <c r="J292" s="460"/>
      <c r="K292" s="460"/>
      <c r="L292" s="460"/>
      <c r="M292" s="460"/>
      <c r="N292" s="460"/>
    </row>
    <row r="293" spans="1:14" ht="15.5">
      <c r="A293" s="461"/>
      <c r="B293" s="461"/>
      <c r="C293" s="461"/>
      <c r="D293" s="460"/>
      <c r="E293" s="460"/>
      <c r="F293" s="460"/>
      <c r="G293" s="460"/>
      <c r="H293" s="460"/>
      <c r="I293" s="460"/>
      <c r="J293" s="460"/>
      <c r="K293" s="460"/>
      <c r="L293" s="460"/>
      <c r="M293" s="460"/>
      <c r="N293" s="460"/>
    </row>
    <row r="294" spans="1:14" ht="15.5">
      <c r="A294" s="461"/>
      <c r="B294" s="461"/>
      <c r="C294" s="461"/>
      <c r="D294" s="460"/>
      <c r="E294" s="460"/>
      <c r="F294" s="460"/>
      <c r="G294" s="460"/>
      <c r="H294" s="460"/>
      <c r="I294" s="460"/>
      <c r="J294" s="460"/>
      <c r="K294" s="460"/>
      <c r="L294" s="460"/>
      <c r="M294" s="460"/>
      <c r="N294" s="460"/>
    </row>
    <row r="295" spans="1:14" ht="15.5">
      <c r="A295" s="461"/>
      <c r="B295" s="461"/>
      <c r="C295" s="461"/>
      <c r="D295" s="460"/>
      <c r="E295" s="460"/>
      <c r="F295" s="460"/>
      <c r="G295" s="460"/>
      <c r="H295" s="460"/>
      <c r="I295" s="460"/>
      <c r="J295" s="460"/>
      <c r="K295" s="460"/>
      <c r="L295" s="460"/>
      <c r="M295" s="460"/>
      <c r="N295" s="460"/>
    </row>
    <row r="296" spans="1:14" ht="15.5">
      <c r="A296" s="461"/>
      <c r="B296" s="461"/>
      <c r="C296" s="461"/>
      <c r="D296" s="460"/>
      <c r="E296" s="460"/>
      <c r="F296" s="460"/>
      <c r="G296" s="460"/>
      <c r="H296" s="460"/>
      <c r="I296" s="460"/>
      <c r="J296" s="460"/>
      <c r="K296" s="460"/>
      <c r="L296" s="460"/>
      <c r="M296" s="460"/>
      <c r="N296" s="460"/>
    </row>
    <row r="297" spans="1:14" ht="15.5">
      <c r="A297" s="461"/>
      <c r="B297" s="461"/>
      <c r="C297" s="461"/>
      <c r="D297" s="460"/>
      <c r="E297" s="460"/>
      <c r="F297" s="460"/>
      <c r="G297" s="460"/>
      <c r="H297" s="460"/>
      <c r="I297" s="460"/>
      <c r="J297" s="460"/>
      <c r="K297" s="460"/>
      <c r="L297" s="460"/>
      <c r="M297" s="460"/>
      <c r="N297" s="460"/>
    </row>
    <row r="298" spans="1:14" ht="15.5">
      <c r="A298" s="461"/>
      <c r="B298" s="461"/>
      <c r="C298" s="461"/>
      <c r="D298" s="460"/>
      <c r="E298" s="460"/>
      <c r="F298" s="460"/>
      <c r="G298" s="460"/>
      <c r="H298" s="460"/>
      <c r="I298" s="460"/>
      <c r="J298" s="460"/>
      <c r="K298" s="460"/>
      <c r="L298" s="460"/>
      <c r="M298" s="460"/>
      <c r="N298" s="460"/>
    </row>
    <row r="299" spans="1:14" ht="15.5">
      <c r="A299" s="461"/>
      <c r="B299" s="461"/>
      <c r="C299" s="461"/>
      <c r="D299" s="460"/>
      <c r="E299" s="460"/>
      <c r="F299" s="460"/>
      <c r="G299" s="460"/>
      <c r="H299" s="460"/>
      <c r="I299" s="460"/>
      <c r="J299" s="460"/>
      <c r="K299" s="460"/>
      <c r="L299" s="460"/>
      <c r="M299" s="460"/>
      <c r="N299" s="460"/>
    </row>
    <row r="300" spans="1:14" ht="15.5">
      <c r="A300" s="461"/>
      <c r="B300" s="461"/>
      <c r="C300" s="461"/>
      <c r="D300" s="460"/>
      <c r="E300" s="460"/>
      <c r="F300" s="460"/>
      <c r="G300" s="460"/>
      <c r="H300" s="460"/>
      <c r="I300" s="460"/>
      <c r="J300" s="460"/>
      <c r="K300" s="460"/>
      <c r="L300" s="460"/>
      <c r="M300" s="460"/>
      <c r="N300" s="460"/>
    </row>
    <row r="301" spans="1:14" ht="15.5">
      <c r="A301" s="461"/>
      <c r="B301" s="461"/>
      <c r="C301" s="461"/>
      <c r="D301" s="460"/>
      <c r="E301" s="460"/>
      <c r="F301" s="460"/>
      <c r="G301" s="460"/>
      <c r="H301" s="460"/>
      <c r="I301" s="460"/>
      <c r="J301" s="460"/>
      <c r="K301" s="460"/>
      <c r="L301" s="460"/>
      <c r="M301" s="460"/>
      <c r="N301" s="460"/>
    </row>
    <row r="302" spans="1:14" ht="15.5">
      <c r="A302" s="461"/>
      <c r="B302" s="461"/>
      <c r="C302" s="461"/>
      <c r="D302" s="460"/>
      <c r="E302" s="460"/>
      <c r="F302" s="460"/>
      <c r="G302" s="460"/>
      <c r="H302" s="460"/>
      <c r="I302" s="460"/>
      <c r="J302" s="460"/>
      <c r="K302" s="460"/>
      <c r="L302" s="460"/>
      <c r="M302" s="460"/>
      <c r="N302" s="460"/>
    </row>
    <row r="303" spans="1:14" ht="15.5">
      <c r="A303" s="461"/>
      <c r="B303" s="461"/>
      <c r="C303" s="461"/>
      <c r="D303" s="460"/>
      <c r="E303" s="460"/>
      <c r="F303" s="460"/>
      <c r="G303" s="460"/>
      <c r="H303" s="460"/>
      <c r="I303" s="460"/>
      <c r="J303" s="460"/>
      <c r="K303" s="460"/>
      <c r="L303" s="460"/>
      <c r="M303" s="460"/>
      <c r="N303" s="460"/>
    </row>
    <row r="304" spans="1:14" ht="15.5">
      <c r="A304" s="461"/>
      <c r="B304" s="461"/>
      <c r="C304" s="461"/>
      <c r="D304" s="460"/>
      <c r="E304" s="460"/>
      <c r="F304" s="460"/>
      <c r="G304" s="460"/>
      <c r="H304" s="460"/>
      <c r="I304" s="460"/>
      <c r="J304" s="460"/>
      <c r="K304" s="460"/>
      <c r="L304" s="460"/>
      <c r="M304" s="460"/>
      <c r="N304" s="460"/>
    </row>
    <row r="305" spans="1:14" ht="15.5">
      <c r="A305" s="461"/>
      <c r="B305" s="461"/>
      <c r="C305" s="461"/>
      <c r="D305" s="460"/>
      <c r="E305" s="460"/>
      <c r="F305" s="460"/>
      <c r="G305" s="460"/>
      <c r="H305" s="460"/>
      <c r="I305" s="460"/>
      <c r="J305" s="460"/>
      <c r="K305" s="460"/>
      <c r="L305" s="460"/>
      <c r="M305" s="460"/>
      <c r="N305" s="460"/>
    </row>
    <row r="306" spans="1:14" ht="15.5">
      <c r="A306" s="461"/>
      <c r="B306" s="461"/>
      <c r="C306" s="461"/>
      <c r="D306" s="460"/>
      <c r="E306" s="460"/>
      <c r="F306" s="460"/>
      <c r="G306" s="460"/>
      <c r="H306" s="460"/>
      <c r="I306" s="460"/>
      <c r="J306" s="460"/>
      <c r="K306" s="460"/>
      <c r="L306" s="460"/>
      <c r="M306" s="460"/>
      <c r="N306" s="460"/>
    </row>
    <row r="307" spans="1:14" ht="15.5">
      <c r="A307" s="461"/>
      <c r="B307" s="461"/>
      <c r="C307" s="461"/>
      <c r="D307" s="460"/>
      <c r="E307" s="460"/>
      <c r="F307" s="460"/>
      <c r="G307" s="460"/>
      <c r="H307" s="460"/>
      <c r="I307" s="460"/>
      <c r="J307" s="460"/>
      <c r="K307" s="460"/>
      <c r="L307" s="460"/>
      <c r="M307" s="460"/>
      <c r="N307" s="460"/>
    </row>
    <row r="308" spans="1:14" ht="15.5">
      <c r="A308" s="461"/>
      <c r="B308" s="461"/>
      <c r="C308" s="461"/>
      <c r="D308" s="460"/>
      <c r="E308" s="460"/>
      <c r="F308" s="460"/>
      <c r="G308" s="460"/>
      <c r="H308" s="460"/>
      <c r="I308" s="460"/>
      <c r="J308" s="460"/>
      <c r="K308" s="460"/>
      <c r="L308" s="460"/>
      <c r="M308" s="460"/>
      <c r="N308" s="460"/>
    </row>
    <row r="309" spans="2:14" ht="15.5">
      <c r="B309" s="461"/>
      <c r="C309" s="461"/>
      <c r="D309" s="460"/>
      <c r="E309" s="460"/>
      <c r="F309" s="460"/>
      <c r="G309" s="460"/>
      <c r="H309" s="460"/>
      <c r="I309" s="460"/>
      <c r="J309" s="460"/>
      <c r="K309" s="460"/>
      <c r="L309" s="460"/>
      <c r="M309" s="460"/>
      <c r="N309" s="460"/>
    </row>
    <row r="310" spans="2:14" ht="15.5">
      <c r="B310" s="461"/>
      <c r="C310" s="461"/>
      <c r="D310" s="460"/>
      <c r="E310" s="460"/>
      <c r="F310" s="460"/>
      <c r="G310" s="460"/>
      <c r="H310" s="460"/>
      <c r="I310" s="460"/>
      <c r="J310" s="460"/>
      <c r="K310" s="460"/>
      <c r="L310" s="460"/>
      <c r="M310" s="460"/>
      <c r="N310" s="460"/>
    </row>
    <row r="311" ht="12.5"/>
    <row r="312" ht="12.5"/>
    <row r="313" ht="12.5"/>
    <row r="314" ht="12.5"/>
    <row r="315" ht="12.5"/>
    <row r="316" ht="12.5"/>
    <row r="317" ht="12.5"/>
    <row r="318" ht="12.5"/>
    <row r="319" ht="12.5"/>
    <row r="320" ht="12.5"/>
    <row r="321" ht="12.5"/>
    <row r="322" ht="12.5"/>
    <row r="323" ht="12.5"/>
    <row r="324" ht="12.5"/>
    <row r="325" ht="12.5"/>
    <row r="326" ht="12.5"/>
    <row r="327" ht="12.5"/>
    <row r="328" ht="12.5"/>
    <row r="329" ht="12.5"/>
    <row r="330" spans="1:1" ht="12.5">
      <c r="A330" s="471"/>
    </row>
    <row r="331" spans="1:1" ht="12.5">
      <c r="A331" s="471"/>
    </row>
    <row r="332" spans="1:6" ht="12.5">
      <c r="A332" s="471"/>
      <c r="B332" s="471"/>
      <c r="C332" s="471"/>
      <c r="D332" s="472"/>
      <c r="E332" s="472"/>
      <c r="F332" s="472"/>
    </row>
    <row r="333" spans="1:6" ht="12.5">
      <c r="A333" s="471"/>
      <c r="B333" s="471"/>
      <c r="C333" s="471"/>
      <c r="D333" s="472"/>
      <c r="E333" s="472"/>
      <c r="F333" s="472"/>
    </row>
    <row r="334" spans="1:6" ht="12.5">
      <c r="A334" s="471"/>
      <c r="B334" s="471"/>
      <c r="C334" s="471"/>
      <c r="D334" s="472"/>
      <c r="E334" s="472"/>
      <c r="F334" s="472"/>
    </row>
    <row r="335" spans="1:6" ht="12.5">
      <c r="A335" s="471"/>
      <c r="B335" s="471"/>
      <c r="C335" s="471"/>
      <c r="D335" s="472"/>
      <c r="E335" s="472"/>
      <c r="F335" s="472"/>
    </row>
    <row r="336" spans="1:6" ht="12.5">
      <c r="A336" s="471"/>
      <c r="B336" s="471"/>
      <c r="C336" s="471"/>
      <c r="D336" s="472"/>
      <c r="E336" s="472"/>
      <c r="F336" s="472"/>
    </row>
    <row r="337" spans="1:6" ht="12.5">
      <c r="A337" s="471"/>
      <c r="B337" s="471"/>
      <c r="C337" s="471"/>
      <c r="D337" s="472"/>
      <c r="E337" s="472"/>
      <c r="F337" s="472"/>
    </row>
    <row r="338" spans="1:6" ht="12.5">
      <c r="A338" s="471"/>
      <c r="B338" s="471"/>
      <c r="C338" s="471"/>
      <c r="D338" s="472"/>
      <c r="E338" s="472"/>
      <c r="F338" s="472"/>
    </row>
    <row r="339" spans="2:6" ht="12.5">
      <c r="B339" s="471"/>
      <c r="C339" s="471"/>
      <c r="D339" s="472"/>
      <c r="E339" s="472"/>
      <c r="F339" s="472"/>
    </row>
    <row r="340" spans="2:6" ht="12.5">
      <c r="B340" s="471"/>
      <c r="C340" s="471"/>
      <c r="D340" s="472"/>
      <c r="E340" s="472"/>
      <c r="F340" s="472"/>
    </row>
  </sheetData>
  <mergeCells count="6">
    <mergeCell ref="D77:J77"/>
    <mergeCell ref="D103:J103"/>
    <mergeCell ref="A1:J1"/>
    <mergeCell ref="A3:J3"/>
    <mergeCell ref="D17:I17"/>
    <mergeCell ref="D19:I19"/>
  </mergeCells>
  <printOptions horizontalCentered="1"/>
  <pageMargins left="0.75" right="0.25" top="0.5" bottom="0.5" header="0.5" footer="0.5"/>
  <pageSetup fitToHeight="0" orientation="portrait" scale="65" r:id="rId1"/>
  <headerFooter alignWithMargins="0">
    <oddFooter>&amp;CPage &amp;P of 17</oddFooter>
  </headerFooter>
  <rowBreaks count="1" manualBreakCount="1">
    <brk id="76" max="10" man="1"/>
  </rowBreaks>
  <customProperties>
    <customPr name="_pios_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pageSetUpPr fitToPage="1"/>
  </sheetPr>
  <dimension ref="A1:L37"/>
  <sheetViews>
    <sheetView workbookViewId="0" topLeftCell="A1">
      <selection pane="topLeft" activeCell="E37" sqref="E37"/>
    </sheetView>
  </sheetViews>
  <sheetFormatPr defaultRowHeight="12.5"/>
  <cols>
    <col min="3" max="3" width="56" bestFit="1" customWidth="1"/>
    <col min="4" max="4" width="16" customWidth="1"/>
    <col min="5" max="5" width="14.4285714285714" bestFit="1" customWidth="1"/>
  </cols>
  <sheetData>
    <row r="1" spans="1:12" ht="13">
      <c r="A1" s="716" t="s">
        <v>597</v>
      </c>
      <c r="B1" s="717"/>
      <c r="C1" s="717"/>
      <c r="D1" s="717"/>
      <c r="E1" s="717"/>
      <c r="F1" s="717"/>
      <c r="G1" s="717"/>
      <c r="H1" s="717"/>
      <c r="I1" s="717"/>
      <c r="J1" s="717"/>
      <c r="K1" s="717"/>
      <c r="L1" s="717"/>
    </row>
    <row r="2" spans="1:12" ht="13">
      <c r="A2" s="716" t="s">
        <v>598</v>
      </c>
      <c r="B2" s="717"/>
      <c r="C2" s="717"/>
      <c r="D2" s="717"/>
      <c r="E2" s="717"/>
      <c r="F2" s="717"/>
      <c r="G2" s="717"/>
      <c r="H2" s="717"/>
      <c r="I2" s="717"/>
      <c r="J2" s="717"/>
      <c r="K2" s="717"/>
      <c r="L2" s="717"/>
    </row>
    <row r="3" spans="1:12" ht="13">
      <c r="A3" s="716" t="s">
        <v>599</v>
      </c>
      <c r="B3" s="717"/>
      <c r="C3" s="717"/>
      <c r="D3" s="717"/>
      <c r="E3" s="717"/>
      <c r="F3" s="717"/>
      <c r="G3" s="717"/>
      <c r="H3" s="717"/>
      <c r="I3" s="717"/>
      <c r="J3" s="717"/>
      <c r="K3" s="717"/>
      <c r="L3" s="717"/>
    </row>
    <row r="4" ht="12.5"/>
    <row r="5" ht="12.5"/>
    <row r="6" spans="1:2" ht="13">
      <c r="A6" s="718" t="s">
        <v>600</v>
      </c>
      <c r="B6" s="718"/>
    </row>
    <row r="7" ht="12.5"/>
    <row r="8" spans="1:4" ht="13">
      <c r="A8" s="719" t="s">
        <v>601</v>
      </c>
      <c r="B8" s="719" t="s">
        <v>602</v>
      </c>
      <c r="C8" s="718" t="s">
        <v>603</v>
      </c>
      <c r="D8" s="719" t="s">
        <v>604</v>
      </c>
    </row>
    <row r="9" spans="1:4" ht="12.5">
      <c r="A9" s="720" t="s">
        <v>605</v>
      </c>
      <c r="C9" t="s">
        <v>606</v>
      </c>
      <c r="D9" s="721">
        <v>126000</v>
      </c>
    </row>
    <row r="10" spans="1:4" ht="12.5">
      <c r="A10" s="720" t="s">
        <v>607</v>
      </c>
      <c r="C10" t="s">
        <v>608</v>
      </c>
      <c r="D10" s="722">
        <v>80000</v>
      </c>
    </row>
    <row r="11" spans="4:4" ht="6" customHeight="1">
      <c r="D11" s="721"/>
    </row>
    <row r="12" spans="3:6" ht="13.5" thickBot="1">
      <c r="C12" s="723" t="s">
        <v>609</v>
      </c>
      <c r="D12" s="724">
        <f>SUM(D9:D11)</f>
        <v>206000</v>
      </c>
      <c r="F12" s="721"/>
    </row>
    <row r="13" ht="13" thickTop="1"/>
    <row r="14" ht="12.5"/>
    <row r="15" spans="1:2" ht="13">
      <c r="A15" s="718" t="s">
        <v>610</v>
      </c>
      <c r="B15" s="718"/>
    </row>
    <row r="16" ht="12.5"/>
    <row r="17" spans="1:6" ht="13">
      <c r="A17" s="719" t="s">
        <v>601</v>
      </c>
      <c r="B17" s="719" t="s">
        <v>602</v>
      </c>
      <c r="C17" s="718" t="s">
        <v>603</v>
      </c>
      <c r="D17" s="719" t="s">
        <v>604</v>
      </c>
      <c r="E17" s="719" t="s">
        <v>611</v>
      </c>
      <c r="F17" s="719" t="s">
        <v>612</v>
      </c>
    </row>
    <row r="18" spans="1:7" ht="12.5">
      <c r="A18" s="725" t="s">
        <v>613</v>
      </c>
      <c r="B18" s="725" t="s">
        <v>613</v>
      </c>
      <c r="C18" t="s">
        <v>614</v>
      </c>
      <c r="D18" s="721">
        <v>127000</v>
      </c>
      <c r="E18" s="721">
        <v>123866</v>
      </c>
      <c r="G18" s="721"/>
    </row>
    <row r="19" spans="1:5" ht="12.5">
      <c r="A19" s="725" t="s">
        <v>615</v>
      </c>
      <c r="B19" s="725" t="s">
        <v>613</v>
      </c>
      <c r="C19" t="s">
        <v>616</v>
      </c>
      <c r="D19" s="721">
        <v>12000</v>
      </c>
      <c r="E19" s="721">
        <v>13025</v>
      </c>
    </row>
    <row r="20" spans="1:5" ht="12.5">
      <c r="A20" s="725" t="s">
        <v>617</v>
      </c>
      <c r="B20" s="725" t="s">
        <v>618</v>
      </c>
      <c r="C20" t="s">
        <v>619</v>
      </c>
      <c r="D20" s="721">
        <v>10000</v>
      </c>
      <c r="E20" s="721">
        <v>9641</v>
      </c>
    </row>
    <row r="21" spans="1:5" ht="12.5">
      <c r="A21" s="725"/>
      <c r="B21" s="725" t="s">
        <v>620</v>
      </c>
      <c r="C21" t="s">
        <v>621</v>
      </c>
      <c r="D21" s="722">
        <v>0</v>
      </c>
      <c r="E21" s="726">
        <v>11988</v>
      </c>
    </row>
    <row r="22" spans="1:5" ht="13">
      <c r="A22" s="727"/>
      <c r="B22" s="530"/>
      <c r="C22" s="728" t="s">
        <v>622</v>
      </c>
      <c r="D22" s="729">
        <f>SUM(D18:D21)</f>
        <v>149000</v>
      </c>
      <c r="E22" s="729">
        <f>SUM(E18:E21)</f>
        <v>158520</v>
      </c>
    </row>
    <row r="23" spans="1:5" ht="12.5">
      <c r="A23" s="727"/>
      <c r="B23" s="530"/>
      <c r="C23" s="530"/>
      <c r="D23" s="730"/>
      <c r="E23" s="721"/>
    </row>
    <row r="24" spans="1:6" ht="12.5">
      <c r="A24" s="731" t="s">
        <v>623</v>
      </c>
      <c r="B24" s="732"/>
      <c r="C24" s="732" t="s">
        <v>624</v>
      </c>
      <c r="D24" s="733">
        <v>31000</v>
      </c>
      <c r="E24" s="721">
        <v>29642</v>
      </c>
      <c r="F24" t="s">
        <v>625</v>
      </c>
    </row>
    <row r="25" spans="1:6" ht="12.5">
      <c r="A25" s="725" t="s">
        <v>615</v>
      </c>
      <c r="B25" s="725" t="s">
        <v>626</v>
      </c>
      <c r="C25" t="s">
        <v>627</v>
      </c>
      <c r="D25" s="721">
        <v>21000</v>
      </c>
      <c r="E25" s="721">
        <v>20485</v>
      </c>
      <c r="F25" t="s">
        <v>628</v>
      </c>
    </row>
    <row r="26" spans="1:6" ht="12.5">
      <c r="A26" s="725"/>
      <c r="B26" s="725" t="s">
        <v>629</v>
      </c>
      <c r="C26" t="s">
        <v>630</v>
      </c>
      <c r="D26" s="721">
        <v>0</v>
      </c>
      <c r="E26" s="721">
        <v>17284</v>
      </c>
      <c r="F26" t="s">
        <v>631</v>
      </c>
    </row>
    <row r="27" spans="1:5" ht="12.5">
      <c r="A27" s="725" t="s">
        <v>613</v>
      </c>
      <c r="B27" s="530"/>
      <c r="C27" t="s">
        <v>632</v>
      </c>
      <c r="D27" s="722">
        <v>41000</v>
      </c>
      <c r="E27" s="722">
        <v>29454</v>
      </c>
    </row>
    <row r="28" spans="1:5" ht="13">
      <c r="A28" s="727"/>
      <c r="B28" s="530"/>
      <c r="C28" s="728" t="s">
        <v>622</v>
      </c>
      <c r="D28" s="729">
        <f>SUM(D24:D27)</f>
        <v>93000</v>
      </c>
      <c r="E28" s="729">
        <f>SUM(E24:E27)</f>
        <v>96865</v>
      </c>
    </row>
    <row r="29" spans="1:5" ht="12.5">
      <c r="A29" s="727"/>
      <c r="B29" s="530"/>
      <c r="C29" s="530"/>
      <c r="D29" s="730"/>
      <c r="E29" s="721"/>
    </row>
    <row r="30" spans="4:5" ht="6" customHeight="1">
      <c r="D30" s="721"/>
      <c r="E30" s="721"/>
    </row>
    <row r="31" spans="3:5" ht="13.5" thickBot="1">
      <c r="C31" s="723" t="s">
        <v>633</v>
      </c>
      <c r="D31" s="724">
        <f>+D22+D28</f>
        <v>242000</v>
      </c>
      <c r="E31" s="724">
        <f>+E22+E28</f>
        <v>255385</v>
      </c>
    </row>
    <row r="32" spans="4:4" ht="13" thickTop="1">
      <c r="D32" s="721"/>
    </row>
    <row r="33" ht="12.5"/>
    <row r="34" ht="12.5"/>
    <row r="35" spans="4:5" ht="12.5">
      <c r="D35" s="734" t="s">
        <v>634</v>
      </c>
      <c r="E35" s="734"/>
    </row>
    <row r="36" spans="4:5" ht="12.5">
      <c r="D36" s="734">
        <v>2008</v>
      </c>
      <c r="E36" s="735">
        <f>E22+E27</f>
        <v>187974</v>
      </c>
    </row>
    <row r="37" spans="4:5" ht="12.5">
      <c r="D37" s="734">
        <v>2009</v>
      </c>
      <c r="E37" s="735">
        <f>D12+E24+E25+E26</f>
        <v>273411</v>
      </c>
    </row>
  </sheetData>
  <pageMargins left="0" right="0" top="1" bottom="1" header="0.5" footer="0.5"/>
  <pageSetup orientation="landscape" scale="85" r:id="rId1"/>
  <headerFooter alignWithMargins="0"/>
  <customProperties>
    <customPr name="_pios_id" r:id="rId2"/>
  </customProperties>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item1.xml>��< ? x m l   v e r s i o n = " 1 . 0 "   e n c o d i n g = " u t f - 1 6 " ? > < p r o p e r t i e s   x m l n s = " h t t p : / / w w w . i m a n a g e . c o m / w o r k / x m l s c h e m a " >  
     < d o c u m e n t i d > A c t i v e ! 1 1 0 9 4 0 7 9 7 . 1 < / d o c u m e n t i d >  
     < s e n d e r i d > M A P 5 7 5 5 < / s e n d e r i d >  
     < s e n d e r e m a i l > M E L A N . P A T E L @ S T O E L . C O M < / s e n d e r e m a i l >  
     < l a s t m o d i f i e d > 2 0 2 1 - 0 5 - 1 6 T 1 2 : 0 6 : 3 8 . 0 0 0 0 0 0 0 - 0 4 : 0 0 < / l a s t m o d i f i e d >  
     < d a t a b a s e > A c t i v e < / d a t a b a s e >  
 < / p r o p e r t i e s > 
</file>

<file path=customXml/itemProps1.xml><?xml version="1.0" encoding="utf-8"?>
<ds:datastoreItem xmlns:ds="http://schemas.openxmlformats.org/officeDocument/2006/customXml" ds:itemID="{C86AC45B-B1F4-4D3D-8078-81346D7D9280}">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12</vt:i4>
      </vt:variant>
    </vt:vector>
  </HeadingPairs>
  <TitlesOfParts>
    <vt:vector size="12" baseType="lpstr">
      <vt:lpstr>ATT H</vt:lpstr>
      <vt:lpstr>ATT 1 - ADIT</vt:lpstr>
      <vt:lpstr>ATT 1A - Excess ADIT</vt:lpstr>
      <vt:lpstr>ATT 2 - Other Taxes</vt:lpstr>
      <vt:lpstr>ATT 3 - Rev. Credits</vt:lpstr>
      <vt:lpstr>ATT 4 - 100 Basis Pt ROE</vt:lpstr>
      <vt:lpstr>ATT 5 -AA-BL Support</vt:lpstr>
      <vt:lpstr>ATT 6 - Est and True-up WS</vt:lpstr>
      <vt:lpstr>Cap Ads</vt:lpstr>
      <vt:lpstr>ATT 7 - Cap Add WS</vt:lpstr>
      <vt:lpstr>ATT 8 - Securitization</vt:lpstr>
      <vt:lpstr>Exh E - Cap Add Worksheet</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2021-05-14T14:22:41Z</cp:lastPrinted>
  <dcterms:created xsi:type="dcterms:W3CDTF">2021-05-17T17:58:54Z</dcterms:created>
  <dcterms:modified xsi:type="dcterms:W3CDTF">2021-05-17T17:58:54Z</dcterms:modified>
  <cp:category/>
</cp:coreProperties>
</file>