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updateLinks="always" codeName="ThisWorkbook" hidePivotFieldList="1" defaultThemeVersion="124226"/>
  <mc:AlternateContent xmlns:mc="http://schemas.openxmlformats.org/markup-compatibility/2006">
    <mc:Choice Requires="x15">
      <x15ac:absPath xmlns:x15ac="http://schemas.microsoft.com/office/spreadsheetml/2010/11/ac" url="https://aescloud.sharepoint.com/sites/DPLTransmissionFiling/Shared Documents/General/Filings/2025 Formula Rate/2025 ATRR Filing Final Files/"/>
    </mc:Choice>
  </mc:AlternateContent>
  <xr:revisionPtr revIDLastSave="0" documentId="8_{13EB5019-FB24-4886-BCF6-97EA8C63B2BF}" xr6:coauthVersionLast="47" xr6:coauthVersionMax="47" xr10:uidLastSave="{00000000-0000-0000-0000-000000000000}"/>
  <bookViews>
    <workbookView xWindow="-28920" yWindow="-120" windowWidth="29040" windowHeight="15720" tabRatio="900" activeTab="7" xr2:uid="{00000000-000D-0000-FFFF-FFFF00000000}"/>
  </bookViews>
  <sheets>
    <sheet name="Appendix A" sheetId="1" r:id="rId1"/>
    <sheet name="1A - ADIT Current Year" sheetId="2" r:id="rId2"/>
    <sheet name="1B - ADIT Proration" sheetId="42" r:id="rId3"/>
    <sheet name="1C - ADIT Prior Year" sheetId="14" r:id="rId4"/>
    <sheet name="1D - ADIT True-Up Proration" sheetId="44" r:id="rId5"/>
    <sheet name="2 - Other Taxes" sheetId="4" r:id="rId6"/>
    <sheet name="3 - Revenue Credits" sheetId="5" r:id="rId7"/>
    <sheet name="4 - Cost Support" sheetId="7" r:id="rId8"/>
    <sheet name="5 - CWIP in Rate Base" sheetId="41" r:id="rId9"/>
    <sheet name="6A - NITS True-Up " sheetId="8" r:id="rId10"/>
    <sheet name="6B - Schedule 12 True-Up" sheetId="49" r:id="rId11"/>
    <sheet name="7A - Project ROE Adder" sheetId="46" r:id="rId12"/>
    <sheet name="7B - Schedule 12 Projects" sheetId="47" r:id="rId13"/>
    <sheet name="8 - Depreciations Rates" sheetId="38" r:id="rId14"/>
    <sheet name="9 - Excess ADIT" sheetId="40" r:id="rId15"/>
    <sheet name="10 - Misc. Liabilities" sheetId="45" r:id="rId16"/>
    <sheet name="11 - Corrections" sheetId="48" r:id="rId17"/>
    <sheet name="12 - Schedule 1A" sheetId="50" r:id="rId18"/>
    <sheet name="13 - A&amp;G Detail" sheetId="51" r:id="rId19"/>
  </sheets>
  <definedNames>
    <definedName name="CBWorkbookPriority">-2027624740</definedName>
    <definedName name="EconomicYTD">"'PSE&amp;G'!$A$7:$A$56"</definedName>
    <definedName name="_xlnm.Print_Area" localSheetId="15">'10 - Misc. Liabilities'!$A$1:$R$28</definedName>
    <definedName name="_xlnm.Print_Area" localSheetId="1">'1A - ADIT Current Year'!$A$1:$I$100</definedName>
    <definedName name="_xlnm.Print_Area" localSheetId="2">'1B - ADIT Proration'!$A$1:$S$28</definedName>
    <definedName name="_xlnm.Print_Area" localSheetId="3">'1C - ADIT Prior Year'!$A$1:$I$95</definedName>
    <definedName name="_xlnm.Print_Area" localSheetId="4">'1D - ADIT True-Up Proration'!$A$1:$Q$55</definedName>
    <definedName name="_xlnm.Print_Area" localSheetId="5">'2 - Other Taxes'!$A$1:$J$61</definedName>
    <definedName name="_xlnm.Print_Area" localSheetId="6">'3 - Revenue Credits'!$A$2:$F$41</definedName>
    <definedName name="_xlnm.Print_Area" localSheetId="7">'4 - Cost Support'!$A$1:$V$346</definedName>
    <definedName name="_xlnm.Print_Area" localSheetId="9">'6A - NITS True-Up '!$A$1:$L$75</definedName>
    <definedName name="_xlnm.Print_Area" localSheetId="10">'6B - Schedule 12 True-Up'!$A$1:$L$76</definedName>
    <definedName name="_xlnm.Print_Area" localSheetId="11">'7A - Project ROE Adder'!$A$1:$Z$21</definedName>
    <definedName name="_xlnm.Print_Area" localSheetId="12">'7B - Schedule 12 Projects'!$A$1:$Z$26</definedName>
    <definedName name="_xlnm.Print_Area" localSheetId="14">'9 - Excess ADIT'!$A$1:$Q$44</definedName>
    <definedName name="_xlnm.Print_Area" localSheetId="0">'Appendix A'!$A$3:$H$315</definedName>
    <definedName name="_xlnm.Print_Titles" localSheetId="7">'4 - Cost Support'!$1:$3</definedName>
    <definedName name="_xlnm.Print_Titles" localSheetId="0">'Appendix A'!$2:$6</definedName>
    <definedName name="solver_cvg" localSheetId="0">0.0001</definedName>
    <definedName name="solver_drv" localSheetId="0">1</definedName>
    <definedName name="solver_est" localSheetId="0">1</definedName>
    <definedName name="solver_itr" localSheetId="0">100</definedName>
    <definedName name="solver_lin" localSheetId="0">2</definedName>
    <definedName name="solver_neg" localSheetId="0">2</definedName>
    <definedName name="solver_num" localSheetId="0">0</definedName>
    <definedName name="solver_nwt" localSheetId="0">1</definedName>
    <definedName name="solver_pre" localSheetId="0">0.000001</definedName>
    <definedName name="solver_scl" localSheetId="0">2</definedName>
    <definedName name="solver_sho" localSheetId="0">2</definedName>
    <definedName name="solver_tim" localSheetId="0">100</definedName>
    <definedName name="solver_tol" localSheetId="0">0.05</definedName>
    <definedName name="solver_typ" localSheetId="0">3</definedName>
    <definedName name="solver_val" localSheetId="0">981598</definedName>
    <definedName name="Z_28948E05_8F34_4F1E_96FB_A80A6A844600_.wvu.PrintArea" localSheetId="1">'1A - ADIT Current Year'!$B$1:$I$88</definedName>
    <definedName name="Z_28948E05_8F34_4F1E_96FB_A80A6A844600_.wvu.PrintArea" localSheetId="3">'1C - ADIT Prior Year'!$B$1:$I$82</definedName>
    <definedName name="Z_28948E05_8F34_4F1E_96FB_A80A6A844600_.wvu.PrintArea" localSheetId="6">'3 - Revenue Credits'!$A$2:$D$38</definedName>
    <definedName name="Z_28948E05_8F34_4F1E_96FB_A80A6A844600_.wvu.PrintArea" localSheetId="0">'Appendix A'!$A$2:$H$306</definedName>
    <definedName name="Z_3A38DF7A_C35E_4DD3_9893_26310A3EF836_.wvu.PrintArea" localSheetId="6">'3 - Revenue Credits'!$A$2:$D$38</definedName>
    <definedName name="Z_3A38DF7A_C35E_4DD3_9893_26310A3EF836_.wvu.PrintArea" localSheetId="0">'Appendix A'!$A$2:$H$306</definedName>
    <definedName name="Z_416404B7_8533_4A12_ABD0_58CFDEB49D80_.wvu.PrintArea" localSheetId="1">'1A - ADIT Current Year'!$B$1:$I$98</definedName>
    <definedName name="Z_416404B7_8533_4A12_ABD0_58CFDEB49D80_.wvu.PrintArea" localSheetId="3">'1C - ADIT Prior Year'!$B$1:$I$87</definedName>
    <definedName name="Z_416404B7_8533_4A12_ABD0_58CFDEB49D80_.wvu.PrintArea" localSheetId="5">'2 - Other Taxes'!$A$1:$H$61</definedName>
    <definedName name="Z_416404B7_8533_4A12_ABD0_58CFDEB49D80_.wvu.PrintArea" localSheetId="6">'3 - Revenue Credits'!$A$2:$D$41</definedName>
    <definedName name="Z_416404B7_8533_4A12_ABD0_58CFDEB49D80_.wvu.PrintArea" localSheetId="7">'4 - Cost Support'!$A$1:$U$197</definedName>
    <definedName name="Z_416404B7_8533_4A12_ABD0_58CFDEB49D80_.wvu.PrintArea" localSheetId="9">'6A - NITS True-Up '!$B$1:$L$71</definedName>
    <definedName name="Z_416404B7_8533_4A12_ABD0_58CFDEB49D80_.wvu.PrintArea" localSheetId="10">'6B - Schedule 12 True-Up'!$B$1:$L$71</definedName>
    <definedName name="Z_416404B7_8533_4A12_ABD0_58CFDEB49D80_.wvu.PrintArea" localSheetId="0">'Appendix A'!$A$3:$H$309</definedName>
    <definedName name="Z_416404B7_8533_4A12_ABD0_58CFDEB49D80_.wvu.PrintTitles" localSheetId="7">'4 - Cost Support'!$1:$4</definedName>
    <definedName name="Z_416404B7_8533_4A12_ABD0_58CFDEB49D80_.wvu.PrintTitles" localSheetId="0">'Appendix A'!$2:$6</definedName>
    <definedName name="Z_4C7C2344_134C_465A_ADEB_A5E96AAE2308_.wvu.PrintArea" localSheetId="6">'3 - Revenue Credits'!$A$2:$D$38</definedName>
    <definedName name="Z_4C7C2344_134C_465A_ADEB_A5E96AAE2308_.wvu.PrintArea" localSheetId="0">'Appendix A'!$A$2:$H$306</definedName>
    <definedName name="Z_63011E91_4609_4523_98FE_FD252E915668_.wvu.PrintArea" localSheetId="1">'1A - ADIT Current Year'!$B$1:$I$88</definedName>
    <definedName name="Z_63011E91_4609_4523_98FE_FD252E915668_.wvu.PrintArea" localSheetId="3">'1C - ADIT Prior Year'!$B$1:$I$82</definedName>
    <definedName name="Z_6928E596_79BD_4CEC_9F0D_07E62D69B2A5_.wvu.PrintArea" localSheetId="1">'1A - ADIT Current Year'!$B$1:$I$88</definedName>
    <definedName name="Z_6928E596_79BD_4CEC_9F0D_07E62D69B2A5_.wvu.PrintArea" localSheetId="3">'1C - ADIT Prior Year'!$B$1:$I$82</definedName>
    <definedName name="Z_71B42B22_A376_44B5_B0C1_23FC1AA3DBA2_.wvu.PrintArea" localSheetId="1">'1A - ADIT Current Year'!$B$1:$I$88</definedName>
    <definedName name="Z_71B42B22_A376_44B5_B0C1_23FC1AA3DBA2_.wvu.PrintArea" localSheetId="3">'1C - ADIT Prior Year'!$B$1:$I$82</definedName>
    <definedName name="Z_71B42B22_A376_44B5_B0C1_23FC1AA3DBA2_.wvu.PrintArea" localSheetId="6">'3 - Revenue Credits'!$A$2:$D$38</definedName>
    <definedName name="Z_71B42B22_A376_44B5_B0C1_23FC1AA3DBA2_.wvu.PrintArea" localSheetId="0">'Appendix A'!$A$2:$H$306</definedName>
    <definedName name="Z_8FBB4DC9_2D51_4AB9_80D8_F8474B404C29_.wvu.PrintArea" localSheetId="1">'1A - ADIT Current Year'!$B$1:$I$88</definedName>
    <definedName name="Z_8FBB4DC9_2D51_4AB9_80D8_F8474B404C29_.wvu.PrintArea" localSheetId="3">'1C - ADIT Prior Year'!$B$1:$I$82</definedName>
    <definedName name="Z_B647CB7F_C846_4278_B6B1_1EF7F3C004F5_.wvu.PrintArea" localSheetId="1">'1A - ADIT Current Year'!$B$1:$I$88</definedName>
    <definedName name="Z_B647CB7F_C846_4278_B6B1_1EF7F3C004F5_.wvu.PrintArea" localSheetId="3">'1C - ADIT Prior Year'!$B$1:$I$82</definedName>
    <definedName name="Z_DA967730_B71F_4038_B1B7_9D4790729C5D_.wvu.PrintArea" localSheetId="6">'3 - Revenue Credits'!$A$2:$D$38</definedName>
    <definedName name="Z_DA967730_B71F_4038_B1B7_9D4790729C5D_.wvu.PrintArea" localSheetId="0">'Appendix A'!$A$2:$H$306</definedName>
    <definedName name="Z_DC91DEF3_837B_4BB9_A81E_3B78C5914E6C_.wvu.PrintArea" localSheetId="1">'1A - ADIT Current Year'!$B$1:$I$88</definedName>
    <definedName name="Z_DC91DEF3_837B_4BB9_A81E_3B78C5914E6C_.wvu.PrintArea" localSheetId="3">'1C - ADIT Prior Year'!$B$1:$I$82</definedName>
    <definedName name="Z_DC91DEF3_837B_4BB9_A81E_3B78C5914E6C_.wvu.PrintArea" localSheetId="6">'3 - Revenue Credits'!$A$2:$D$38</definedName>
    <definedName name="Z_DC91DEF3_837B_4BB9_A81E_3B78C5914E6C_.wvu.PrintArea" localSheetId="0">'Appendix A'!$A$2:$H$306</definedName>
    <definedName name="Z_F96D6087_3330_4A81_95EC_26BA83722A49_.wvu.PrintArea" localSheetId="6">'3 - Revenue Credits'!$A$2:$D$38</definedName>
    <definedName name="Z_F96D6087_3330_4A81_95EC_26BA83722A49_.wvu.PrintArea" localSheetId="0">'Appendix A'!$A$2:$H$306</definedName>
    <definedName name="Z_FAAD9AAC_1337_43AB_BF1F_CCF9DFCF5B78_.wvu.PrintArea" localSheetId="1">'1A - ADIT Current Year'!$B$1:$I$88</definedName>
    <definedName name="Z_FAAD9AAC_1337_43AB_BF1F_CCF9DFCF5B78_.wvu.PrintArea" localSheetId="3">'1C - ADIT Prior Year'!$B$1:$I$82</definedName>
    <definedName name="Z_FAAD9AAC_1337_43AB_BF1F_CCF9DFCF5B78_.wvu.PrintArea" localSheetId="6">'3 - Revenue Credits'!$A$2:$D$38</definedName>
    <definedName name="Z_FAAD9AAC_1337_43AB_BF1F_CCF9DFCF5B78_.wvu.PrintArea" localSheetId="0">'Appendix A'!$A$2:$H$306</definedName>
  </definedNames>
  <calcPr calcId="191028"/>
  <customWorkbookViews>
    <customWorkbookView name="Dabydeen, Jeanette I. - Personal View" guid="{416404B7-8533-4A12-ABD0-58CFDEB49D80}" mergeInterval="0" personalView="1" maximized="1" windowWidth="1276" windowHeight="799" tabRatio="896" activeSheetId="1"/>
    <customWorkbookView name="Preferred Customer - Personal View" guid="{DC91DEF3-837B-4BB9-A81E-3B78C5914E6C}" mergeInterval="0" personalView="1" maximized="1" windowWidth="1004" windowHeight="571" tabRatio="809" activeSheetId="9"/>
    <customWorkbookView name="Helen Hight - Personal View" guid="{28948E05-8F34-4F1E-96FB-A80A6A844600}" mergeInterval="0" personalView="1" maximized="1" windowWidth="1020" windowHeight="596" tabRatio="809" activeSheetId="11"/>
    <customWorkbookView name="x086hmh - Personal View" guid="{71B42B22-A376-44B5-B0C1-23FC1AA3DBA2}" mergeInterval="0" personalView="1" maximized="1" windowWidth="1676" windowHeight="904" tabRatio="809" activeSheetId="1"/>
    <customWorkbookView name="x317aks - Personal View" guid="{FAAD9AAC-1337-43AB-BF1F-CCF9DFCF5B78}" mergeInterval="0" personalView="1" maximized="1" windowWidth="1020" windowHeight="539" tabRatio="809" activeSheetId="9"/>
    <customWorkbookView name="smullin - Personal View" guid="{4C7C2344-134C-465A-ADEB-A5E96AAE2308}" mergeInterval="0" personalView="1" maximized="1" windowWidth="1020" windowHeight="603" tabRatio="809" activeSheetId="1"/>
    <customWorkbookView name="jbornak - Personal View" guid="{DA967730-B71F-4038-B1B7-9D4790729C5D}" mergeInterval="0" personalView="1" xWindow="14" yWindow="24" windowWidth="881" windowHeight="583" tabRatio="809" activeSheetId="1"/>
    <customWorkbookView name="DLCO - Personal View" guid="{F96D6087-3330-4A81-95EC-26BA83722A49}" mergeInterval="0" personalView="1" maximized="1" windowWidth="1020" windowHeight="579" tabRatio="809" activeSheetId="1"/>
    <customWorkbookView name="S. Merchant - Personal View" guid="{3A38DF7A-C35E-4DD3-9893-26310A3EF836}" mergeInterval="0" personalView="1" maximized="1" windowWidth="1020" windowHeight="632" tabRatio="809"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51" l="1"/>
  <c r="F37" i="51" s="1"/>
  <c r="H280" i="1"/>
  <c r="L29" i="48"/>
  <c r="K29" i="48"/>
  <c r="G21" i="47"/>
  <c r="C94" i="48" l="1"/>
  <c r="H16" i="48"/>
  <c r="I100" i="47"/>
  <c r="F23" i="48"/>
  <c r="F21" i="48"/>
  <c r="S17" i="41" l="1"/>
  <c r="S15" i="41"/>
  <c r="S16" i="41"/>
  <c r="A15" i="41"/>
  <c r="I99" i="47" l="1"/>
  <c r="H279" i="1"/>
  <c r="C93" i="48" l="1"/>
  <c r="G18" i="41" l="1"/>
  <c r="H18" i="41"/>
  <c r="I18" i="41"/>
  <c r="J18" i="41"/>
  <c r="K18" i="41"/>
  <c r="L18" i="41"/>
  <c r="M18" i="41"/>
  <c r="N18" i="41"/>
  <c r="O18" i="41"/>
  <c r="P18" i="41"/>
  <c r="Q18" i="41"/>
  <c r="R18" i="41"/>
  <c r="F18" i="41"/>
  <c r="J37" i="51" l="1"/>
  <c r="C42" i="2" l="1"/>
  <c r="D33" i="5" l="1"/>
  <c r="I21" i="42" l="1"/>
  <c r="I14" i="42"/>
  <c r="I15" i="42"/>
  <c r="I20" i="42"/>
  <c r="I16" i="42"/>
  <c r="I17" i="42"/>
  <c r="I18" i="42"/>
  <c r="I19" i="42"/>
  <c r="I23" i="42"/>
  <c r="I22" i="42"/>
  <c r="I13" i="42"/>
  <c r="O14" i="42" l="1"/>
  <c r="O19" i="42"/>
  <c r="O18" i="42"/>
  <c r="O17" i="42"/>
  <c r="O13" i="42"/>
  <c r="O21" i="42"/>
  <c r="O22" i="42"/>
  <c r="O20" i="42"/>
  <c r="O16" i="42"/>
  <c r="O23" i="42"/>
  <c r="O15" i="42"/>
  <c r="C87" i="2" l="1"/>
  <c r="F89" i="2"/>
  <c r="C85" i="2"/>
  <c r="C84" i="2"/>
  <c r="C83" i="2"/>
  <c r="E89" i="2"/>
  <c r="G89" i="2"/>
  <c r="D90" i="2"/>
  <c r="E90" i="2"/>
  <c r="G90" i="2"/>
  <c r="C86" i="2" l="1"/>
  <c r="C90" i="2" s="1"/>
  <c r="F90" i="2"/>
  <c r="C88" i="2"/>
  <c r="D88" i="2" s="1"/>
  <c r="C41" i="2" l="1"/>
  <c r="C40" i="2"/>
  <c r="C39" i="2"/>
  <c r="C38" i="2"/>
  <c r="C37" i="2"/>
  <c r="C36" i="2"/>
  <c r="C35" i="2"/>
  <c r="C34" i="2"/>
  <c r="C33" i="2"/>
  <c r="C32" i="2"/>
  <c r="C31" i="2"/>
  <c r="C43" i="2" l="1"/>
  <c r="K64" i="40" l="1"/>
  <c r="K62" i="40"/>
  <c r="F62" i="40"/>
  <c r="C62" i="40"/>
  <c r="O61" i="40"/>
  <c r="P61" i="40" s="1"/>
  <c r="N61" i="40"/>
  <c r="M61" i="40"/>
  <c r="L61" i="40"/>
  <c r="D61" i="40"/>
  <c r="E61" i="40" s="1"/>
  <c r="G61" i="40" s="1"/>
  <c r="O60" i="40"/>
  <c r="D60" i="40"/>
  <c r="E60" i="40" s="1"/>
  <c r="G60" i="40" s="1"/>
  <c r="I60" i="40" s="1"/>
  <c r="D59" i="40"/>
  <c r="E59" i="40" s="1"/>
  <c r="G59" i="40" s="1"/>
  <c r="I59" i="40" s="1"/>
  <c r="D58" i="40"/>
  <c r="E58" i="40" s="1"/>
  <c r="G58" i="40" s="1"/>
  <c r="I58" i="40" s="1"/>
  <c r="E57" i="40"/>
  <c r="G57" i="40" s="1"/>
  <c r="I57" i="40" s="1"/>
  <c r="L57" i="40" s="1"/>
  <c r="D57" i="40"/>
  <c r="D56" i="40"/>
  <c r="E56" i="40" s="1"/>
  <c r="O53" i="40"/>
  <c r="M53" i="40"/>
  <c r="K53" i="40"/>
  <c r="F53" i="40"/>
  <c r="D53" i="40"/>
  <c r="C53" i="40"/>
  <c r="O52" i="40"/>
  <c r="M52" i="40"/>
  <c r="L52" i="40"/>
  <c r="N52" i="40" s="1"/>
  <c r="P52" i="40" s="1"/>
  <c r="D52" i="40"/>
  <c r="E52" i="40" s="1"/>
  <c r="E51" i="40"/>
  <c r="G51" i="40" s="1"/>
  <c r="D51" i="40"/>
  <c r="F48" i="40"/>
  <c r="C48" i="40"/>
  <c r="L47" i="40"/>
  <c r="N47" i="40" s="1"/>
  <c r="P47" i="40" s="1"/>
  <c r="R47" i="40" s="1"/>
  <c r="T47" i="40" s="1"/>
  <c r="V47" i="40" s="1"/>
  <c r="X47" i="40" s="1"/>
  <c r="Z47" i="40" s="1"/>
  <c r="D47" i="40"/>
  <c r="D48" i="40" s="1"/>
  <c r="E46" i="40"/>
  <c r="D46" i="40"/>
  <c r="W36" i="40"/>
  <c r="U36" i="40"/>
  <c r="S36" i="40"/>
  <c r="Q36" i="40"/>
  <c r="O36" i="40"/>
  <c r="M36" i="40"/>
  <c r="K36" i="40"/>
  <c r="F36" i="40"/>
  <c r="C36" i="40"/>
  <c r="N35" i="40"/>
  <c r="P35" i="40" s="1"/>
  <c r="L35" i="40"/>
  <c r="E35" i="40"/>
  <c r="G35" i="40" s="1"/>
  <c r="D35" i="40"/>
  <c r="D34" i="40"/>
  <c r="E34" i="40" s="1"/>
  <c r="G34" i="40" s="1"/>
  <c r="I34" i="40" s="1"/>
  <c r="L34" i="40" s="1"/>
  <c r="N34" i="40" s="1"/>
  <c r="P34" i="40" s="1"/>
  <c r="N33" i="40"/>
  <c r="P33" i="40" s="1"/>
  <c r="D33" i="40"/>
  <c r="E33" i="40" s="1"/>
  <c r="G33" i="40" s="1"/>
  <c r="I33" i="40" s="1"/>
  <c r="L33" i="40" s="1"/>
  <c r="D32" i="40"/>
  <c r="E32" i="40" s="1"/>
  <c r="G32" i="40" s="1"/>
  <c r="I32" i="40" s="1"/>
  <c r="W29" i="40"/>
  <c r="U29" i="40"/>
  <c r="S29" i="40"/>
  <c r="Q29" i="40"/>
  <c r="O29" i="40"/>
  <c r="M29" i="40"/>
  <c r="K29" i="40"/>
  <c r="F29" i="40"/>
  <c r="D29" i="40"/>
  <c r="C29" i="40"/>
  <c r="Y28" i="40"/>
  <c r="Z28" i="40" s="1"/>
  <c r="Z29" i="40" s="1"/>
  <c r="X28" i="40"/>
  <c r="X29" i="40" s="1"/>
  <c r="V28" i="40"/>
  <c r="T28" i="40"/>
  <c r="R28" i="40"/>
  <c r="P28" i="40"/>
  <c r="N28" i="40"/>
  <c r="L28" i="40"/>
  <c r="D28" i="40"/>
  <c r="E28" i="40" s="1"/>
  <c r="G28" i="40" s="1"/>
  <c r="X27" i="40"/>
  <c r="T27" i="40"/>
  <c r="V27" i="40" s="1"/>
  <c r="R27" i="40"/>
  <c r="R29" i="40" s="1"/>
  <c r="P27" i="40"/>
  <c r="Y27" i="40" s="1"/>
  <c r="Z27" i="40" s="1"/>
  <c r="N27" i="40"/>
  <c r="N29" i="40" s="1"/>
  <c r="D27" i="40"/>
  <c r="E27" i="40" s="1"/>
  <c r="E29" i="40" s="1"/>
  <c r="K24" i="40"/>
  <c r="K38" i="40" s="1"/>
  <c r="F24" i="40"/>
  <c r="C24" i="40"/>
  <c r="A24" i="40"/>
  <c r="A27" i="40" s="1"/>
  <c r="A28" i="40" s="1"/>
  <c r="A29" i="40" s="1"/>
  <c r="A32" i="40" s="1"/>
  <c r="A33" i="40" s="1"/>
  <c r="A34" i="40" s="1"/>
  <c r="A35" i="40" s="1"/>
  <c r="A36" i="40" s="1"/>
  <c r="A38" i="40" s="1"/>
  <c r="A39" i="40" s="1"/>
  <c r="A40" i="40" s="1"/>
  <c r="A46" i="40" s="1"/>
  <c r="A47" i="40" s="1"/>
  <c r="A48" i="40" s="1"/>
  <c r="A51" i="40" s="1"/>
  <c r="A52" i="40" s="1"/>
  <c r="A53" i="40" s="1"/>
  <c r="A56" i="40" s="1"/>
  <c r="A57" i="40" s="1"/>
  <c r="A58" i="40" s="1"/>
  <c r="A59" i="40" s="1"/>
  <c r="A60" i="40" s="1"/>
  <c r="A61" i="40" s="1"/>
  <c r="A62" i="40" s="1"/>
  <c r="A64" i="40" s="1"/>
  <c r="A65" i="40" s="1"/>
  <c r="A66" i="40" s="1"/>
  <c r="A68" i="40" s="1"/>
  <c r="A70" i="40" s="1"/>
  <c r="O23" i="40"/>
  <c r="M23" i="40"/>
  <c r="N23" i="40" s="1"/>
  <c r="P23" i="40" s="1"/>
  <c r="L23" i="40"/>
  <c r="D23" i="40"/>
  <c r="E23" i="40" s="1"/>
  <c r="G23" i="40" s="1"/>
  <c r="D22" i="40"/>
  <c r="E22" i="40" s="1"/>
  <c r="G22" i="40" s="1"/>
  <c r="I22" i="40" s="1"/>
  <c r="D21" i="40"/>
  <c r="E21" i="40" s="1"/>
  <c r="G21" i="40" s="1"/>
  <c r="I21" i="40" s="1"/>
  <c r="L21" i="40" s="1"/>
  <c r="D20" i="40"/>
  <c r="E20" i="40" s="1"/>
  <c r="G20" i="40" s="1"/>
  <c r="I20" i="40" s="1"/>
  <c r="A20" i="40"/>
  <c r="A21" i="40" s="1"/>
  <c r="A22" i="40" s="1"/>
  <c r="A23" i="40" s="1"/>
  <c r="D19" i="40"/>
  <c r="E19" i="40" s="1"/>
  <c r="G19" i="40" s="1"/>
  <c r="I19" i="40" s="1"/>
  <c r="D18" i="40"/>
  <c r="E18" i="40" s="1"/>
  <c r="G18" i="40" s="1"/>
  <c r="I18" i="40" s="1"/>
  <c r="E17" i="40"/>
  <c r="G17" i="40" s="1"/>
  <c r="I17" i="40" s="1"/>
  <c r="O17" i="40" s="1"/>
  <c r="D17" i="40"/>
  <c r="D16" i="40"/>
  <c r="E16" i="40" s="1"/>
  <c r="G16" i="40" s="1"/>
  <c r="I16" i="40" s="1"/>
  <c r="O16" i="40" s="1"/>
  <c r="D15" i="40"/>
  <c r="A15" i="40"/>
  <c r="A16" i="40" s="1"/>
  <c r="A17" i="40" s="1"/>
  <c r="A18" i="40" s="1"/>
  <c r="A19" i="40" s="1"/>
  <c r="D14" i="40"/>
  <c r="E14" i="40" s="1"/>
  <c r="G14" i="40" s="1"/>
  <c r="I14" i="40" s="1"/>
  <c r="A14" i="40"/>
  <c r="D13" i="40"/>
  <c r="E13" i="40" s="1"/>
  <c r="A13" i="40"/>
  <c r="E12" i="40"/>
  <c r="G12" i="40" s="1"/>
  <c r="D12" i="40"/>
  <c r="Y35" i="40" l="1"/>
  <c r="R35" i="40"/>
  <c r="T35" i="40" s="1"/>
  <c r="V35" i="40" s="1"/>
  <c r="X35" i="40" s="1"/>
  <c r="G56" i="40"/>
  <c r="E62" i="40"/>
  <c r="E47" i="40"/>
  <c r="G47" i="40" s="1"/>
  <c r="R33" i="40"/>
  <c r="T33" i="40" s="1"/>
  <c r="V33" i="40" s="1"/>
  <c r="X33" i="40" s="1"/>
  <c r="Z33" i="40" s="1"/>
  <c r="Y33" i="40"/>
  <c r="M14" i="40"/>
  <c r="L14" i="40"/>
  <c r="N14" i="40" s="1"/>
  <c r="O14" i="40"/>
  <c r="W23" i="40"/>
  <c r="U23" i="40"/>
  <c r="Q23" i="40"/>
  <c r="R23" i="40" s="1"/>
  <c r="T23" i="40" s="1"/>
  <c r="V23" i="40" s="1"/>
  <c r="X23" i="40" s="1"/>
  <c r="Z23" i="40" s="1"/>
  <c r="Y23" i="40"/>
  <c r="S23" i="40"/>
  <c r="E48" i="40"/>
  <c r="E64" i="40" s="1"/>
  <c r="E66" i="40" s="1"/>
  <c r="U61" i="40"/>
  <c r="S61" i="40"/>
  <c r="Q61" i="40"/>
  <c r="R61" i="40" s="1"/>
  <c r="T61" i="40" s="1"/>
  <c r="V61" i="40" s="1"/>
  <c r="X61" i="40" s="1"/>
  <c r="Z61" i="40" s="1"/>
  <c r="L19" i="40"/>
  <c r="M19" i="40"/>
  <c r="O19" i="40"/>
  <c r="Y61" i="40"/>
  <c r="G27" i="40"/>
  <c r="R34" i="40"/>
  <c r="T34" i="40" s="1"/>
  <c r="V34" i="40" s="1"/>
  <c r="X34" i="40" s="1"/>
  <c r="Y34" i="40"/>
  <c r="O20" i="40"/>
  <c r="M20" i="40"/>
  <c r="L20" i="40"/>
  <c r="N20" i="40" s="1"/>
  <c r="P20" i="40" s="1"/>
  <c r="O21" i="40"/>
  <c r="V29" i="40"/>
  <c r="L58" i="40"/>
  <c r="N58" i="40" s="1"/>
  <c r="O58" i="40"/>
  <c r="M58" i="40"/>
  <c r="L16" i="40"/>
  <c r="N16" i="40" s="1"/>
  <c r="P16" i="40" s="1"/>
  <c r="L22" i="40"/>
  <c r="M22" i="40"/>
  <c r="O22" i="40"/>
  <c r="E53" i="40"/>
  <c r="G52" i="40"/>
  <c r="M16" i="40"/>
  <c r="Y29" i="40"/>
  <c r="W52" i="40"/>
  <c r="W53" i="40" s="1"/>
  <c r="Q52" i="40"/>
  <c r="Q53" i="40" s="1"/>
  <c r="Y52" i="40"/>
  <c r="Y53" i="40" s="1"/>
  <c r="U52" i="40"/>
  <c r="U53" i="40" s="1"/>
  <c r="S52" i="40"/>
  <c r="S53" i="40" s="1"/>
  <c r="M18" i="40"/>
  <c r="L18" i="40"/>
  <c r="N18" i="40" s="1"/>
  <c r="P18" i="40" s="1"/>
  <c r="O18" i="40"/>
  <c r="G13" i="40"/>
  <c r="I13" i="40" s="1"/>
  <c r="E24" i="40"/>
  <c r="E38" i="40" s="1"/>
  <c r="E40" i="40" s="1"/>
  <c r="E68" i="40" s="1"/>
  <c r="W61" i="40"/>
  <c r="G53" i="40"/>
  <c r="I51" i="40"/>
  <c r="N57" i="40"/>
  <c r="P57" i="40" s="1"/>
  <c r="M21" i="40"/>
  <c r="N21" i="40" s="1"/>
  <c r="P21" i="40" s="1"/>
  <c r="E15" i="40"/>
  <c r="G15" i="40" s="1"/>
  <c r="I15" i="40" s="1"/>
  <c r="D24" i="40"/>
  <c r="I36" i="40"/>
  <c r="L32" i="40"/>
  <c r="L59" i="40"/>
  <c r="O59" i="40"/>
  <c r="M59" i="40"/>
  <c r="L60" i="40"/>
  <c r="M60" i="40"/>
  <c r="I12" i="40"/>
  <c r="L17" i="40"/>
  <c r="M17" i="40"/>
  <c r="O57" i="40"/>
  <c r="M57" i="40"/>
  <c r="T29" i="40"/>
  <c r="D36" i="40"/>
  <c r="G36" i="40"/>
  <c r="D62" i="40"/>
  <c r="G46" i="40"/>
  <c r="E36" i="40"/>
  <c r="P29" i="40"/>
  <c r="U21" i="40" l="1"/>
  <c r="Y21" i="40"/>
  <c r="Q21" i="40"/>
  <c r="W21" i="40"/>
  <c r="S21" i="40"/>
  <c r="R21" i="40"/>
  <c r="T21" i="40" s="1"/>
  <c r="V21" i="40" s="1"/>
  <c r="X21" i="40" s="1"/>
  <c r="Z21" i="40" s="1"/>
  <c r="N22" i="40"/>
  <c r="P22" i="40" s="1"/>
  <c r="I53" i="40"/>
  <c r="L51" i="40"/>
  <c r="U16" i="40"/>
  <c r="Q16" i="40"/>
  <c r="R16" i="40" s="1"/>
  <c r="T16" i="40" s="1"/>
  <c r="V16" i="40" s="1"/>
  <c r="X16" i="40" s="1"/>
  <c r="Z16" i="40" s="1"/>
  <c r="Y16" i="40"/>
  <c r="W16" i="40"/>
  <c r="S16" i="40"/>
  <c r="U18" i="40"/>
  <c r="Y18" i="40"/>
  <c r="S18" i="40"/>
  <c r="Q18" i="40"/>
  <c r="R18" i="40" s="1"/>
  <c r="T18" i="40" s="1"/>
  <c r="V18" i="40" s="1"/>
  <c r="X18" i="40" s="1"/>
  <c r="Z18" i="40" s="1"/>
  <c r="W18" i="40"/>
  <c r="U57" i="40"/>
  <c r="S57" i="40"/>
  <c r="W57" i="40"/>
  <c r="Y57" i="40"/>
  <c r="Q57" i="40"/>
  <c r="R57" i="40"/>
  <c r="T57" i="40" s="1"/>
  <c r="V57" i="40" s="1"/>
  <c r="X57" i="40" s="1"/>
  <c r="Z57" i="40" s="1"/>
  <c r="U20" i="40"/>
  <c r="Y20" i="40"/>
  <c r="W20" i="40"/>
  <c r="S20" i="40"/>
  <c r="Q20" i="40"/>
  <c r="R20" i="40" s="1"/>
  <c r="T20" i="40" s="1"/>
  <c r="V20" i="40" s="1"/>
  <c r="X20" i="40" s="1"/>
  <c r="Z20" i="40" s="1"/>
  <c r="N60" i="40"/>
  <c r="P60" i="40" s="1"/>
  <c r="P58" i="40"/>
  <c r="N17" i="40"/>
  <c r="P17" i="40" s="1"/>
  <c r="P14" i="40"/>
  <c r="Z34" i="40"/>
  <c r="R52" i="40"/>
  <c r="T52" i="40" s="1"/>
  <c r="V52" i="40" s="1"/>
  <c r="X52" i="40" s="1"/>
  <c r="Z52" i="40" s="1"/>
  <c r="N59" i="40"/>
  <c r="P59" i="40" s="1"/>
  <c r="G62" i="40"/>
  <c r="I56" i="40"/>
  <c r="I24" i="40"/>
  <c r="O12" i="40"/>
  <c r="M12" i="40"/>
  <c r="L12" i="40"/>
  <c r="G24" i="40"/>
  <c r="G29" i="40"/>
  <c r="I27" i="40"/>
  <c r="L36" i="40"/>
  <c r="N32" i="40"/>
  <c r="N19" i="40"/>
  <c r="P19" i="40" s="1"/>
  <c r="Z35" i="40"/>
  <c r="M13" i="40"/>
  <c r="L13" i="40"/>
  <c r="O13" i="40"/>
  <c r="O15" i="40"/>
  <c r="M15" i="40"/>
  <c r="L15" i="40"/>
  <c r="N15" i="40" s="1"/>
  <c r="P15" i="40" s="1"/>
  <c r="G48" i="40"/>
  <c r="G64" i="40" s="1"/>
  <c r="G66" i="40" s="1"/>
  <c r="I46" i="40"/>
  <c r="L46" i="40" s="1"/>
  <c r="N46" i="40" s="1"/>
  <c r="P46" i="40" s="1"/>
  <c r="R46" i="40" s="1"/>
  <c r="T46" i="40" s="1"/>
  <c r="V46" i="40" s="1"/>
  <c r="X46" i="40" s="1"/>
  <c r="Z46" i="40" s="1"/>
  <c r="U14" i="40" l="1"/>
  <c r="S14" i="40"/>
  <c r="Q14" i="40"/>
  <c r="R14" i="40" s="1"/>
  <c r="T14" i="40" s="1"/>
  <c r="V14" i="40" s="1"/>
  <c r="X14" i="40" s="1"/>
  <c r="Z14" i="40" s="1"/>
  <c r="Y14" i="40"/>
  <c r="W14" i="40"/>
  <c r="N13" i="40"/>
  <c r="P13" i="40" s="1"/>
  <c r="U17" i="40"/>
  <c r="Y17" i="40"/>
  <c r="W17" i="40"/>
  <c r="S17" i="40"/>
  <c r="Q17" i="40"/>
  <c r="R17" i="40" s="1"/>
  <c r="T17" i="40" s="1"/>
  <c r="V17" i="40" s="1"/>
  <c r="X17" i="40" s="1"/>
  <c r="Z17" i="40" s="1"/>
  <c r="U58" i="40"/>
  <c r="S58" i="40"/>
  <c r="Q58" i="40"/>
  <c r="Y58" i="40"/>
  <c r="R58" i="40"/>
  <c r="T58" i="40" s="1"/>
  <c r="V58" i="40" s="1"/>
  <c r="X58" i="40" s="1"/>
  <c r="Z58" i="40" s="1"/>
  <c r="W58" i="40"/>
  <c r="U60" i="40"/>
  <c r="S60" i="40"/>
  <c r="Q60" i="40"/>
  <c r="Y60" i="40"/>
  <c r="W60" i="40"/>
  <c r="R60" i="40"/>
  <c r="T60" i="40" s="1"/>
  <c r="I29" i="40"/>
  <c r="L27" i="40"/>
  <c r="L29" i="40" s="1"/>
  <c r="L53" i="40"/>
  <c r="N51" i="40"/>
  <c r="G38" i="40"/>
  <c r="G40" i="40" s="1"/>
  <c r="G68" i="40" s="1"/>
  <c r="L24" i="40"/>
  <c r="L38" i="40" s="1"/>
  <c r="L40" i="40" s="1"/>
  <c r="N12" i="40"/>
  <c r="U22" i="40"/>
  <c r="Q22" i="40"/>
  <c r="Y22" i="40"/>
  <c r="W22" i="40"/>
  <c r="S22" i="40"/>
  <c r="R22" i="40"/>
  <c r="T22" i="40" s="1"/>
  <c r="V22" i="40" s="1"/>
  <c r="X22" i="40" s="1"/>
  <c r="Z22" i="40" s="1"/>
  <c r="M24" i="40"/>
  <c r="M38" i="40" s="1"/>
  <c r="O24" i="40"/>
  <c r="O38" i="40" s="1"/>
  <c r="O70" i="40" s="1"/>
  <c r="U19" i="40"/>
  <c r="Q19" i="40"/>
  <c r="R19" i="40" s="1"/>
  <c r="T19" i="40" s="1"/>
  <c r="V19" i="40" s="1"/>
  <c r="X19" i="40" s="1"/>
  <c r="Z19" i="40" s="1"/>
  <c r="Y19" i="40"/>
  <c r="S19" i="40"/>
  <c r="W19" i="40"/>
  <c r="N36" i="40"/>
  <c r="P32" i="40"/>
  <c r="U15" i="40"/>
  <c r="Q15" i="40"/>
  <c r="W15" i="40"/>
  <c r="S15" i="40"/>
  <c r="R15" i="40"/>
  <c r="T15" i="40" s="1"/>
  <c r="V15" i="40" s="1"/>
  <c r="X15" i="40" s="1"/>
  <c r="Y15" i="40"/>
  <c r="I38" i="40"/>
  <c r="I40" i="40" s="1"/>
  <c r="I62" i="40"/>
  <c r="I64" i="40" s="1"/>
  <c r="I66" i="40" s="1"/>
  <c r="L56" i="40"/>
  <c r="O56" i="40"/>
  <c r="O62" i="40" s="1"/>
  <c r="O64" i="40" s="1"/>
  <c r="M56" i="40"/>
  <c r="M62" i="40" s="1"/>
  <c r="M64" i="40" s="1"/>
  <c r="U59" i="40"/>
  <c r="S59" i="40"/>
  <c r="R59" i="40"/>
  <c r="T59" i="40" s="1"/>
  <c r="V59" i="40" s="1"/>
  <c r="Y59" i="40"/>
  <c r="Q59" i="40"/>
  <c r="W59" i="40"/>
  <c r="I68" i="40" l="1"/>
  <c r="Z15" i="40"/>
  <c r="N24" i="40"/>
  <c r="N38" i="40" s="1"/>
  <c r="N40" i="40" s="1"/>
  <c r="P12" i="40"/>
  <c r="V60" i="40"/>
  <c r="X60" i="40" s="1"/>
  <c r="Z60" i="40" s="1"/>
  <c r="M70" i="40"/>
  <c r="L62" i="40"/>
  <c r="L64" i="40" s="1"/>
  <c r="L66" i="40" s="1"/>
  <c r="L68" i="40" s="1"/>
  <c r="N56" i="40"/>
  <c r="N53" i="40"/>
  <c r="P51" i="40"/>
  <c r="U13" i="40"/>
  <c r="Y13" i="40"/>
  <c r="S13" i="40"/>
  <c r="Q13" i="40"/>
  <c r="R13" i="40" s="1"/>
  <c r="T13" i="40" s="1"/>
  <c r="V13" i="40" s="1"/>
  <c r="X13" i="40" s="1"/>
  <c r="Z13" i="40" s="1"/>
  <c r="W13" i="40"/>
  <c r="X59" i="40"/>
  <c r="Z59" i="40" s="1"/>
  <c r="Y32" i="40"/>
  <c r="Y36" i="40" s="1"/>
  <c r="R32" i="40"/>
  <c r="P36" i="40"/>
  <c r="N62" i="40" l="1"/>
  <c r="P56" i="40"/>
  <c r="U12" i="40"/>
  <c r="U24" i="40" s="1"/>
  <c r="U38" i="40" s="1"/>
  <c r="S12" i="40"/>
  <c r="S24" i="40" s="1"/>
  <c r="S38" i="40" s="1"/>
  <c r="P24" i="40"/>
  <c r="P38" i="40" s="1"/>
  <c r="P40" i="40" s="1"/>
  <c r="Y12" i="40"/>
  <c r="Y24" i="40" s="1"/>
  <c r="Y38" i="40" s="1"/>
  <c r="W12" i="40"/>
  <c r="W24" i="40" s="1"/>
  <c r="W38" i="40" s="1"/>
  <c r="Q12" i="40"/>
  <c r="Q24" i="40" s="1"/>
  <c r="Q38" i="40" s="1"/>
  <c r="R12" i="40"/>
  <c r="R51" i="40"/>
  <c r="P53" i="40"/>
  <c r="N64" i="40"/>
  <c r="N66" i="40" s="1"/>
  <c r="N68" i="40" s="1"/>
  <c r="T32" i="40"/>
  <c r="R36" i="40"/>
  <c r="T36" i="40" l="1"/>
  <c r="V32" i="40"/>
  <c r="R24" i="40"/>
  <c r="R38" i="40" s="1"/>
  <c r="R40" i="40" s="1"/>
  <c r="T12" i="40"/>
  <c r="T51" i="40"/>
  <c r="R53" i="40"/>
  <c r="U56" i="40"/>
  <c r="U62" i="40" s="1"/>
  <c r="U64" i="40" s="1"/>
  <c r="U70" i="40" s="1"/>
  <c r="S56" i="40"/>
  <c r="S62" i="40" s="1"/>
  <c r="S64" i="40" s="1"/>
  <c r="S70" i="40" s="1"/>
  <c r="P62" i="40"/>
  <c r="P64" i="40" s="1"/>
  <c r="P66" i="40" s="1"/>
  <c r="P68" i="40" s="1"/>
  <c r="W56" i="40"/>
  <c r="W62" i="40" s="1"/>
  <c r="W64" i="40" s="1"/>
  <c r="W70" i="40" s="1"/>
  <c r="R203" i="7" s="1"/>
  <c r="Q56" i="40"/>
  <c r="Q62" i="40" s="1"/>
  <c r="Q64" i="40" s="1"/>
  <c r="Q70" i="40" s="1"/>
  <c r="Y56" i="40"/>
  <c r="Y62" i="40" s="1"/>
  <c r="Y64" i="40" s="1"/>
  <c r="Y70" i="40" s="1"/>
  <c r="R56" i="40" l="1"/>
  <c r="T53" i="40"/>
  <c r="V51" i="40"/>
  <c r="X32" i="40"/>
  <c r="V36" i="40"/>
  <c r="T24" i="40"/>
  <c r="T38" i="40" s="1"/>
  <c r="T40" i="40" s="1"/>
  <c r="V12" i="40"/>
  <c r="V24" i="40" l="1"/>
  <c r="V38" i="40" s="1"/>
  <c r="V40" i="40" s="1"/>
  <c r="X12" i="40"/>
  <c r="V53" i="40"/>
  <c r="X51" i="40"/>
  <c r="X36" i="40"/>
  <c r="Z32" i="40"/>
  <c r="Z36" i="40" s="1"/>
  <c r="R62" i="40"/>
  <c r="R64" i="40" s="1"/>
  <c r="R66" i="40" s="1"/>
  <c r="R68" i="40" s="1"/>
  <c r="T56" i="40"/>
  <c r="V56" i="40" l="1"/>
  <c r="T62" i="40"/>
  <c r="T64" i="40" s="1"/>
  <c r="T66" i="40" s="1"/>
  <c r="T68" i="40" s="1"/>
  <c r="X53" i="40"/>
  <c r="Z51" i="40"/>
  <c r="Z53" i="40" s="1"/>
  <c r="Z12" i="40"/>
  <c r="Z24" i="40" s="1"/>
  <c r="Z38" i="40" s="1"/>
  <c r="Z40" i="40" s="1"/>
  <c r="X24" i="40"/>
  <c r="X38" i="40" s="1"/>
  <c r="X40" i="40" s="1"/>
  <c r="X56" i="40" l="1"/>
  <c r="V62" i="40"/>
  <c r="V64" i="40" s="1"/>
  <c r="V66" i="40" l="1"/>
  <c r="V68" i="40" s="1"/>
  <c r="Q203" i="7"/>
  <c r="Z56" i="40"/>
  <c r="Z62" i="40" s="1"/>
  <c r="Z64" i="40" s="1"/>
  <c r="Z66" i="40" s="1"/>
  <c r="Z68" i="40" s="1"/>
  <c r="X62" i="40"/>
  <c r="X64" i="40" s="1"/>
  <c r="X66" i="40" l="1"/>
  <c r="X68" i="40" s="1"/>
  <c r="S203" i="7"/>
  <c r="I18" i="2"/>
  <c r="A82" i="2"/>
  <c r="D36" i="5"/>
  <c r="E25" i="4"/>
  <c r="H150" i="1"/>
  <c r="H134" i="1"/>
  <c r="H126" i="1"/>
  <c r="E74" i="8" l="1"/>
  <c r="E35" i="44"/>
  <c r="E36" i="44"/>
  <c r="E37" i="44"/>
  <c r="E38" i="44"/>
  <c r="E39" i="44"/>
  <c r="E40" i="44"/>
  <c r="E41" i="44"/>
  <c r="E42" i="44"/>
  <c r="E43" i="44"/>
  <c r="E44" i="44"/>
  <c r="E45" i="44"/>
  <c r="E34" i="44"/>
  <c r="I35" i="44"/>
  <c r="I36" i="44"/>
  <c r="I37" i="44"/>
  <c r="I38" i="44"/>
  <c r="I39" i="44"/>
  <c r="I40" i="44"/>
  <c r="I41" i="44"/>
  <c r="I42" i="44"/>
  <c r="I43" i="44"/>
  <c r="I44" i="44"/>
  <c r="I45" i="44"/>
  <c r="I34" i="44"/>
  <c r="C35" i="44"/>
  <c r="C36" i="44"/>
  <c r="C37" i="44"/>
  <c r="C38" i="44"/>
  <c r="C39" i="44"/>
  <c r="C40" i="44"/>
  <c r="C41" i="44"/>
  <c r="C42" i="44"/>
  <c r="C43" i="44"/>
  <c r="C44" i="44"/>
  <c r="C45" i="44"/>
  <c r="C34" i="44"/>
  <c r="W32" i="44"/>
  <c r="H287" i="1" l="1"/>
  <c r="F62" i="1" l="1"/>
  <c r="F280" i="1"/>
  <c r="A36" i="47"/>
  <c r="A37" i="47" s="1"/>
  <c r="A38" i="47" s="1"/>
  <c r="A39" i="47" s="1"/>
  <c r="A35" i="47"/>
  <c r="A34" i="47"/>
  <c r="H153" i="1" l="1"/>
  <c r="H152" i="1"/>
  <c r="H149" i="1"/>
  <c r="S143" i="7" l="1"/>
  <c r="S10" i="41"/>
  <c r="S11" i="41"/>
  <c r="S12" i="41"/>
  <c r="S13" i="41"/>
  <c r="S18" i="41" s="1"/>
  <c r="S14" i="41"/>
  <c r="H68" i="1" l="1"/>
  <c r="M34" i="47"/>
  <c r="C21" i="47"/>
  <c r="K36" i="47" l="1"/>
  <c r="K38" i="47" s="1"/>
  <c r="K39" i="47" s="1"/>
  <c r="I36" i="47"/>
  <c r="I38" i="47" s="1"/>
  <c r="M38" i="47" l="1"/>
  <c r="I39" i="47"/>
  <c r="B38" i="48"/>
  <c r="B39" i="48" s="1"/>
  <c r="B40" i="48" s="1"/>
  <c r="B41" i="48" s="1"/>
  <c r="B42" i="48" s="1"/>
  <c r="B43" i="48" s="1"/>
  <c r="B44" i="48" s="1"/>
  <c r="B45" i="48" s="1"/>
  <c r="B46" i="48" s="1"/>
  <c r="B47" i="48" s="1"/>
  <c r="B48" i="48" s="1"/>
  <c r="B49" i="48" s="1"/>
  <c r="B50" i="48" s="1"/>
  <c r="B51" i="48" s="1"/>
  <c r="B52" i="48" s="1"/>
  <c r="B53" i="48" s="1"/>
  <c r="B54" i="48" s="1"/>
  <c r="B55" i="48" s="1"/>
  <c r="B56" i="48" s="1"/>
  <c r="B57" i="48" s="1"/>
  <c r="B58" i="48" s="1"/>
  <c r="B59" i="48" s="1"/>
  <c r="B60" i="48" s="1"/>
  <c r="B61" i="48" s="1"/>
  <c r="B62" i="48" s="1"/>
  <c r="B63" i="48" s="1"/>
  <c r="B64" i="48" s="1"/>
  <c r="B65" i="48" s="1"/>
  <c r="B66" i="48" s="1"/>
  <c r="B67" i="48" s="1"/>
  <c r="B68" i="48" s="1"/>
  <c r="B69" i="48" s="1"/>
  <c r="B70" i="48" s="1"/>
  <c r="B71" i="48" s="1"/>
  <c r="B72" i="48" s="1"/>
  <c r="H19" i="48"/>
  <c r="H23" i="48" s="1"/>
  <c r="F279" i="1"/>
  <c r="F282" i="1"/>
  <c r="H25" i="48" l="1"/>
  <c r="H27" i="48" s="1"/>
  <c r="H29" i="48" s="1"/>
  <c r="F25" i="48"/>
  <c r="M39" i="47"/>
  <c r="H21" i="48"/>
  <c r="T12" i="7"/>
  <c r="T168" i="7"/>
  <c r="C79" i="14" l="1"/>
  <c r="C80" i="14"/>
  <c r="C81" i="14"/>
  <c r="C82" i="14"/>
  <c r="C83" i="14"/>
  <c r="C78" i="14"/>
  <c r="C77" i="14"/>
  <c r="C60" i="14" l="1"/>
  <c r="C59" i="14"/>
  <c r="C63" i="2"/>
  <c r="C36" i="14"/>
  <c r="C35" i="14"/>
  <c r="C34" i="14"/>
  <c r="C33" i="14"/>
  <c r="C32" i="14"/>
  <c r="C31" i="14"/>
  <c r="C30" i="14"/>
  <c r="C28" i="14"/>
  <c r="C27" i="14"/>
  <c r="C26" i="14"/>
  <c r="S16" i="45" l="1"/>
  <c r="S18" i="45"/>
  <c r="S14" i="45"/>
  <c r="S12" i="45"/>
  <c r="R143" i="7"/>
  <c r="N35" i="51" l="1"/>
  <c r="N33" i="51"/>
  <c r="N31" i="51"/>
  <c r="N29" i="51"/>
  <c r="N27" i="51"/>
  <c r="N25" i="51"/>
  <c r="N23" i="51"/>
  <c r="N21" i="51"/>
  <c r="N19" i="51"/>
  <c r="N17" i="51"/>
  <c r="N15" i="51"/>
  <c r="N13" i="51"/>
  <c r="N11" i="51"/>
  <c r="N9" i="51"/>
  <c r="F20" i="45" l="1"/>
  <c r="H138" i="1" l="1"/>
  <c r="G38" i="14" l="1"/>
  <c r="T230" i="7" l="1"/>
  <c r="T229" i="7"/>
  <c r="T222" i="7"/>
  <c r="T48" i="7"/>
  <c r="T49" i="7"/>
  <c r="T50" i="7"/>
  <c r="T47" i="7"/>
  <c r="T51" i="7" s="1"/>
  <c r="D18" i="5" l="1"/>
  <c r="D26" i="5" l="1"/>
  <c r="T215" i="7"/>
  <c r="T212" i="7"/>
  <c r="T298" i="7" l="1"/>
  <c r="A26" i="47" l="1"/>
  <c r="I17" i="2"/>
  <c r="I80" i="40" l="1"/>
  <c r="N37" i="51" l="1"/>
  <c r="H235" i="1" l="1"/>
  <c r="A37" i="51" l="1"/>
  <c r="A35" i="51"/>
  <c r="A23" i="51"/>
  <c r="A25" i="51" s="1"/>
  <c r="A27" i="51" s="1"/>
  <c r="A29" i="51" s="1"/>
  <c r="A31" i="51" s="1"/>
  <c r="A33" i="51" s="1"/>
  <c r="A21" i="51"/>
  <c r="A19" i="51"/>
  <c r="A17" i="51"/>
  <c r="A15" i="51"/>
  <c r="A13" i="51"/>
  <c r="A11" i="51"/>
  <c r="L37" i="51"/>
  <c r="S83" i="7"/>
  <c r="S85" i="7" l="1"/>
  <c r="S84" i="7"/>
  <c r="A28" i="47"/>
  <c r="T231" i="7"/>
  <c r="H106" i="1" s="1"/>
  <c r="E85" i="1"/>
  <c r="E84" i="1"/>
  <c r="E81" i="1"/>
  <c r="A22" i="45"/>
  <c r="W20" i="45"/>
  <c r="G20" i="45"/>
  <c r="H20" i="45"/>
  <c r="I20" i="45"/>
  <c r="J20" i="45"/>
  <c r="K20" i="45"/>
  <c r="L20" i="45"/>
  <c r="M20" i="45"/>
  <c r="N20" i="45"/>
  <c r="O20" i="45"/>
  <c r="P20" i="45"/>
  <c r="Q20" i="45"/>
  <c r="R20" i="45"/>
  <c r="U18" i="45"/>
  <c r="U16" i="45"/>
  <c r="U12" i="45"/>
  <c r="H94" i="1"/>
  <c r="H84" i="1"/>
  <c r="H85" i="1"/>
  <c r="T59" i="7"/>
  <c r="H81" i="1" s="1"/>
  <c r="H76" i="1" l="1"/>
  <c r="U20" i="45"/>
  <c r="S20" i="45"/>
  <c r="H128" i="1"/>
  <c r="H99" i="1"/>
  <c r="E179" i="1"/>
  <c r="T138" i="7"/>
  <c r="H179" i="1" s="1"/>
  <c r="E124" i="1"/>
  <c r="E99" i="1"/>
  <c r="E254" i="1"/>
  <c r="E33" i="1"/>
  <c r="I15" i="14" l="1"/>
  <c r="A15" i="14"/>
  <c r="I19" i="2"/>
  <c r="I15" i="2"/>
  <c r="A15" i="2"/>
  <c r="C14" i="42"/>
  <c r="C15" i="42"/>
  <c r="C16" i="42"/>
  <c r="C17" i="42"/>
  <c r="C18" i="42"/>
  <c r="C19" i="42"/>
  <c r="C20" i="42"/>
  <c r="C21" i="42"/>
  <c r="C22" i="42"/>
  <c r="C23" i="42"/>
  <c r="C13" i="42"/>
  <c r="D30" i="5"/>
  <c r="D31" i="5" s="1"/>
  <c r="A28" i="5"/>
  <c r="A26" i="5"/>
  <c r="A21" i="5"/>
  <c r="A18" i="5"/>
  <c r="A14" i="5"/>
  <c r="E106" i="1"/>
  <c r="E108" i="1"/>
  <c r="E110" i="1"/>
  <c r="E104" i="1"/>
  <c r="E98" i="1"/>
  <c r="E94" i="1"/>
  <c r="E76" i="1"/>
  <c r="E26" i="1"/>
  <c r="E23" i="1"/>
  <c r="H220" i="1" l="1"/>
  <c r="H221" i="1"/>
  <c r="G16" i="47" l="1"/>
  <c r="G44" i="2" l="1"/>
  <c r="E235" i="1" l="1"/>
  <c r="E153" i="1"/>
  <c r="E152" i="1"/>
  <c r="E150" i="1"/>
  <c r="E149" i="1"/>
  <c r="E135" i="1"/>
  <c r="E134" i="1"/>
  <c r="E128" i="1"/>
  <c r="E127" i="1"/>
  <c r="E126" i="1"/>
  <c r="E84" i="14"/>
  <c r="G39" i="14"/>
  <c r="E39" i="14"/>
  <c r="D39" i="14"/>
  <c r="E44" i="2"/>
  <c r="H174" i="1"/>
  <c r="F162" i="1"/>
  <c r="T40" i="7" l="1"/>
  <c r="H73" i="1" s="1"/>
  <c r="T17" i="7" l="1"/>
  <c r="H33" i="1" s="1"/>
  <c r="A14" i="45" l="1"/>
  <c r="A16" i="45" s="1"/>
  <c r="A18" i="45" s="1"/>
  <c r="A20" i="45" s="1"/>
  <c r="J16" i="50" l="1"/>
  <c r="T143" i="7" l="1"/>
  <c r="F84" i="14" l="1"/>
  <c r="D84" i="14"/>
  <c r="E24" i="4"/>
  <c r="A10" i="50" l="1"/>
  <c r="J20" i="50"/>
  <c r="A12" i="50" l="1"/>
  <c r="A14" i="50" s="1"/>
  <c r="A16" i="50" s="1"/>
  <c r="F175" i="7"/>
  <c r="E283"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K192" i="7" l="1"/>
  <c r="K190" i="7"/>
  <c r="F74" i="49"/>
  <c r="J39" i="49" s="1"/>
  <c r="E74" i="49"/>
  <c r="I39" i="49" s="1"/>
  <c r="B3" i="49"/>
  <c r="B2" i="49"/>
  <c r="E282" i="1"/>
  <c r="F19" i="48" l="1"/>
  <c r="J23" i="48" s="1"/>
  <c r="A14" i="48"/>
  <c r="A16" i="48" l="1"/>
  <c r="F27" i="48"/>
  <c r="F29" i="48" l="1"/>
  <c r="J29" i="48" s="1"/>
  <c r="J27" i="48"/>
  <c r="A17" i="48"/>
  <c r="A19" i="48" s="1"/>
  <c r="Y16" i="47"/>
  <c r="W16" i="47"/>
  <c r="U16" i="47"/>
  <c r="S16" i="47"/>
  <c r="Q16" i="47"/>
  <c r="O16" i="47"/>
  <c r="M16" i="47"/>
  <c r="K16" i="47"/>
  <c r="I16" i="47"/>
  <c r="C19" i="48" l="1"/>
  <c r="A21" i="48"/>
  <c r="A23" i="48" s="1"/>
  <c r="A25" i="48" s="1"/>
  <c r="A26" i="48" s="1"/>
  <c r="A27" i="48" s="1"/>
  <c r="A29" i="48"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1"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1"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3" i="14"/>
  <c r="I13" i="2"/>
  <c r="E65" i="1"/>
  <c r="E62" i="1"/>
  <c r="C18" i="46" l="1"/>
  <c r="C19" i="47"/>
  <c r="A21" i="47"/>
  <c r="A23" i="47" s="1"/>
  <c r="C28" i="47" s="1"/>
  <c r="J194" i="7"/>
  <c r="J195" i="7" s="1"/>
  <c r="C23" i="47" l="1"/>
  <c r="E76" i="14" l="1"/>
  <c r="F76" i="14"/>
  <c r="G76" i="14"/>
  <c r="B2" i="38" l="1"/>
  <c r="E185" i="1" l="1"/>
  <c r="E186" i="1"/>
  <c r="T144" i="7"/>
  <c r="H185" i="1" s="1"/>
  <c r="T145" i="7"/>
  <c r="H186" i="1" s="1"/>
  <c r="A13" i="4" l="1"/>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L15" i="44"/>
  <c r="I28" i="44" l="1"/>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G11" i="42"/>
  <c r="J11" i="42" s="1"/>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G13" i="4"/>
  <c r="G14" i="4"/>
  <c r="A14" i="4"/>
  <c r="A15" i="4" l="1"/>
  <c r="A19" i="4" s="1"/>
  <c r="A20" i="4" s="1"/>
  <c r="A24" i="4" s="1"/>
  <c r="I39" i="14"/>
  <c r="F222" i="1"/>
  <c r="T140" i="7" l="1"/>
  <c r="H181" i="1" s="1"/>
  <c r="T141" i="7"/>
  <c r="H182" i="1" s="1"/>
  <c r="E181" i="1"/>
  <c r="E182" i="1"/>
  <c r="E279" i="1" l="1"/>
  <c r="F74" i="8"/>
  <c r="J39" i="8" s="1"/>
  <c r="A10" i="14" l="1"/>
  <c r="G86" i="14"/>
  <c r="E86" i="14"/>
  <c r="D86" i="14"/>
  <c r="C86" i="14"/>
  <c r="G85" i="14"/>
  <c r="E85" i="14"/>
  <c r="D85" i="14"/>
  <c r="C85" i="14"/>
  <c r="F85" i="14"/>
  <c r="F86" i="14"/>
  <c r="E38" i="14"/>
  <c r="E40" i="14" s="1"/>
  <c r="A10" i="2"/>
  <c r="A15" i="5" l="1"/>
  <c r="A16" i="5" s="1"/>
  <c r="A17" i="5" s="1"/>
  <c r="A22" i="5" s="1"/>
  <c r="A11" i="14"/>
  <c r="A12" i="14" s="1"/>
  <c r="I12" i="14"/>
  <c r="A11" i="2"/>
  <c r="A12" i="2" s="1"/>
  <c r="I12" i="2"/>
  <c r="E87" i="14"/>
  <c r="F87" i="14"/>
  <c r="G40" i="14"/>
  <c r="A13" i="14" l="1"/>
  <c r="A14" i="14" s="1"/>
  <c r="A26" i="14" s="1"/>
  <c r="A27" i="14" s="1"/>
  <c r="A28" i="14" s="1"/>
  <c r="A29" i="14" s="1"/>
  <c r="A30" i="14" s="1"/>
  <c r="A31" i="14" s="1"/>
  <c r="A32" i="14" s="1"/>
  <c r="A33" i="14" s="1"/>
  <c r="A34" i="14" s="1"/>
  <c r="A35" i="14" s="1"/>
  <c r="A36" i="14" s="1"/>
  <c r="A37" i="14" s="1"/>
  <c r="A38" i="14" s="1"/>
  <c r="A39" i="14" s="1"/>
  <c r="A40" i="14" s="1"/>
  <c r="A13" i="2"/>
  <c r="A14" i="2" s="1"/>
  <c r="I16" i="2" s="1"/>
  <c r="I3" i="44"/>
  <c r="I2" i="44"/>
  <c r="B1" i="2"/>
  <c r="A59" i="14" l="1"/>
  <c r="A60" i="14" s="1"/>
  <c r="A61" i="14" s="1"/>
  <c r="I9" i="14"/>
  <c r="A16" i="2"/>
  <c r="A17" i="2" s="1"/>
  <c r="A18" i="2" s="1"/>
  <c r="A19" i="2" s="1"/>
  <c r="A16" i="44"/>
  <c r="A17" i="44" s="1"/>
  <c r="A18" i="44" s="1"/>
  <c r="A19" i="44" s="1"/>
  <c r="A20" i="44" s="1"/>
  <c r="A21" i="44" s="1"/>
  <c r="A22" i="44" s="1"/>
  <c r="A23" i="44" s="1"/>
  <c r="A24" i="44" s="1"/>
  <c r="A25" i="44" s="1"/>
  <c r="A26" i="44" s="1"/>
  <c r="A27" i="44" s="1"/>
  <c r="A28" i="44" l="1"/>
  <c r="A34" i="44" s="1"/>
  <c r="A35" i="44" s="1"/>
  <c r="A36" i="44" s="1"/>
  <c r="A37" i="44" s="1"/>
  <c r="A38" i="44" s="1"/>
  <c r="A39" i="44" s="1"/>
  <c r="A40" i="44" s="1"/>
  <c r="A41" i="44" s="1"/>
  <c r="A42" i="44" s="1"/>
  <c r="A43" i="44" s="1"/>
  <c r="A44" i="44" s="1"/>
  <c r="A45" i="44" s="1"/>
  <c r="A77" i="14"/>
  <c r="A78" i="14" s="1"/>
  <c r="A79" i="14" s="1"/>
  <c r="A80" i="14" s="1"/>
  <c r="A81" i="14" s="1"/>
  <c r="A82" i="14" s="1"/>
  <c r="A83" i="14" s="1"/>
  <c r="A84" i="14" s="1"/>
  <c r="A85" i="14" s="1"/>
  <c r="A86" i="14" s="1"/>
  <c r="A87" i="14" s="1"/>
  <c r="I11" i="14" s="1"/>
  <c r="I10" i="14"/>
  <c r="A31" i="2" l="1"/>
  <c r="A32" i="2" s="1"/>
  <c r="A33" i="2" s="1"/>
  <c r="A34" i="2" s="1"/>
  <c r="A35" i="2" s="1"/>
  <c r="A36" i="2" s="1"/>
  <c r="A37" i="2" s="1"/>
  <c r="A38" i="2" s="1"/>
  <c r="A39" i="2" s="1"/>
  <c r="A40" i="2" s="1"/>
  <c r="A41" i="2" s="1"/>
  <c r="A42" i="2" s="1"/>
  <c r="A43" i="2" s="1"/>
  <c r="A44" i="2" s="1"/>
  <c r="A45" i="2" s="1"/>
  <c r="A62" i="2" l="1"/>
  <c r="I9" i="2"/>
  <c r="A63" i="2" l="1"/>
  <c r="A64" i="2" s="1"/>
  <c r="I10" i="2" s="1"/>
  <c r="A83" i="2"/>
  <c r="A84" i="2" s="1"/>
  <c r="A85" i="2" s="1"/>
  <c r="A86" i="2" s="1"/>
  <c r="A87" i="2" s="1"/>
  <c r="A88" i="2" s="1"/>
  <c r="A89" i="2" s="1"/>
  <c r="A90" i="2" s="1"/>
  <c r="A91" i="2" s="1"/>
  <c r="A92" i="2" s="1"/>
  <c r="I11" i="2" s="1"/>
  <c r="B53" i="14" l="1"/>
  <c r="E91" i="2"/>
  <c r="G91" i="2"/>
  <c r="D91" i="2"/>
  <c r="C91" i="2"/>
  <c r="F101" i="1" l="1"/>
  <c r="F82" i="1"/>
  <c r="H108" i="1"/>
  <c r="H98" i="1"/>
  <c r="H104" i="1"/>
  <c r="H100" i="1" l="1"/>
  <c r="I39" i="8" l="1"/>
  <c r="T203" i="7" l="1"/>
  <c r="H65" i="1" s="1"/>
  <c r="F2" i="41" l="1"/>
  <c r="F1" i="41"/>
  <c r="B3" i="8"/>
  <c r="B2" i="8"/>
  <c r="I3" i="40"/>
  <c r="B2" i="51" s="1"/>
  <c r="I2" i="40"/>
  <c r="B1" i="51" s="1"/>
  <c r="A2" i="7"/>
  <c r="B2" i="14"/>
  <c r="B52" i="14" s="1"/>
  <c r="B71" i="14" s="1"/>
  <c r="B55" i="2"/>
  <c r="B76" i="2" s="1"/>
  <c r="A11" i="41" l="1"/>
  <c r="A12" i="41" s="1"/>
  <c r="A13" i="41" s="1"/>
  <c r="A14" i="41" s="1"/>
  <c r="B1" i="45"/>
  <c r="A1" i="48"/>
  <c r="B2" i="45"/>
  <c r="A2" i="48"/>
  <c r="B89" i="14"/>
  <c r="B72" i="14"/>
  <c r="G61" i="14"/>
  <c r="F10" i="14" s="1"/>
  <c r="F61" i="14"/>
  <c r="E10" i="14" s="1"/>
  <c r="D61" i="14"/>
  <c r="D58" i="14"/>
  <c r="D76" i="14" s="1"/>
  <c r="D87" i="14" s="1"/>
  <c r="D9" i="14"/>
  <c r="B95" i="2"/>
  <c r="G92" i="2"/>
  <c r="F11" i="2" s="1"/>
  <c r="F91" i="2"/>
  <c r="D64" i="2"/>
  <c r="D61" i="2"/>
  <c r="D81" i="2" s="1"/>
  <c r="D11" i="14" l="1"/>
  <c r="E11" i="14"/>
  <c r="F9" i="14"/>
  <c r="B1" i="14" l="1"/>
  <c r="A10" i="7"/>
  <c r="A11" i="7" s="1"/>
  <c r="F20" i="1" s="1"/>
  <c r="E174" i="1"/>
  <c r="E50" i="1"/>
  <c r="E48" i="1"/>
  <c r="E46" i="1"/>
  <c r="E20" i="1"/>
  <c r="H229" i="1"/>
  <c r="H213" i="1"/>
  <c r="A16" i="41" l="1"/>
  <c r="A17" i="41" s="1"/>
  <c r="A18" i="41" s="1"/>
  <c r="F68" i="1" s="1"/>
  <c r="A12" i="7"/>
  <c r="F49" i="1" s="1"/>
  <c r="B70" i="14"/>
  <c r="B51" i="14"/>
  <c r="H169" i="1"/>
  <c r="A13" i="7" l="1"/>
  <c r="A14" i="7" s="1"/>
  <c r="A17" i="7" s="1"/>
  <c r="F33" i="1" s="1"/>
  <c r="H10" i="1"/>
  <c r="H12" i="1"/>
  <c r="H13" i="1"/>
  <c r="A18" i="7" l="1"/>
  <c r="F35" i="1" s="1"/>
  <c r="T20" i="7"/>
  <c r="T19" i="7"/>
  <c r="H36" i="1" s="1"/>
  <c r="H273" i="1"/>
  <c r="T10" i="7"/>
  <c r="T13" i="7"/>
  <c r="T14" i="7"/>
  <c r="A19" i="7" l="1"/>
  <c r="F36" i="1" s="1"/>
  <c r="H49" i="1"/>
  <c r="E43" i="2"/>
  <c r="E45" i="2" s="1"/>
  <c r="D9" i="2" s="1"/>
  <c r="D44" i="2"/>
  <c r="A20" i="7" l="1"/>
  <c r="F37" i="1" s="1"/>
  <c r="E92" i="2"/>
  <c r="A23" i="7" l="1"/>
  <c r="F46" i="1" s="1"/>
  <c r="D11" i="2"/>
  <c r="A24" i="7" l="1"/>
  <c r="F48" i="1" s="1"/>
  <c r="A25" i="7" l="1"/>
  <c r="F50" i="1" s="1"/>
  <c r="H258" i="1"/>
  <c r="H124" i="1"/>
  <c r="H37" i="1"/>
  <c r="H50" i="1"/>
  <c r="F92" i="2"/>
  <c r="E11" i="2" s="1"/>
  <c r="H194" i="7"/>
  <c r="T139" i="7"/>
  <c r="H180" i="1" s="1"/>
  <c r="T142" i="7"/>
  <c r="H183" i="1" s="1"/>
  <c r="H191" i="1"/>
  <c r="T135" i="7"/>
  <c r="H173" i="1" s="1"/>
  <c r="T136" i="7"/>
  <c r="H175" i="1" s="1"/>
  <c r="H212" i="1"/>
  <c r="H283" i="1"/>
  <c r="B77" i="2"/>
  <c r="B75" i="2"/>
  <c r="B56" i="2"/>
  <c r="B54" i="2"/>
  <c r="E20" i="4"/>
  <c r="E41" i="4"/>
  <c r="I194" i="7"/>
  <c r="I195" i="7" s="1"/>
  <c r="E191" i="7"/>
  <c r="C175" i="7"/>
  <c r="C168" i="7"/>
  <c r="C153" i="7"/>
  <c r="A3" i="5"/>
  <c r="A2" i="5"/>
  <c r="A25" i="4"/>
  <c r="A26" i="4" s="1"/>
  <c r="A27" i="4" s="1"/>
  <c r="A3" i="4"/>
  <c r="A2" i="4"/>
  <c r="E287" i="1"/>
  <c r="C272" i="1"/>
  <c r="E258" i="1"/>
  <c r="C257" i="1"/>
  <c r="E201" i="1"/>
  <c r="E184" i="1"/>
  <c r="E183" i="1"/>
  <c r="E180" i="1"/>
  <c r="E178" i="1"/>
  <c r="E175" i="1"/>
  <c r="E173" i="1"/>
  <c r="E172" i="1"/>
  <c r="F155" i="1"/>
  <c r="F130" i="1"/>
  <c r="E73" i="1"/>
  <c r="E68" i="1"/>
  <c r="F52" i="1"/>
  <c r="C52" i="1"/>
  <c r="E49" i="1"/>
  <c r="F39" i="1"/>
  <c r="E37" i="1"/>
  <c r="E36" i="1"/>
  <c r="E35" i="1"/>
  <c r="E19" i="1"/>
  <c r="A19" i="1"/>
  <c r="A12" i="1"/>
  <c r="H215" i="1" l="1"/>
  <c r="H200" i="1"/>
  <c r="A29" i="4"/>
  <c r="H195" i="7"/>
  <c r="K195" i="7" s="1"/>
  <c r="H71" i="1" s="1"/>
  <c r="K194" i="7"/>
  <c r="A20" i="1"/>
  <c r="A21" i="1" s="1"/>
  <c r="A34" i="4"/>
  <c r="A35" i="4" s="1"/>
  <c r="A36" i="4" s="1"/>
  <c r="A37" i="4" s="1"/>
  <c r="A38" i="4" s="1"/>
  <c r="A39" i="4" s="1"/>
  <c r="A40" i="4" s="1"/>
  <c r="A41" i="4" s="1"/>
  <c r="A43" i="4" s="1"/>
  <c r="A45" i="4" s="1"/>
  <c r="A47" i="4" s="1"/>
  <c r="A13" i="1"/>
  <c r="F14" i="1" s="1"/>
  <c r="H129" i="1"/>
  <c r="H136" i="1"/>
  <c r="H257" i="1"/>
  <c r="H14" i="1"/>
  <c r="C92" i="2"/>
  <c r="H217" i="1" l="1"/>
  <c r="H230" i="1"/>
  <c r="I17" i="46"/>
  <c r="H231" i="1"/>
  <c r="M17" i="46"/>
  <c r="Y17" i="46"/>
  <c r="F21" i="1"/>
  <c r="H184" i="1"/>
  <c r="A14" i="1"/>
  <c r="F16" i="1" s="1"/>
  <c r="H16" i="1"/>
  <c r="H259" i="1"/>
  <c r="H216" i="1"/>
  <c r="O17" i="46" l="1"/>
  <c r="H225" i="1"/>
  <c r="K17" i="46"/>
  <c r="U17" i="46"/>
  <c r="H236" i="1"/>
  <c r="W17" i="46"/>
  <c r="S17" i="46"/>
  <c r="G17" i="46"/>
  <c r="Q17" i="46"/>
  <c r="H232" i="1"/>
  <c r="V10" i="45"/>
  <c r="V14" i="45" s="1"/>
  <c r="V20" i="45" s="1"/>
  <c r="W22" i="45" s="1"/>
  <c r="T237" i="7" s="1"/>
  <c r="H110" i="1" s="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2" i="1"/>
  <c r="J44" i="44"/>
  <c r="L44" i="44" s="1"/>
  <c r="J42" i="44"/>
  <c r="L42" i="44" s="1"/>
  <c r="J40" i="44"/>
  <c r="L40" i="44" s="1"/>
  <c r="J38" i="44"/>
  <c r="L38" i="44" s="1"/>
  <c r="J36" i="44"/>
  <c r="L36" i="44" s="1"/>
  <c r="J34" i="44"/>
  <c r="V34" i="44" s="1"/>
  <c r="W34" i="44" s="1"/>
  <c r="J43" i="44"/>
  <c r="L43" i="44" s="1"/>
  <c r="J37" i="44"/>
  <c r="L37" i="44" s="1"/>
  <c r="J45" i="44"/>
  <c r="L45" i="44" s="1"/>
  <c r="J41" i="44"/>
  <c r="L41" i="44" s="1"/>
  <c r="J39" i="44"/>
  <c r="L39" i="44" s="1"/>
  <c r="J35" i="44"/>
  <c r="L35" i="44" s="1"/>
  <c r="F13" i="2"/>
  <c r="G64" i="2"/>
  <c r="F10" i="2" s="1"/>
  <c r="F13" i="14"/>
  <c r="H101" i="1"/>
  <c r="H155" i="1"/>
  <c r="H52" i="1"/>
  <c r="H82" i="1"/>
  <c r="F27" i="4"/>
  <c r="H39" i="1"/>
  <c r="H130" i="1"/>
  <c r="H260" i="1"/>
  <c r="H237" i="1" l="1"/>
  <c r="L34" i="44"/>
  <c r="H102" i="1"/>
  <c r="H223" i="1"/>
  <c r="H78" i="1"/>
  <c r="R24" i="42"/>
  <c r="F18" i="2" s="1"/>
  <c r="H131" i="1"/>
  <c r="H83" i="1"/>
  <c r="H224" i="1" l="1"/>
  <c r="H86" i="1"/>
  <c r="A23" i="1"/>
  <c r="F24" i="1" s="1"/>
  <c r="H226" i="1" l="1"/>
  <c r="A24" i="1"/>
  <c r="A26" i="1" s="1"/>
  <c r="F64" i="2" l="1"/>
  <c r="E10" i="2" s="1"/>
  <c r="A27" i="1"/>
  <c r="A33" i="1" s="1"/>
  <c r="F27" i="1"/>
  <c r="I14" i="2" l="1"/>
  <c r="I14" i="14"/>
  <c r="F95" i="1"/>
  <c r="F139" i="1"/>
  <c r="A35" i="1" l="1"/>
  <c r="A36" i="1" s="1"/>
  <c r="A37" i="1" s="1"/>
  <c r="F38" i="1" s="1"/>
  <c r="F257"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4" i="1"/>
  <c r="F26" i="1"/>
  <c r="A59" i="7" l="1"/>
  <c r="F76" i="1"/>
  <c r="F81" i="1"/>
  <c r="A65" i="1"/>
  <c r="A68" i="1" s="1"/>
  <c r="A71" i="1" l="1"/>
  <c r="A73" i="1" s="1"/>
  <c r="A76" i="1" s="1"/>
  <c r="F273"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5" i="1"/>
  <c r="F114" i="1"/>
  <c r="A119" i="1"/>
  <c r="F246"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8" i="1" s="1"/>
  <c r="F144" i="1"/>
  <c r="F89" i="1" l="1"/>
  <c r="A149" i="1"/>
  <c r="A150" i="1" s="1"/>
  <c r="A152" i="1" s="1"/>
  <c r="A153" i="1" s="1"/>
  <c r="A154" i="1" s="1"/>
  <c r="A155" i="1" s="1"/>
  <c r="A156" i="1" s="1"/>
  <c r="F158" i="1" s="1"/>
  <c r="F156" i="1" l="1"/>
  <c r="F154" i="1"/>
  <c r="A158" i="1"/>
  <c r="A162" i="1" s="1"/>
  <c r="F249" i="1" l="1"/>
  <c r="A164" i="1"/>
  <c r="F164" i="1"/>
  <c r="A167" i="1" l="1"/>
  <c r="F250" i="1"/>
  <c r="A169" i="1" l="1"/>
  <c r="A172" i="1" l="1"/>
  <c r="A173" i="1" l="1"/>
  <c r="A174" i="1" l="1"/>
  <c r="F191" i="1" s="1"/>
  <c r="A175" i="1" l="1"/>
  <c r="F176" i="1" l="1"/>
  <c r="A176" i="1"/>
  <c r="F192" i="1" s="1"/>
  <c r="A178" i="1" l="1"/>
  <c r="F190" i="1" s="1"/>
  <c r="A180" i="1" l="1"/>
  <c r="A181" i="1" s="1"/>
  <c r="A182" i="1" s="1"/>
  <c r="A183" i="1" s="1"/>
  <c r="A184" i="1" s="1"/>
  <c r="A185" i="1" s="1"/>
  <c r="A186" i="1" s="1"/>
  <c r="A187" i="1" s="1"/>
  <c r="A190" i="1" s="1"/>
  <c r="A191" i="1" l="1"/>
  <c r="F187" i="1"/>
  <c r="F199" i="1"/>
  <c r="A192" i="1" l="1"/>
  <c r="F193" i="1" s="1"/>
  <c r="F200" i="1"/>
  <c r="A193" i="1" l="1"/>
  <c r="F197" i="1" l="1"/>
  <c r="F195" i="1"/>
  <c r="A195" i="1"/>
  <c r="F196" i="1"/>
  <c r="A196" i="1" l="1"/>
  <c r="A197" i="1" l="1"/>
  <c r="C16" i="46" l="1"/>
  <c r="A199" i="1"/>
  <c r="A200" i="1" l="1"/>
  <c r="F203" i="1"/>
  <c r="A201" i="1" l="1"/>
  <c r="F204" i="1"/>
  <c r="A203" i="1" l="1"/>
  <c r="F205" i="1"/>
  <c r="A204" i="1" l="1"/>
  <c r="A205" i="1" l="1"/>
  <c r="A206" i="1" s="1"/>
  <c r="A208" i="1" l="1"/>
  <c r="A211" i="1" s="1"/>
  <c r="A212" i="1" s="1"/>
  <c r="A213" i="1" s="1"/>
  <c r="A214" i="1" s="1"/>
  <c r="F206" i="1"/>
  <c r="F208" i="1"/>
  <c r="F251" i="1" l="1"/>
  <c r="A215" i="1"/>
  <c r="A216" i="1" l="1"/>
  <c r="F238" i="1" s="1"/>
  <c r="A217" i="1" l="1"/>
  <c r="C17" i="46" l="1"/>
  <c r="F231" i="1"/>
  <c r="A220" i="1"/>
  <c r="A221" i="1" s="1"/>
  <c r="A222" i="1" s="1"/>
  <c r="A223" i="1" s="1"/>
  <c r="F225" i="1"/>
  <c r="F236" i="1" s="1"/>
  <c r="A224" i="1" l="1"/>
  <c r="F224" i="1"/>
  <c r="F223" i="1"/>
  <c r="A225" i="1" l="1"/>
  <c r="F226" i="1" s="1"/>
  <c r="A226" i="1" l="1"/>
  <c r="A229" i="1" s="1"/>
  <c r="F230" i="1" s="1"/>
  <c r="A230" i="1" l="1"/>
  <c r="A231" i="1" l="1"/>
  <c r="A232" i="1" l="1"/>
  <c r="A235" i="1" s="1"/>
  <c r="F232" i="1"/>
  <c r="A236" i="1" l="1"/>
  <c r="A237" i="1" s="1"/>
  <c r="A238" i="1" s="1"/>
  <c r="F237" i="1" l="1"/>
  <c r="F239" i="1"/>
  <c r="A239" i="1"/>
  <c r="A244" i="1" l="1"/>
  <c r="A245" i="1" s="1"/>
  <c r="A246" i="1" s="1"/>
  <c r="A248" i="1" s="1"/>
  <c r="F252" i="1"/>
  <c r="A249" i="1" l="1"/>
  <c r="A250" i="1" s="1"/>
  <c r="A251" i="1" s="1"/>
  <c r="A252" i="1" s="1"/>
  <c r="A254" i="1" s="1"/>
  <c r="F254" i="1" l="1"/>
  <c r="F272" i="1"/>
  <c r="A257" i="1"/>
  <c r="F261" i="1"/>
  <c r="A258" i="1" l="1"/>
  <c r="A259" i="1" s="1"/>
  <c r="F259" i="1" l="1"/>
  <c r="F260" i="1"/>
  <c r="A260" i="1"/>
  <c r="A261" i="1" s="1"/>
  <c r="F262" i="1" l="1"/>
  <c r="A262" i="1"/>
  <c r="A265" i="1" l="1"/>
  <c r="A267" i="1" s="1"/>
  <c r="F267" i="1" l="1"/>
  <c r="A272" i="1"/>
  <c r="F278" i="1"/>
  <c r="A273" i="1" l="1"/>
  <c r="A274" i="1" s="1"/>
  <c r="A275" i="1" s="1"/>
  <c r="A276" i="1" s="1"/>
  <c r="A278" i="1" s="1"/>
  <c r="F275" i="1" l="1"/>
  <c r="C14" i="47"/>
  <c r="F274" i="1"/>
  <c r="F276" i="1"/>
  <c r="A279" i="1"/>
  <c r="A280" i="1" l="1"/>
  <c r="A281" i="1" s="1"/>
  <c r="A282" i="1" l="1"/>
  <c r="A283" i="1" s="1"/>
  <c r="A284" i="1" s="1"/>
  <c r="A287" i="1" s="1"/>
  <c r="A288" i="1" s="1"/>
  <c r="F284" i="1" l="1"/>
  <c r="F288" i="1"/>
  <c r="F290" i="1"/>
  <c r="A290" i="1"/>
  <c r="A291" i="1" l="1"/>
  <c r="A292" i="1" s="1"/>
  <c r="A293" i="1" s="1"/>
  <c r="A294" i="1" s="1"/>
  <c r="F292" i="1"/>
  <c r="F291" i="1"/>
  <c r="F293" i="1" l="1"/>
  <c r="F294" i="1"/>
  <c r="A23" i="5" l="1"/>
  <c r="A24" i="5" s="1"/>
  <c r="A25" i="5" s="1"/>
  <c r="A29" i="5" l="1"/>
  <c r="A30" i="5" s="1"/>
  <c r="C31" i="5" s="1"/>
  <c r="C36" i="5"/>
  <c r="A31" i="5" l="1"/>
  <c r="A33" i="5" l="1"/>
  <c r="A34" i="5" s="1"/>
  <c r="A134" i="7"/>
  <c r="F172" i="1" s="1"/>
  <c r="C34" i="5" l="1"/>
  <c r="A36" i="5"/>
  <c r="C37" i="5" s="1"/>
  <c r="F265"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2" i="1" s="1"/>
  <c r="A154" i="7" l="1"/>
  <c r="F213" i="1" s="1"/>
  <c r="A160" i="7" l="1"/>
  <c r="F221" i="1" s="1"/>
  <c r="A161" i="7" l="1"/>
  <c r="F220" i="1" s="1"/>
  <c r="A162" i="7" l="1"/>
  <c r="F229" i="1" l="1"/>
  <c r="A168" i="7"/>
  <c r="F258" i="1" l="1"/>
  <c r="A175" i="7"/>
  <c r="F283" i="1" s="1"/>
  <c r="A183" i="7" l="1"/>
  <c r="F287" i="1" s="1"/>
  <c r="A190" i="7" l="1"/>
  <c r="A191" i="7" l="1"/>
  <c r="A192" i="7" s="1"/>
  <c r="F150" i="1" s="1"/>
  <c r="A194" i="7" l="1"/>
  <c r="A195" i="7" s="1"/>
  <c r="F71" i="1" s="1"/>
  <c r="E194" i="7"/>
  <c r="E192" i="7"/>
  <c r="A203" i="7" l="1"/>
  <c r="F235" i="1" s="1"/>
  <c r="E195" i="7"/>
  <c r="F65" i="1" l="1"/>
  <c r="A212" i="7"/>
  <c r="F94" i="1" s="1"/>
  <c r="A213" i="7" l="1"/>
  <c r="A214" i="7" s="1"/>
  <c r="A215" i="7" l="1"/>
  <c r="F99" i="1"/>
  <c r="F98" i="1"/>
  <c r="F104" i="1" l="1"/>
  <c r="A222" i="7"/>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E27" i="4" l="1"/>
  <c r="G27" i="4" l="1"/>
  <c r="T18" i="7" l="1"/>
  <c r="H35" i="1" s="1"/>
  <c r="H38" i="1" l="1"/>
  <c r="H154" i="1"/>
  <c r="T24" i="7"/>
  <c r="H48" i="1" s="1"/>
  <c r="H51" i="1" l="1"/>
  <c r="H156" i="1"/>
  <c r="H40" i="1"/>
  <c r="H158" i="1" l="1"/>
  <c r="H42" i="1"/>
  <c r="H53" i="1"/>
  <c r="T9" i="7"/>
  <c r="H19" i="1" s="1"/>
  <c r="H23" i="1" l="1"/>
  <c r="H55" i="1"/>
  <c r="H249" i="1"/>
  <c r="T11" i="7"/>
  <c r="H20" i="1" s="1"/>
  <c r="H24" i="1" l="1"/>
  <c r="H21" i="1"/>
  <c r="H57" i="1"/>
  <c r="W10" i="45" l="1"/>
  <c r="H26" i="1"/>
  <c r="H244" i="1"/>
  <c r="H27" i="1" l="1"/>
  <c r="F34" i="44" l="1"/>
  <c r="L15" i="42"/>
  <c r="M15" i="42" s="1"/>
  <c r="N15" i="42" s="1"/>
  <c r="L14" i="42"/>
  <c r="M14" i="42" s="1"/>
  <c r="N14" i="42" s="1"/>
  <c r="L22" i="42"/>
  <c r="M22" i="42" s="1"/>
  <c r="N22" i="42" s="1"/>
  <c r="F43" i="44"/>
  <c r="G43" i="44" s="1"/>
  <c r="N43" i="44" s="1"/>
  <c r="F38" i="44"/>
  <c r="G38" i="44" s="1"/>
  <c r="N38" i="44" s="1"/>
  <c r="E14" i="2"/>
  <c r="F37" i="44"/>
  <c r="G37" i="44" s="1"/>
  <c r="N37" i="44" s="1"/>
  <c r="L11" i="42"/>
  <c r="M11" i="42" s="1"/>
  <c r="N11" i="42" s="1"/>
  <c r="F44" i="44"/>
  <c r="G44" i="44" s="1"/>
  <c r="N44" i="44" s="1"/>
  <c r="L19" i="42"/>
  <c r="M19" i="42" s="1"/>
  <c r="N19" i="42" s="1"/>
  <c r="L12" i="42"/>
  <c r="M12" i="42" s="1"/>
  <c r="N12" i="42" s="1"/>
  <c r="F35" i="44"/>
  <c r="G35" i="44" s="1"/>
  <c r="N35" i="44" s="1"/>
  <c r="F36" i="44"/>
  <c r="G36" i="44" s="1"/>
  <c r="N36" i="44" s="1"/>
  <c r="L21" i="42"/>
  <c r="M21" i="42" s="1"/>
  <c r="N21" i="42" s="1"/>
  <c r="L17" i="42"/>
  <c r="M17" i="42" s="1"/>
  <c r="N17" i="42" s="1"/>
  <c r="L23" i="42"/>
  <c r="M23" i="42" s="1"/>
  <c r="N23" i="42" s="1"/>
  <c r="L18" i="42"/>
  <c r="M18" i="42" s="1"/>
  <c r="N18" i="42" s="1"/>
  <c r="F20" i="4"/>
  <c r="G20" i="4" s="1"/>
  <c r="F41" i="44"/>
  <c r="G41" i="44" s="1"/>
  <c r="N41" i="44" s="1"/>
  <c r="H95" i="1"/>
  <c r="E14" i="14"/>
  <c r="L16" i="42"/>
  <c r="M16" i="42" s="1"/>
  <c r="N16" i="42" s="1"/>
  <c r="F39" i="44"/>
  <c r="G39" i="44" s="1"/>
  <c r="N39" i="44" s="1"/>
  <c r="H139" i="1"/>
  <c r="L20" i="42"/>
  <c r="M20" i="42" s="1"/>
  <c r="N20" i="42" s="1"/>
  <c r="F42" i="44"/>
  <c r="G42" i="44" s="1"/>
  <c r="N42" i="44" s="1"/>
  <c r="L13" i="42"/>
  <c r="M13" i="42" s="1"/>
  <c r="N13" i="42" s="1"/>
  <c r="F45" i="44"/>
  <c r="G45" i="44" s="1"/>
  <c r="N45" i="44" s="1"/>
  <c r="F40" i="44"/>
  <c r="G40" i="44" s="1"/>
  <c r="N40" i="44" s="1"/>
  <c r="T137" i="7"/>
  <c r="H178" i="1" s="1"/>
  <c r="G34" i="44" l="1"/>
  <c r="N34" i="44" s="1"/>
  <c r="V36" i="44"/>
  <c r="W36" i="44" s="1"/>
  <c r="W38" i="44" s="1"/>
  <c r="J15" i="44" s="1"/>
  <c r="H96" i="1"/>
  <c r="H18" i="42"/>
  <c r="S18" i="42"/>
  <c r="S14" i="42"/>
  <c r="H14" i="42"/>
  <c r="H20" i="42"/>
  <c r="S20" i="42"/>
  <c r="H190" i="1"/>
  <c r="H140" i="1"/>
  <c r="S23" i="42"/>
  <c r="H23" i="42"/>
  <c r="S15" i="42"/>
  <c r="H15" i="42"/>
  <c r="H13" i="42"/>
  <c r="S13" i="42"/>
  <c r="S17" i="42"/>
  <c r="H17" i="42"/>
  <c r="S11" i="42"/>
  <c r="H11" i="42"/>
  <c r="N24" i="42"/>
  <c r="E18" i="2" s="1"/>
  <c r="S16" i="42"/>
  <c r="H16" i="42"/>
  <c r="H21" i="42"/>
  <c r="S21" i="42"/>
  <c r="S19" i="42"/>
  <c r="H19" i="42"/>
  <c r="S22" i="42"/>
  <c r="H22" i="42"/>
  <c r="H187" i="1"/>
  <c r="S132" i="7"/>
  <c r="H167" i="1" s="1"/>
  <c r="Q15" i="44" l="1"/>
  <c r="J16" i="44"/>
  <c r="J17" i="44" s="1"/>
  <c r="J18" i="44" s="1"/>
  <c r="J19" i="44" s="1"/>
  <c r="J20" i="44" s="1"/>
  <c r="J21" i="44" s="1"/>
  <c r="J22" i="44" s="1"/>
  <c r="J23" i="44" s="1"/>
  <c r="J24" i="44" s="1"/>
  <c r="J25" i="44" s="1"/>
  <c r="J26" i="44" s="1"/>
  <c r="J27" i="44" s="1"/>
  <c r="H142" i="1"/>
  <c r="H199" i="1"/>
  <c r="L18" i="44"/>
  <c r="L27" i="44"/>
  <c r="L16" i="44"/>
  <c r="L17" i="44"/>
  <c r="L19" i="44"/>
  <c r="L21" i="44"/>
  <c r="L24" i="44"/>
  <c r="L22" i="44"/>
  <c r="L26" i="44"/>
  <c r="L20" i="44"/>
  <c r="L23" i="44"/>
  <c r="L25" i="44"/>
  <c r="L28" i="44" l="1"/>
  <c r="P16" i="44"/>
  <c r="M16" i="44"/>
  <c r="O16" i="44" s="1"/>
  <c r="M26" i="44"/>
  <c r="O26" i="44" s="1"/>
  <c r="P26" i="44"/>
  <c r="P17" i="44"/>
  <c r="M17" i="44"/>
  <c r="O17" i="44" s="1"/>
  <c r="M22" i="44"/>
  <c r="O22" i="44" s="1"/>
  <c r="P22" i="44"/>
  <c r="M21" i="44"/>
  <c r="N21" i="44" s="1"/>
  <c r="P21" i="44"/>
  <c r="P25" i="44"/>
  <c r="M25" i="44"/>
  <c r="N25" i="44" s="1"/>
  <c r="M24" i="44"/>
  <c r="O24" i="44" s="1"/>
  <c r="P24" i="44"/>
  <c r="M27" i="44"/>
  <c r="O27" i="44" s="1"/>
  <c r="P27" i="44"/>
  <c r="M23" i="44"/>
  <c r="N23" i="44" s="1"/>
  <c r="P23" i="44"/>
  <c r="M20" i="44"/>
  <c r="N20" i="44" s="1"/>
  <c r="P20" i="44"/>
  <c r="P19" i="44"/>
  <c r="M19" i="44"/>
  <c r="O19" i="44" s="1"/>
  <c r="M18" i="44"/>
  <c r="N18" i="44" s="1"/>
  <c r="P18" i="44"/>
  <c r="N16" i="44" l="1"/>
  <c r="Q16" i="44" s="1"/>
  <c r="N26" i="44"/>
  <c r="N27" i="44"/>
  <c r="O23" i="44"/>
  <c r="N17" i="44"/>
  <c r="O21" i="44"/>
  <c r="N19" i="44"/>
  <c r="P28" i="44"/>
  <c r="O18" i="44"/>
  <c r="O25" i="44"/>
  <c r="O20" i="44"/>
  <c r="N24" i="44"/>
  <c r="N22" i="44"/>
  <c r="M28" i="44"/>
  <c r="Q17" i="44" l="1"/>
  <c r="Q18" i="44" s="1"/>
  <c r="N28" i="44"/>
  <c r="O28" i="44"/>
  <c r="Q19" i="44" l="1"/>
  <c r="Q20" i="44" s="1"/>
  <c r="Q21" i="44" s="1"/>
  <c r="Q22" i="44" s="1"/>
  <c r="Q23" i="44" s="1"/>
  <c r="Q24" i="44" s="1"/>
  <c r="Q25" i="44" s="1"/>
  <c r="Q26" i="44" s="1"/>
  <c r="Q27" i="44" l="1"/>
  <c r="C62" i="2" l="1"/>
  <c r="C64" i="2" s="1"/>
  <c r="E64" i="2" l="1"/>
  <c r="D10" i="2" s="1"/>
  <c r="D12" i="2" s="1"/>
  <c r="D15" i="2" s="1"/>
  <c r="D34" i="5" l="1"/>
  <c r="H265" i="1" s="1"/>
  <c r="J12" i="42" l="1"/>
  <c r="J24" i="42" s="1"/>
  <c r="I24" i="42"/>
  <c r="H24" i="42" l="1"/>
  <c r="D18" i="2"/>
  <c r="H18" i="2" s="1"/>
  <c r="S24" i="42"/>
  <c r="H12" i="42"/>
  <c r="S12" i="42"/>
  <c r="C61" i="14" l="1"/>
  <c r="E61" i="14"/>
  <c r="D10" i="14" s="1"/>
  <c r="D12" i="14" s="1"/>
  <c r="D15" i="14" s="1"/>
  <c r="D16" i="2" l="1"/>
  <c r="D17" i="2" s="1"/>
  <c r="D19" i="2" l="1"/>
  <c r="F44" i="2" l="1"/>
  <c r="C44" i="2" s="1"/>
  <c r="G43" i="2"/>
  <c r="G45" i="2" s="1"/>
  <c r="F9" i="2" s="1"/>
  <c r="F12" i="2" s="1"/>
  <c r="F15" i="2" s="1"/>
  <c r="F43" i="2"/>
  <c r="F45" i="2" s="1"/>
  <c r="E9" i="2" s="1"/>
  <c r="E12" i="2" s="1"/>
  <c r="E15" i="2" s="1"/>
  <c r="H15" i="2" l="1"/>
  <c r="C45" i="2" l="1"/>
  <c r="F38" i="14"/>
  <c r="C29" i="14"/>
  <c r="F39" i="14"/>
  <c r="C39" i="14" s="1"/>
  <c r="C40" i="14" l="1"/>
  <c r="C37" i="14"/>
  <c r="D37" i="14" s="1"/>
  <c r="F40" i="14"/>
  <c r="E9" i="14" s="1"/>
  <c r="E12" i="14" s="1"/>
  <c r="E15" i="14" s="1"/>
  <c r="E16" i="2" s="1"/>
  <c r="D38" i="14" l="1"/>
  <c r="D40" i="14" s="1"/>
  <c r="D43" i="2"/>
  <c r="D45" i="2" s="1"/>
  <c r="E17" i="2"/>
  <c r="E19" i="2" l="1"/>
  <c r="C84" i="14" l="1"/>
  <c r="C87" i="14" s="1"/>
  <c r="G84" i="14"/>
  <c r="G87" i="14" s="1"/>
  <c r="F11" i="14" s="1"/>
  <c r="F12" i="14" s="1"/>
  <c r="F15" i="14" s="1"/>
  <c r="F16" i="2" l="1"/>
  <c r="H15" i="14"/>
  <c r="H16" i="2" l="1"/>
  <c r="F17" i="2"/>
  <c r="H17" i="2" l="1"/>
  <c r="H19" i="2" s="1"/>
  <c r="H62" i="1" s="1"/>
  <c r="F19" i="2"/>
  <c r="I38" i="49" l="1"/>
  <c r="I38" i="8" l="1"/>
  <c r="I40" i="49"/>
  <c r="E21" i="47" s="1"/>
  <c r="J38" i="49"/>
  <c r="J40" i="49" s="1"/>
  <c r="I40" i="8" l="1"/>
  <c r="K40" i="49"/>
  <c r="I41" i="49" s="1"/>
  <c r="J38" i="8"/>
  <c r="J40" i="8" s="1"/>
  <c r="K40" i="8" s="1"/>
  <c r="I41" i="8" s="1"/>
  <c r="D89" i="2" l="1"/>
  <c r="D92" i="2" s="1"/>
  <c r="T117" i="7" l="1"/>
  <c r="E12" i="4" s="1"/>
  <c r="G12" i="4" l="1"/>
  <c r="E15" i="4"/>
  <c r="G15" i="4" l="1"/>
  <c r="G29" i="4" s="1"/>
  <c r="H162" i="1" s="1"/>
  <c r="E29" i="4"/>
  <c r="E43" i="4" s="1"/>
  <c r="E47" i="4" s="1"/>
  <c r="H164" i="1" l="1"/>
  <c r="H119" i="1"/>
  <c r="S70" i="7"/>
  <c r="H120" i="1" s="1"/>
  <c r="H250" i="1" l="1"/>
  <c r="H121" i="1"/>
  <c r="H144" i="1" l="1"/>
  <c r="H89" i="1" s="1"/>
  <c r="H91" i="1" s="1"/>
  <c r="H112" i="1" s="1"/>
  <c r="H114" i="1" s="1"/>
  <c r="H248" i="1"/>
  <c r="H245" i="1" l="1"/>
  <c r="H246" i="1"/>
  <c r="T134" i="7"/>
  <c r="H172" i="1" s="1"/>
  <c r="H176" i="1" s="1"/>
  <c r="H192" i="1" l="1"/>
  <c r="H193" i="1"/>
  <c r="H197" i="1" l="1"/>
  <c r="M16" i="46"/>
  <c r="M18" i="46" s="1"/>
  <c r="I16" i="46"/>
  <c r="I18" i="46" s="1"/>
  <c r="W16" i="46"/>
  <c r="W18" i="46" s="1"/>
  <c r="Q16" i="46"/>
  <c r="Q18" i="46" s="1"/>
  <c r="S16" i="46"/>
  <c r="S18" i="46" s="1"/>
  <c r="Y16" i="46"/>
  <c r="Y18" i="46" s="1"/>
  <c r="G16" i="46"/>
  <c r="G18" i="46" s="1"/>
  <c r="O16" i="46"/>
  <c r="O18" i="46" s="1"/>
  <c r="K16" i="46"/>
  <c r="K18" i="46" s="1"/>
  <c r="U16" i="46"/>
  <c r="U18" i="46" s="1"/>
  <c r="H205" i="1"/>
  <c r="H196" i="1"/>
  <c r="H195" i="1"/>
  <c r="H203" i="1" l="1"/>
  <c r="H204" i="1"/>
  <c r="E18" i="46"/>
  <c r="H281" i="1" s="1"/>
  <c r="H206" i="1" l="1"/>
  <c r="H208" i="1" s="1"/>
  <c r="H238" i="1"/>
  <c r="H239" i="1" l="1"/>
  <c r="H252" i="1" s="1"/>
  <c r="H251" i="1"/>
  <c r="H254" i="1" l="1"/>
  <c r="H272" i="1" l="1"/>
  <c r="H261" i="1"/>
  <c r="H262" i="1" l="1"/>
  <c r="H276" i="1"/>
  <c r="H274" i="1"/>
  <c r="H275" i="1"/>
  <c r="G14" i="47" l="1"/>
  <c r="G15" i="47" s="1"/>
  <c r="G19" i="47" s="1"/>
  <c r="Y14" i="47"/>
  <c r="Y15" i="47" s="1"/>
  <c r="Y19" i="47" s="1"/>
  <c r="M14" i="47"/>
  <c r="M15" i="47" s="1"/>
  <c r="M19" i="47" s="1"/>
  <c r="O14" i="47"/>
  <c r="O15" i="47" s="1"/>
  <c r="O19" i="47" s="1"/>
  <c r="S14" i="47"/>
  <c r="S15" i="47" s="1"/>
  <c r="S19" i="47" s="1"/>
  <c r="Q14" i="47"/>
  <c r="Q15" i="47" s="1"/>
  <c r="Q19" i="47" s="1"/>
  <c r="W14" i="47"/>
  <c r="W15" i="47" s="1"/>
  <c r="W19" i="47" s="1"/>
  <c r="K14" i="47"/>
  <c r="K15" i="47" s="1"/>
  <c r="K19" i="47" s="1"/>
  <c r="I14" i="47"/>
  <c r="I15" i="47" s="1"/>
  <c r="I19" i="47" s="1"/>
  <c r="I23" i="47" s="1"/>
  <c r="I28" i="47" s="1"/>
  <c r="U14" i="47"/>
  <c r="U15" i="47" s="1"/>
  <c r="U19" i="47" s="1"/>
  <c r="H267" i="1"/>
  <c r="H278" i="1" l="1"/>
  <c r="E19" i="47"/>
  <c r="E23" i="47" s="1"/>
  <c r="H282" i="1"/>
  <c r="G23" i="47"/>
  <c r="G28" i="47" s="1"/>
  <c r="M21" i="47" l="1"/>
  <c r="M23" i="47" s="1"/>
  <c r="M28" i="47" s="1"/>
  <c r="O21" i="47"/>
  <c r="O23" i="47" s="1"/>
  <c r="O28" i="47" s="1"/>
  <c r="Q21" i="47"/>
  <c r="Q23" i="47" s="1"/>
  <c r="Q28" i="47" s="1"/>
  <c r="K21" i="47"/>
  <c r="K23" i="47" s="1"/>
  <c r="K28" i="47" s="1"/>
  <c r="H284" i="1"/>
  <c r="H288" i="1" s="1"/>
  <c r="Y21" i="47"/>
  <c r="Y23" i="47" s="1"/>
  <c r="Y28" i="47" s="1"/>
  <c r="W21" i="47"/>
  <c r="W23" i="47" s="1"/>
  <c r="W28" i="47" s="1"/>
  <c r="S21" i="47"/>
  <c r="S23" i="47" s="1"/>
  <c r="S28" i="47" s="1"/>
  <c r="U21" i="47"/>
  <c r="U23" i="47" s="1"/>
  <c r="U28" i="47" s="1"/>
  <c r="E28" i="47" l="1"/>
  <c r="H290" i="1"/>
  <c r="H292" i="1" s="1"/>
  <c r="H291" i="1" l="1"/>
  <c r="H293" i="1"/>
  <c r="H294" i="1"/>
</calcChain>
</file>

<file path=xl/sharedStrings.xml><?xml version="1.0" encoding="utf-8"?>
<sst xmlns="http://schemas.openxmlformats.org/spreadsheetml/2006/main" count="2050" uniqueCount="1049">
  <si>
    <t>Dayton Power and Light</t>
  </si>
  <si>
    <t>ATTACHMENT H-15A, Effective April 17, 2024; Docket No. ER24-1268</t>
  </si>
  <si>
    <t xml:space="preserve">Projected for </t>
  </si>
  <si>
    <t>Formula Rate -- Appendix A (electric only)</t>
  </si>
  <si>
    <t>Notes</t>
  </si>
  <si>
    <t>Formula Rate Attachment Reference or Instruction</t>
  </si>
  <si>
    <t>12 Months Ended December 31, 2025</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</si>
  <si>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</si>
  <si>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</si>
  <si>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</si>
  <si>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</si>
  <si>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</si>
  <si>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</si>
  <si>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</si>
  <si>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</si>
  <si>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</si>
  <si>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</si>
  <si>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</si>
  <si>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</si>
  <si>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</si>
  <si>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</si>
  <si>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</si>
  <si>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</si>
  <si>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</si>
  <si>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</si>
  <si>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</si>
  <si>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</si>
  <si>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</si>
  <si>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</si>
  <si>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</si>
  <si>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</si>
  <si>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</si>
  <si>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</si>
  <si>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</si>
  <si>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</si>
  <si>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</si>
  <si>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</si>
  <si>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</si>
  <si>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</si>
  <si>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</si>
  <si>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</si>
  <si>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</si>
  <si>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</si>
  <si>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</si>
  <si>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</si>
  <si>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</si>
  <si>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</si>
  <si>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</si>
  <si>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</si>
  <si>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</si>
  <si>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</si>
  <si>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</si>
  <si>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</si>
  <si>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</si>
  <si>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</si>
  <si>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</si>
  <si>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</si>
  <si>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</si>
  <si>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</si>
  <si>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</si>
  <si>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</si>
  <si>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</si>
  <si>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</si>
  <si>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</si>
  <si>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</si>
  <si>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</si>
  <si>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</si>
  <si>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</si>
  <si>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</si>
  <si>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</si>
  <si>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</si>
  <si>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</si>
  <si>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</si>
  <si>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</si>
  <si>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</si>
  <si>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</si>
  <si>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</si>
  <si>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</si>
  <si>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</si>
  <si>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</si>
  <si>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</si>
  <si>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</si>
  <si>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</si>
  <si>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</si>
  <si>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</si>
  <si>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</si>
  <si>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</si>
  <si>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</si>
  <si>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</si>
  <si>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</si>
  <si>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</si>
  <si>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</si>
  <si>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</si>
  <si>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</si>
  <si>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</si>
  <si>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</si>
  <si>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</si>
  <si>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</si>
  <si>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</si>
  <si>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</si>
  <si>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</si>
  <si>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</si>
  <si>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</si>
  <si>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</si>
  <si>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</si>
  <si>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</si>
  <si>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</si>
  <si>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</si>
  <si>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</si>
  <si>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</si>
  <si>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</si>
  <si>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</si>
  <si>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</si>
  <si>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</si>
  <si>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</si>
  <si>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</si>
  <si>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</si>
  <si>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</si>
  <si>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</si>
  <si>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</si>
  <si>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</si>
  <si>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</si>
  <si>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</si>
  <si>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</si>
  <si>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</si>
  <si>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</si>
  <si>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</si>
  <si>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</si>
  <si>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</si>
  <si>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</si>
  <si>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</si>
  <si>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</si>
  <si>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</si>
  <si>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</si>
  <si>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</si>
  <si>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</si>
  <si>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</si>
  <si>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</si>
  <si>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</si>
  <si>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</si>
  <si>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</si>
  <si>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</si>
  <si>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</si>
  <si>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</si>
  <si>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</si>
  <si>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</si>
  <si>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</si>
  <si>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</si>
  <si>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</si>
  <si>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</si>
  <si>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</si>
  <si>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</si>
  <si>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</si>
  <si>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</si>
  <si>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</si>
  <si>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</si>
  <si>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</si>
  <si>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</si>
  <si>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</si>
  <si>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</si>
  <si>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</si>
  <si>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</si>
  <si>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</si>
  <si>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</si>
  <si>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</si>
  <si>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</si>
  <si>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</si>
  <si>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</si>
  <si>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</si>
  <si>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</si>
  <si>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</si>
  <si>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</si>
  <si>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</si>
  <si>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</si>
  <si>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</si>
  <si>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</si>
  <si>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</si>
  <si>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</si>
  <si>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</si>
  <si>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</si>
  <si>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</si>
  <si>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</si>
  <si>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</si>
  <si>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</si>
  <si>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</si>
  <si>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</si>
  <si>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</si>
  <si>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</si>
  <si>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</si>
  <si>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</si>
  <si>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</si>
  <si>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</si>
  <si>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</si>
  <si>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</si>
  <si>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</si>
  <si>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True-up amount (with Projected ATRR Only)</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</si>
  <si>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</si>
  <si>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</si>
  <si>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</si>
  <si>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</si>
  <si>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</si>
  <si>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</si>
  <si>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</si>
  <si>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</si>
  <si>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</si>
  <si>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</si>
  <si>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</si>
  <si>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</si>
  <si>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</si>
  <si>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</si>
  <si>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</si>
  <si>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</si>
  <si>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</si>
  <si>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</si>
  <si>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</si>
  <si>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</si>
  <si>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</si>
  <si>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</si>
  <si>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</si>
  <si>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</si>
  <si>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</si>
  <si>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</si>
  <si>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</si>
  <si>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</si>
  <si>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</si>
  <si>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</si>
  <si>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</si>
  <si>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</si>
  <si>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</si>
  <si>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</si>
  <si>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</si>
  <si>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</si>
  <si>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</si>
  <si>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</si>
  <si>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</si>
  <si>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</si>
  <si>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</si>
  <si>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</si>
  <si>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</si>
  <si>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</si>
  <si>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</si>
  <si>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</si>
  <si>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</si>
  <si>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</si>
  <si>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</si>
  <si>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</si>
  <si>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</si>
  <si>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</si>
  <si>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</si>
  <si>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</si>
  <si>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</si>
  <si>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</si>
  <si>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</si>
  <si>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</si>
  <si>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</si>
  <si>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</si>
  <si>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 xml:space="preserve">ATTACHMENT H-15A </t>
  </si>
  <si>
    <t>Attachment 1A - Accumulated Deferred Income Taxes (ADIT) Worksheet - Projected December 31, 2025</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</si>
  <si>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</si>
  <si>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</si>
  <si>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</si>
  <si>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</si>
  <si>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</si>
  <si>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</si>
  <si>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</si>
  <si>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</si>
  <si>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</si>
  <si>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</si>
  <si>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</si>
  <si>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</si>
  <si>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</si>
  <si>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</si>
  <si>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In filling out this attachment, a full and complete description of each item and justification for the allocation to Columns C-F and each separate ADIT item will be listed,</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</si>
  <si>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</si>
  <si>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</si>
  <si>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</si>
  <si>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</si>
  <si>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</si>
  <si>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</si>
  <si>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</si>
  <si>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</si>
  <si>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</si>
  <si>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</si>
  <si>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</si>
  <si>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</si>
  <si>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</si>
  <si>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</si>
  <si>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</si>
  <si>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</si>
  <si>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</si>
  <si>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</si>
  <si>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</si>
  <si>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</si>
  <si>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State and local taxes accrued on the listed temporary differences</t>
  </si>
  <si>
    <t>Incentive Bonus</t>
  </si>
  <si>
    <t>Net Operating Loss</t>
  </si>
  <si>
    <t xml:space="preserve">Net operating loss caryforward. </t>
  </si>
  <si>
    <t>Sec. 174 Capitalized Expenses</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</si>
  <si>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</si>
  <si>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</si>
  <si>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</si>
  <si>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</si>
  <si>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</si>
  <si>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</si>
  <si>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</si>
  <si>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</si>
  <si>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</si>
  <si>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</si>
  <si>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</si>
  <si>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</si>
  <si>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</si>
  <si>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</si>
  <si>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Tax and book differences resulting from accelerated tax depreciation .  Included in prorated amount.</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</si>
  <si>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</si>
  <si>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</si>
  <si>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</si>
  <si>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</si>
  <si>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</si>
  <si>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</si>
  <si>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</si>
  <si>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</si>
  <si>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</si>
  <si>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</si>
  <si>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</si>
  <si>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</si>
  <si>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</si>
  <si>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State Regulatory Assets and Liabilities</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</si>
  <si>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</si>
  <si>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</si>
  <si>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</si>
  <si>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</si>
  <si>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Other</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</si>
  <si>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</si>
  <si>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</si>
  <si>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</si>
  <si>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</si>
  <si>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</si>
  <si>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</si>
  <si>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</si>
  <si>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Attachment 1B - Accumulated Deferred Income Taxes - Prorated Projection - December 31, 2025</t>
  </si>
  <si>
    <t>Not used for actual ATRR calculations</t>
  </si>
  <si>
    <t>Debit amounts are shown as positive and credit amounts are shown as negative.</t>
  </si>
  <si>
    <t>Rate Year = 2024</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</si>
  <si>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</si>
  <si>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</si>
  <si>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</si>
  <si>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</si>
  <si>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</si>
  <si>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</si>
  <si>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</si>
  <si>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</si>
  <si>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</si>
  <si>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</si>
  <si>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</si>
  <si>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</si>
  <si>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</si>
  <si>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</si>
  <si>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</si>
  <si>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</si>
  <si>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</si>
  <si>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</si>
  <si>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</si>
  <si>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</si>
  <si>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</si>
  <si>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</si>
  <si>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</si>
  <si>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</si>
  <si>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</si>
  <si>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</si>
  <si>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</si>
  <si>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</si>
  <si>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</si>
  <si>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</si>
  <si>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</si>
  <si>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</si>
  <si>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</si>
  <si>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</si>
  <si>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</si>
  <si>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</si>
  <si>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</si>
  <si>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</si>
  <si>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</si>
  <si>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</si>
  <si>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</si>
  <si>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</si>
  <si>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</si>
  <si>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</si>
  <si>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</si>
  <si>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</si>
  <si>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</si>
  <si>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</si>
  <si>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</si>
  <si>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</si>
  <si>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</si>
  <si>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</si>
  <si>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</si>
  <si>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Capitalized Interest Income</t>
  </si>
  <si>
    <t>Tax capitalized interest on certain pollution control bonds</t>
  </si>
  <si>
    <t>Deferred Federal Taxes on CAT Tax Credit</t>
  </si>
  <si>
    <t>Deferred taxes a CAT (Commercial Activities Tax similar to a gross receipts tax) credit</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</si>
  <si>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</si>
  <si>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</si>
  <si>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</si>
  <si>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</si>
  <si>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</si>
  <si>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</si>
  <si>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Phase-in Deferral</t>
  </si>
  <si>
    <t>Miscellaneous book tax differences primarily related to non-utility activities</t>
  </si>
  <si>
    <t xml:space="preserve">Attachment 1D - Accumulated Deferred Income Taxes for Annual True-up - December 31, </t>
  </si>
  <si>
    <t>Not used in projections - see 1B - ADIT Proration</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</si>
  <si>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</si>
  <si>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</si>
  <si>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</si>
  <si>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</si>
  <si>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</si>
  <si>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</si>
  <si>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</si>
  <si>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</si>
  <si>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</si>
  <si>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</si>
  <si>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</si>
  <si>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</si>
  <si>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</si>
  <si>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</si>
  <si>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</si>
  <si>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</si>
  <si>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</si>
  <si>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</si>
  <si>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</si>
  <si>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</si>
  <si>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</si>
  <si>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</si>
  <si>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</si>
  <si>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Balance at 12/31/22 - T</t>
  </si>
  <si>
    <t>12/31/21 - T</t>
  </si>
  <si>
    <t>Balance at 12/31/22-G</t>
  </si>
  <si>
    <t>12/31/21 - G</t>
  </si>
  <si>
    <t>Balance at 12/31/22-P</t>
  </si>
  <si>
    <t>12/31/21-P</t>
  </si>
  <si>
    <t xml:space="preserve">Note 1:  The calculations for accelerated depreciation-related ADIT in the projected net revenue requirement and the ATU Adjustment will be performed in accordance with the proration requirements of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</si>
  <si>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</si>
  <si>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</si>
  <si>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</si>
  <si>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</si>
  <si>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Attachment 2 - Taxes Other Than Income - December 31, 2025</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</si>
  <si>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</si>
  <si>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</si>
  <si>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</si>
  <si>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</si>
  <si>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</si>
  <si>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</si>
  <si>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</si>
  <si>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</si>
  <si>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</si>
  <si>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</si>
  <si>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</si>
  <si>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</si>
  <si>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</si>
  <si>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</si>
  <si>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</si>
  <si>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</si>
  <si>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</si>
  <si>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</si>
  <si>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</si>
  <si>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Excluded Items</t>
  </si>
  <si>
    <t>kWh Excise - Unbilled</t>
  </si>
  <si>
    <t>kWh Excise - Billed</t>
  </si>
  <si>
    <t>Federal Income Tax</t>
  </si>
  <si>
    <t>Ohio Municipal Income Taxes</t>
  </si>
  <si>
    <t>Sales and Use Tax</t>
  </si>
  <si>
    <t>Heavy Vehicle Use Tax</t>
  </si>
  <si>
    <t>Ohio CAT Tax</t>
  </si>
  <si>
    <t>Subtotal, Excluded</t>
  </si>
  <si>
    <t>Total, Included and Excluded (Line 11 + Line 19)</t>
  </si>
  <si>
    <t>Total Other Taxes from p114.14.k</t>
  </si>
  <si>
    <t>Difference  (Line 20 - Line 21)</t>
  </si>
  <si>
    <t>Attachment 3 - Revenue Credits - December 31, 2025</t>
  </si>
  <si>
    <t>Account 451</t>
  </si>
  <si>
    <t>Comments</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</si>
  <si>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</si>
  <si>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</si>
  <si>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</si>
  <si>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</si>
  <si>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</si>
  <si>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</si>
  <si>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</si>
  <si>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</si>
  <si>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</si>
  <si>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</si>
  <si>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</si>
  <si>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</si>
  <si>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</si>
  <si>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</si>
  <si>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</si>
  <si>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</si>
  <si>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</si>
  <si>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</si>
  <si>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</si>
  <si>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</si>
  <si>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</si>
  <si>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</si>
  <si>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</si>
  <si>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</si>
  <si>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</si>
  <si>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</si>
  <si>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</si>
  <si>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6"/>
        <rFont val="Arial"/>
        <family val="2"/>
      </rPr>
      <t>Pacific Gas and Electric Company</t>
    </r>
    <r>
      <rPr>
        <sz val="16"/>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</si>
  <si>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Note 3</t>
  </si>
  <si>
    <t>DP&amp;L share of Schedule 7, Firm P2P Border Rate revenue</t>
  </si>
  <si>
    <t>Attachment 4 - Cost Support - December 31, 2025</t>
  </si>
  <si>
    <t>Plant Investment Support [excludes any Asset Retirement Obligations]</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</si>
  <si>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</si>
  <si>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</si>
  <si>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</si>
  <si>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</si>
  <si>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</si>
  <si>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</si>
  <si>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</si>
  <si>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</si>
  <si>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</si>
  <si>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</si>
  <si>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</si>
  <si>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</si>
  <si>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</si>
  <si>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</si>
  <si>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</si>
  <si>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</si>
  <si>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</si>
  <si>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</si>
  <si>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</si>
  <si>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</si>
  <si>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p200.8c</t>
  </si>
  <si>
    <t>Common Plant in Service - Electric</t>
  </si>
  <si>
    <t>p356</t>
  </si>
  <si>
    <t>p200.18c</t>
  </si>
  <si>
    <t>p200.21c/derived</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</si>
  <si>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</si>
  <si>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</si>
  <si>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</si>
  <si>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</si>
  <si>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</si>
  <si>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</si>
  <si>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</si>
  <si>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</si>
  <si>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</si>
  <si>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</si>
  <si>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</si>
  <si>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</si>
  <si>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</si>
  <si>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</si>
  <si>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</si>
  <si>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</si>
  <si>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</si>
  <si>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</si>
  <si>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</si>
  <si>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</si>
  <si>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</si>
  <si>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</si>
  <si>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</si>
  <si>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p214.2.d</t>
  </si>
  <si>
    <t>Prepayments - Total</t>
  </si>
  <si>
    <t>p111.57c</t>
  </si>
  <si>
    <t>Less:  Amounts Related to PUCO Proceedings</t>
  </si>
  <si>
    <t>Less:  Amounts Related to p-cards</t>
  </si>
  <si>
    <t>Less:  Amounts Related to PJM Credits in 2018</t>
  </si>
  <si>
    <t xml:space="preserve"> -   </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</si>
  <si>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</si>
  <si>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</si>
  <si>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</si>
  <si>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</si>
  <si>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</si>
  <si>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</si>
  <si>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</si>
  <si>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</si>
  <si>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</si>
  <si>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</si>
  <si>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</si>
  <si>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</si>
  <si>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</si>
  <si>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</si>
  <si>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</si>
  <si>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</si>
  <si>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</si>
  <si>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</si>
  <si>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</si>
  <si>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</si>
  <si>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</si>
  <si>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</si>
  <si>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</si>
  <si>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</si>
  <si>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</si>
  <si>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</si>
  <si>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</si>
  <si>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</si>
  <si>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</si>
  <si>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p350.c</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</si>
  <si>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</si>
  <si>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</si>
  <si>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</si>
  <si>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</si>
  <si>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</si>
  <si>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</si>
  <si>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</si>
  <si>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</si>
  <si>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</si>
  <si>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</si>
  <si>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</si>
  <si>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</si>
  <si>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</si>
  <si>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</si>
  <si>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</si>
  <si>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</si>
  <si>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</si>
  <si>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</si>
  <si>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</si>
  <si>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</si>
  <si>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</si>
  <si>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</si>
  <si>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</si>
  <si>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</si>
  <si>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</si>
  <si>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</si>
  <si>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</si>
  <si>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</si>
  <si>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</si>
  <si>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</si>
  <si>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</si>
  <si>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</si>
  <si>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</si>
  <si>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</si>
  <si>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</si>
  <si>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</si>
  <si>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</si>
  <si>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</si>
  <si>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</si>
  <si>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</si>
  <si>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</si>
  <si>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</si>
  <si>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</si>
  <si>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</si>
  <si>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</si>
  <si>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</si>
  <si>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</si>
  <si>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</si>
  <si>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</si>
  <si>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</si>
  <si>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</si>
  <si>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</si>
  <si>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</si>
  <si>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</si>
  <si>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</si>
  <si>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</si>
  <si>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</si>
  <si>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</si>
  <si>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</si>
  <si>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</si>
  <si>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</si>
  <si>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</si>
  <si>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</si>
  <si>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</si>
  <si>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</si>
  <si>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</si>
  <si>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</si>
  <si>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</si>
  <si>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</si>
  <si>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</si>
  <si>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</si>
  <si>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</si>
  <si>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</si>
  <si>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</si>
  <si>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p336.7f</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</si>
  <si>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</si>
  <si>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</si>
  <si>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</si>
  <si>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</si>
  <si>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</si>
  <si>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</si>
  <si>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</si>
  <si>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</si>
  <si>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</si>
  <si>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</si>
  <si>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</si>
  <si>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</si>
  <si>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</si>
  <si>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</si>
  <si>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</si>
  <si>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</si>
  <si>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</si>
  <si>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</si>
  <si>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</si>
  <si>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</si>
  <si>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</si>
  <si>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(Workpaper 9)</t>
  </si>
  <si>
    <t>182.3/254</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</si>
  <si>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</si>
  <si>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</si>
  <si>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</si>
  <si>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</si>
  <si>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</si>
  <si>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</si>
  <si>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</si>
  <si>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</si>
  <si>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</si>
  <si>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</si>
  <si>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</si>
  <si>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</si>
  <si>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</si>
  <si>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</si>
  <si>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</si>
  <si>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(Workpaper 10)</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</si>
  <si>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</si>
  <si>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</si>
  <si>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</si>
  <si>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</si>
  <si>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</si>
  <si>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</si>
  <si>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</si>
  <si>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</si>
  <si>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</si>
  <si>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Attachment 5 - CWIP in Rate Base - December 31, 2025</t>
  </si>
  <si>
    <t>Current Year</t>
  </si>
  <si>
    <t>Information Added for CWIP Report</t>
  </si>
  <si>
    <t>Approved for Inclusion</t>
  </si>
  <si>
    <t xml:space="preserve">Dec </t>
  </si>
  <si>
    <t>Dec</t>
  </si>
  <si>
    <t>Estimated In-Service Date</t>
  </si>
  <si>
    <t>Projects</t>
  </si>
  <si>
    <t>Yes</t>
  </si>
  <si>
    <t>Lewisburg - new 138 kV Line New Westville-AEP Hodgin</t>
  </si>
  <si>
    <t>Lewisburg - new 138 kV Line New Westville-West Manchester</t>
  </si>
  <si>
    <t>Lewisburg- West Manchester 138 kV Substation Expansion</t>
  </si>
  <si>
    <t>Amsterdam - Amsterdam to West Moulton 138 kV Improvements</t>
  </si>
  <si>
    <t>Amsterdam - Substation Expansion</t>
  </si>
  <si>
    <t>Marysville - Upgrades to Marysville Substation</t>
  </si>
  <si>
    <t>Attachment 6A - True-up Adjustment for Network Integration Transmission Service - December 31, 2025</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</si>
  <si>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</si>
  <si>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</si>
  <si>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</si>
  <si>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</si>
  <si>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</si>
  <si>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</si>
  <si>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</si>
  <si>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</si>
  <si>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</si>
  <si>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</si>
  <si>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</si>
  <si>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</si>
  <si>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</si>
  <si>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</si>
  <si>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</si>
  <si>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</si>
  <si>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</si>
  <si>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</si>
  <si>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</si>
  <si>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</si>
  <si>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</si>
  <si>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</si>
  <si>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</si>
  <si>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</si>
  <si>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</si>
  <si>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</si>
  <si>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</si>
  <si>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</si>
  <si>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</si>
  <si>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</si>
  <si>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</si>
  <si>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</si>
  <si>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</si>
  <si>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Interest Rate True-up (Note 1)</t>
  </si>
  <si>
    <t>Where:</t>
  </si>
  <si>
    <t>i = average interest rate as calculated below</t>
  </si>
  <si>
    <t>Interest on Amount of Refunds or Surcharges</t>
  </si>
  <si>
    <t xml:space="preserve">Actual </t>
  </si>
  <si>
    <t>Monthly</t>
  </si>
  <si>
    <t>Year 1</t>
  </si>
  <si>
    <t>Year 2</t>
  </si>
  <si>
    <t>Year 3</t>
  </si>
  <si>
    <t>Note 1:  Use Workpaper 6A - NITS True-up to determine ATU with actual interest rates and include interest rate true-up adjustment with subsequent ATU adjustment.</t>
  </si>
  <si>
    <t>Attachment 6B - True-up Adjustment for Schedule 12 Projects (Transmission Enhancement Charges) - December 31, 2025</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</si>
  <si>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</si>
  <si>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</si>
  <si>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</si>
  <si>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</si>
  <si>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Note 1:  Use Workpaper 6B - Schedule 12 True-up to determine ATU with actual interest rates and include interest rate true-up adjustment with subsequent ATU adjustment.</t>
  </si>
  <si>
    <t>Attachment 7A - ROE Adder for Projects - December 31, 2025</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</si>
  <si>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</si>
  <si>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</si>
  <si>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</si>
  <si>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</si>
  <si>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</si>
  <si>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</si>
  <si>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</si>
  <si>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</si>
  <si>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</si>
  <si>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</si>
  <si>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</si>
  <si>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</si>
  <si>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</si>
  <si>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</si>
  <si>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</si>
  <si>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</si>
  <si>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Attachment 7B - Revenue Requirement of Schedule 12 Projects - December 31, 2025</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</si>
  <si>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</si>
  <si>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</si>
  <si>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</si>
  <si>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</si>
  <si>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</si>
  <si>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</si>
  <si>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</si>
  <si>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</si>
  <si>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</si>
  <si>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Schedule 12 Annual True-Up Adjustment Plus Correction</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</si>
  <si>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</si>
  <si>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</si>
  <si>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</si>
  <si>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</si>
  <si>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</si>
  <si>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</si>
  <si>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Months (see Corrections Tab)</t>
  </si>
  <si>
    <t>Interest Amount</t>
  </si>
  <si>
    <t>Total Correction Plus Interest</t>
  </si>
  <si>
    <t>FERC Interest Rate</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</si>
  <si>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</si>
  <si>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</si>
  <si>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</si>
  <si>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</si>
  <si>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</si>
  <si>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</si>
  <si>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</si>
  <si>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</si>
  <si>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</si>
  <si>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</si>
  <si>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</si>
  <si>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</si>
  <si>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</si>
  <si>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</si>
  <si>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 (determined in a Public Utilities Commission of Ohio proceeding and using data as of December 31, 2014)</t>
  </si>
  <si>
    <t>Franchises and Consents</t>
  </si>
  <si>
    <t>Intangible Plant</t>
  </si>
  <si>
    <t>Structures and Improvements - Other</t>
  </si>
  <si>
    <t>Structures and Improvements - McGregor</t>
  </si>
  <si>
    <t>362.1/391</t>
  </si>
  <si>
    <t>Office Furniture and Equipment</t>
  </si>
  <si>
    <t>Computer Equipment</t>
  </si>
  <si>
    <t>362.2/392</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</si>
  <si>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</si>
  <si>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</si>
  <si>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</si>
  <si>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</si>
  <si>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</si>
  <si>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</si>
  <si>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</si>
  <si>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</si>
  <si>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362.7/397.2</t>
  </si>
  <si>
    <t>Communication Equipment</t>
  </si>
  <si>
    <t>Miscellaneous Equipment</t>
  </si>
  <si>
    <t>Other Tangible Property</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</si>
  <si>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</si>
  <si>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</si>
  <si>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Attachment 9 - Excess Accumulated Deferred Income Taxes - December 31, 2025</t>
  </si>
  <si>
    <t>Resulting from Income Tax Rate Changes (Note C and D)</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</si>
  <si>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</si>
  <si>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</si>
  <si>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</si>
  <si>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</si>
  <si>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</si>
  <si>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</si>
  <si>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</si>
  <si>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</si>
  <si>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</si>
  <si>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</si>
  <si>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</si>
  <si>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</si>
  <si>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</si>
  <si>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</si>
  <si>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</si>
  <si>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</si>
  <si>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</si>
  <si>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</si>
  <si>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</si>
  <si>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</si>
  <si>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</si>
  <si>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</si>
  <si>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</si>
  <si>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</si>
  <si>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</si>
  <si>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</si>
  <si>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</si>
  <si>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</si>
  <si>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</si>
  <si>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</si>
  <si>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</si>
  <si>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</si>
  <si>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</si>
  <si>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</si>
  <si>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</si>
  <si>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</si>
  <si>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</si>
  <si>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</si>
  <si>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</si>
  <si>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</si>
  <si>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</si>
  <si>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</si>
  <si>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</si>
  <si>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</si>
  <si>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</si>
  <si>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</si>
  <si>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</si>
  <si>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</si>
  <si>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</si>
  <si>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</si>
  <si>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</si>
  <si>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</si>
  <si>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</si>
  <si>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</si>
  <si>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</si>
  <si>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</si>
  <si>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</si>
  <si>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</si>
  <si>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</si>
  <si>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</si>
  <si>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</si>
  <si>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</si>
  <si>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</si>
  <si>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</si>
  <si>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</si>
  <si>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</si>
  <si>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</si>
  <si>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</si>
  <si>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</si>
  <si>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</si>
  <si>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</si>
  <si>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</si>
  <si>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</si>
  <si>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</si>
  <si>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</si>
  <si>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</si>
  <si>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</si>
  <si>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</si>
  <si>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</si>
  <si>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</si>
  <si>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</si>
  <si>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</si>
  <si>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</si>
  <si>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</si>
  <si>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</si>
  <si>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</si>
  <si>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</si>
  <si>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</si>
  <si>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</si>
  <si>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</si>
  <si>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</si>
  <si>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</si>
  <si>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</si>
  <si>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</si>
  <si>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Attachment 10 - Miscellaneous Current and Accrued Liabilities</t>
  </si>
  <si>
    <t>Account 242 - Current Year</t>
  </si>
  <si>
    <t>Wage</t>
  </si>
  <si>
    <t>Plant</t>
  </si>
  <si>
    <t xml:space="preserve">Form 1 Dec </t>
  </si>
  <si>
    <t>Categories of Items</t>
  </si>
  <si>
    <t>Payroll Accrual</t>
  </si>
  <si>
    <t>Benefits</t>
  </si>
  <si>
    <t>Energy Suppliers</t>
  </si>
  <si>
    <t>Total Transmission Allocation</t>
  </si>
  <si>
    <t>Attachment 11 - Corrections - December 31, 2025</t>
  </si>
  <si>
    <t>Calendar Year</t>
  </si>
  <si>
    <t>Revenue</t>
  </si>
  <si>
    <t>Impact of</t>
  </si>
  <si>
    <t>No.</t>
  </si>
  <si>
    <t>Source</t>
  </si>
  <si>
    <t>Correction</t>
  </si>
  <si>
    <t>Requirement</t>
  </si>
  <si>
    <t>Filing Name and Date</t>
  </si>
  <si>
    <t>Original Revenue Requirement</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</si>
  <si>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</si>
  <si>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</si>
  <si>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</si>
  <si>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</si>
  <si>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</si>
  <si>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</si>
  <si>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</si>
  <si>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</si>
  <si>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</si>
  <si>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</si>
  <si>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</si>
  <si>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</si>
  <si>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Attachment 12 - Schedule 1A</t>
  </si>
  <si>
    <t>January through December 2025</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</si>
  <si>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</si>
  <si>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</si>
  <si>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</si>
  <si>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</si>
  <si>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</si>
  <si>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</si>
  <si>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</si>
  <si>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</si>
  <si>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</si>
  <si>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</si>
  <si>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Revenue Credit from Schedule 1 Border Rate Transactions</t>
  </si>
  <si>
    <t>Data provided by PJM</t>
  </si>
  <si>
    <t>MWHs</t>
  </si>
  <si>
    <t>From 2023 LT Forecast Report to PUCO, page FE-D1 2, reporting 2023 data - total end user consumption</t>
  </si>
  <si>
    <t>Schedule 1A Rate per MWH</t>
  </si>
  <si>
    <t>Attachment 13 - Administrative and General Expense Detail</t>
  </si>
  <si>
    <t>December 31, 2025</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</si>
  <si>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</si>
  <si>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</si>
  <si>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</si>
  <si>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</si>
  <si>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</si>
  <si>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</si>
  <si>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</si>
  <si>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</si>
  <si>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</si>
  <si>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</si>
  <si>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</si>
  <si>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 xml:space="preserve">   </t>
  </si>
  <si>
    <t>Regulatory commission expenses</t>
  </si>
  <si>
    <t>Duplicate charges</t>
  </si>
  <si>
    <t>General advertising</t>
  </si>
  <si>
    <t>Miscellaneous general expenses</t>
  </si>
  <si>
    <t>Rents</t>
  </si>
  <si>
    <t>Maintenance of general plant</t>
  </si>
  <si>
    <t>Status as of September 2024</t>
  </si>
  <si>
    <t>Under construction</t>
  </si>
  <si>
    <t>Correction to A&amp;G</t>
  </si>
  <si>
    <t>Includes interest rate true-up for May 3, 2020 through December 2022</t>
  </si>
  <si>
    <t>Creekside - Millcreek to Creekside</t>
  </si>
  <si>
    <t>Creekside - Eldean to Creekside</t>
  </si>
  <si>
    <t xml:space="preserve"> Project halted</t>
  </si>
  <si>
    <t>WBS #</t>
  </si>
  <si>
    <t>TUSDY.01.05.0101</t>
  </si>
  <si>
    <t>TUSDY.01.05.0100</t>
  </si>
  <si>
    <t>TUSDY.01.05.0136</t>
  </si>
  <si>
    <t>TUSDY.01.05.0034</t>
  </si>
  <si>
    <t>TUSDY.01.05.0047</t>
  </si>
  <si>
    <t>TUSDY.01.09.009</t>
  </si>
  <si>
    <t>TUDSY.01.09.0010</t>
  </si>
  <si>
    <t>TUSDY.01.05.0155</t>
  </si>
  <si>
    <t>Correction to CWIP in Rate Base</t>
  </si>
  <si>
    <t>2022 A&amp;G</t>
  </si>
  <si>
    <t>2023 CWIP in Rate Base</t>
  </si>
  <si>
    <t>Average July 2023 to June 2025</t>
  </si>
  <si>
    <t>Averge July 2023-June 2025</t>
  </si>
  <si>
    <t>Schedule 12 Portion</t>
  </si>
  <si>
    <t>Dayton Zone Portion</t>
  </si>
  <si>
    <t>Linked to Amount on Tab 11 after deducting Schedule 12 impacts</t>
  </si>
  <si>
    <t xml:space="preserve">Line 15 totals equal sum of Lines 1-14 (which are 2023 actual values) plus an adjustment that results in the 2025 projection.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</si>
</sst>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_(* #,##0.00000_);_(* \(#,##0.00000\);_(* &quot;-&quot;??_);_(@_)"/>
    <numFmt numFmtId="174" formatCode="#,##0.0"/>
    <numFmt numFmtId="175" formatCode="0_);\(0\)"/>
    <numFmt numFmtId="176" formatCode="#,##0.0000000000000"/>
    <numFmt numFmtId="177" formatCode="0.0_);\(0.0\)"/>
    <numFmt numFmtId="178" formatCode="_(&quot;$&quot;* #,##0.0000_);_(&quot;$&quot;* \(#,##0.0000\);_(&quot;$&quot;* &quot;-&quot;??_);_(@_)"/>
    <numFmt numFmtId="179" formatCode="[$-409]mmmm\ d\,\ yyyy;@"/>
  </numFmts>
  <fonts count="46" x14ac:knownFonts="1">
    <font>
      <sz val="10"/>
      <name val="Arial"/>
    </font>
    <font>
      <b/>
      <sz val="16"/>
      <color indexed="10"/>
      <name val="Arial"/>
      <family val="2"/>
    </font>
    <font>
      <b/>
      <sz val="16"/>
      <name val="Arial"/>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u/>
      <sz val="16"/>
      <name val="Arial"/>
      <family val="2"/>
    </font>
    <font>
      <b/>
      <i/>
      <sz val="16"/>
      <name val="Arial"/>
      <family val="2"/>
    </font>
    <font>
      <sz val="8"/>
      <name val="Arial"/>
      <family val="2"/>
    </font>
    <font>
      <b/>
      <sz val="16"/>
      <color rgb="FFFF0000"/>
      <name val="Arial"/>
      <family val="2"/>
    </font>
    <font>
      <sz val="16"/>
      <color rgb="FFFF0000"/>
      <name val="Arial"/>
      <family val="2"/>
    </font>
    <font>
      <sz val="16"/>
      <color rgb="FF0070C0"/>
      <name val="Arial"/>
      <family val="2"/>
    </font>
    <font>
      <sz val="16"/>
      <color theme="1"/>
      <name val="Arial"/>
      <family val="2"/>
    </font>
    <font>
      <u val="singleAccounting"/>
      <sz val="16"/>
      <name val="Arial"/>
      <family val="2"/>
    </font>
    <font>
      <b/>
      <sz val="16"/>
      <color theme="1"/>
      <name val="Arial"/>
      <family val="2"/>
    </font>
    <font>
      <b/>
      <sz val="16"/>
      <color rgb="FF000000"/>
      <name val="Arial"/>
      <family val="2"/>
    </font>
    <font>
      <sz val="16"/>
      <color rgb="FF000000"/>
      <name val="Arial"/>
      <family val="2"/>
    </font>
    <font>
      <b/>
      <sz val="16"/>
      <color indexed="14"/>
      <name val="Arial"/>
      <family val="2"/>
    </font>
    <font>
      <b/>
      <i/>
      <sz val="16"/>
      <color indexed="10"/>
      <name val="Arial"/>
      <family val="2"/>
    </font>
    <font>
      <i/>
      <u/>
      <sz val="16"/>
      <name val="Arial"/>
      <family val="2"/>
    </font>
    <font>
      <u/>
      <sz val="16"/>
      <color indexed="10"/>
      <name val="Arial"/>
      <family val="2"/>
    </font>
    <font>
      <b/>
      <u/>
      <sz val="16"/>
      <color indexed="10"/>
      <name val="Arial"/>
      <family val="2"/>
    </font>
    <font>
      <vertAlign val="superscript"/>
      <sz val="16"/>
      <name val="Arial"/>
      <family val="2"/>
    </font>
    <font>
      <u/>
      <vertAlign val="superscript"/>
      <sz val="16"/>
      <name val="Arial"/>
      <family val="2"/>
    </font>
    <font>
      <sz val="16"/>
      <name val="Times New Roman"/>
      <family val="1"/>
    </font>
    <font>
      <b/>
      <sz val="16"/>
      <name val="Times New Roman"/>
      <family val="1"/>
    </font>
    <font>
      <sz val="16"/>
      <color rgb="FF0000FF"/>
      <name val="Arial"/>
      <family val="2"/>
    </font>
    <font>
      <sz val="16"/>
      <color rgb="FFD60093"/>
      <name val="Arial"/>
      <family val="2"/>
    </font>
    <font>
      <sz val="10"/>
      <name val="Arial"/>
      <family val="2"/>
    </font>
    <font>
      <sz val="12"/>
      <name val="Arial"/>
      <family val="2"/>
    </font>
    <font>
      <sz val="12"/>
      <color theme="1"/>
      <name val="Arial"/>
      <family val="2"/>
    </font>
    <font>
      <sz val="10"/>
      <name val="Arial"/>
      <family val="2"/>
    </font>
    <font>
      <u/>
      <sz val="12"/>
      <name val="Arial"/>
      <family val="2"/>
    </font>
    <font>
      <sz val="12"/>
      <color rgb="FF000000"/>
      <name val="Arial"/>
      <family val="2"/>
    </font>
    <font>
      <b/>
      <sz val="12"/>
      <color rgb="FF000000"/>
      <name val="Arial"/>
      <family val="2"/>
    </font>
    <font>
      <u val="singleAccounting"/>
      <sz val="12"/>
      <name val="Arial"/>
      <family val="2"/>
    </font>
    <font>
      <b/>
      <sz val="12"/>
      <name val="Arial"/>
      <family val="2"/>
    </font>
    <font>
      <sz val="12"/>
      <color rgb="FF0070C0"/>
      <name val="Arial"/>
      <family val="2"/>
    </font>
    <font>
      <sz val="16"/>
      <color rgb="FF7030A0"/>
      <name val="Arial"/>
      <family val="2"/>
    </font>
    <font>
      <b/>
      <sz val="12"/>
      <color rgb="FFFF0000"/>
      <name val="Arial"/>
      <family val="2"/>
    </font>
  </fonts>
  <fills count="15">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99"/>
        <bgColor rgb="FF000000"/>
      </patternFill>
    </fill>
    <fill>
      <patternFill patternType="solid">
        <fgColor theme="3" tint="0.79998168889431442"/>
        <bgColor indexed="64"/>
      </patternFill>
    </fill>
    <fill>
      <patternFill patternType="solid">
        <fgColor theme="4" tint="0.59999389629810485"/>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
      <left style="medium">
        <color indexed="64"/>
      </left>
      <right style="thin">
        <color indexed="64"/>
      </right>
      <top style="thin">
        <color indexed="64"/>
      </top>
      <bottom style="medium">
        <color indexed="64"/>
      </bottom>
      <diagonal/>
    </border>
    <border>
      <left/>
      <right style="medium">
        <color rgb="FF000000"/>
      </right>
      <top/>
      <bottom/>
      <diagonal/>
    </border>
    <border>
      <left style="medium">
        <color rgb="FF000000"/>
      </left>
      <right/>
      <top/>
      <bottom style="medium">
        <color auto="1"/>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thin">
        <color indexed="64"/>
      </bottom>
      <diagonal/>
    </border>
  </borders>
  <cellStyleXfs count="6">
    <xf numFmtId="0" fontId="0" fillId="0" borderId="0"/>
    <xf numFmtId="43" fontId="34" fillId="0" borderId="0" applyFont="0" applyFill="0" applyBorder="0" applyAlignment="0" applyProtection="0"/>
    <xf numFmtId="41" fontId="34" fillId="0" borderId="0"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xf numFmtId="0" fontId="37" fillId="0" borderId="0"/>
  </cellStyleXfs>
  <cellXfs count="689">
    <xf numFmtId="0" fontId="0" fillId="0" borderId="0" xfId="0"/>
    <xf numFmtId="3" fontId="3" fillId="8" borderId="0" xfId="0" applyNumberFormat="1" applyFont="1" applyFill="1" applyAlignment="1">
      <alignment wrapText="1"/>
    </xf>
    <xf numFmtId="164" fontId="3" fillId="8" borderId="0" xfId="0" applyNumberFormat="1" applyFont="1" applyFill="1" applyAlignment="1">
      <alignment wrapText="1"/>
    </xf>
    <xf numFmtId="0" fontId="3" fillId="8" borderId="0" xfId="0" applyFont="1" applyFill="1" applyAlignment="1">
      <alignment horizontal="left" wrapText="1"/>
    </xf>
    <xf numFmtId="37" fontId="2" fillId="0" borderId="45" xfId="0" applyNumberFormat="1" applyFont="1" applyBorder="1" applyAlignment="1">
      <alignment horizontal="center"/>
    </xf>
    <xf numFmtId="0" fontId="2" fillId="7" borderId="45" xfId="0" applyFont="1" applyFill="1" applyBorder="1" applyAlignment="1">
      <alignment horizontal="center"/>
    </xf>
    <xf numFmtId="1" fontId="33" fillId="0" borderId="0" xfId="0" applyNumberFormat="1" applyFont="1"/>
    <xf numFmtId="0" fontId="12" fillId="0" borderId="0" xfId="0" applyFont="1" applyAlignment="1">
      <alignment horizontal="center" wrapText="1"/>
    </xf>
    <xf numFmtId="178" fontId="3" fillId="0" borderId="0" xfId="0" applyNumberFormat="1" applyFont="1"/>
    <xf numFmtId="166" fontId="3" fillId="8" borderId="0" xfId="0" applyNumberFormat="1" applyFont="1" applyFill="1"/>
    <xf numFmtId="0" fontId="30" fillId="0" borderId="0" xfId="0" applyFont="1" applyAlignment="1">
      <alignment vertical="top" wrapText="1"/>
    </xf>
    <xf numFmtId="0" fontId="3" fillId="8" borderId="0" xfId="0" applyFont="1" applyFill="1" applyAlignment="1">
      <alignment vertical="center"/>
    </xf>
    <xf numFmtId="3" fontId="32" fillId="8" borderId="0" xfId="0" applyNumberFormat="1" applyFont="1" applyFill="1"/>
    <xf numFmtId="37" fontId="3" fillId="0" borderId="0" xfId="0" applyNumberFormat="1" applyFont="1" applyAlignment="1">
      <alignment horizontal="center" vertical="top"/>
    </xf>
    <xf numFmtId="0" fontId="3" fillId="8" borderId="0" xfId="0" quotePrefix="1" applyFont="1" applyFill="1" applyAlignment="1">
      <alignment horizontal="center"/>
    </xf>
    <xf numFmtId="0" fontId="30" fillId="0" borderId="0" xfId="0" applyFont="1" applyAlignment="1">
      <alignment horizontal="centerContinuous"/>
    </xf>
    <xf numFmtId="0" fontId="31" fillId="0" borderId="0" xfId="0" applyFont="1" applyAlignment="1">
      <alignment horizontal="centerContinuous"/>
    </xf>
    <xf numFmtId="0" fontId="30" fillId="0" borderId="0" xfId="0" applyFont="1"/>
    <xf numFmtId="170" fontId="12" fillId="0" borderId="0" xfId="0" applyNumberFormat="1" applyFont="1"/>
    <xf numFmtId="0" fontId="2" fillId="10" borderId="8" xfId="0" applyFont="1" applyFill="1" applyBorder="1" applyAlignment="1">
      <alignment horizontal="center"/>
    </xf>
    <xf numFmtId="0" fontId="2" fillId="10" borderId="5" xfId="0" applyFont="1" applyFill="1" applyBorder="1" applyAlignment="1">
      <alignment horizontal="center"/>
    </xf>
    <xf numFmtId="0" fontId="2" fillId="7" borderId="10" xfId="0" applyFont="1" applyFill="1" applyBorder="1" applyAlignment="1">
      <alignment horizontal="center"/>
    </xf>
    <xf numFmtId="0" fontId="2" fillId="10" borderId="23" xfId="0" applyFont="1" applyFill="1" applyBorder="1" applyAlignment="1">
      <alignment horizontal="center"/>
    </xf>
    <xf numFmtId="0" fontId="2" fillId="10" borderId="7" xfId="0" applyFont="1" applyFill="1" applyBorder="1" applyAlignment="1">
      <alignment horizontal="center"/>
    </xf>
    <xf numFmtId="0" fontId="3" fillId="10" borderId="6" xfId="0" applyFont="1" applyFill="1" applyBorder="1"/>
    <xf numFmtId="0" fontId="3" fillId="0" borderId="3" xfId="0" applyFont="1" applyBorder="1" applyAlignment="1">
      <alignment horizontal="center" wrapText="1"/>
    </xf>
    <xf numFmtId="2" fontId="3" fillId="0" borderId="0" xfId="0" applyNumberFormat="1" applyFont="1" applyAlignment="1">
      <alignment horizontal="left"/>
    </xf>
    <xf numFmtId="0" fontId="3" fillId="0" borderId="0" xfId="0" applyFont="1" applyAlignment="1">
      <alignment horizontal="left"/>
    </xf>
    <xf numFmtId="0" fontId="3" fillId="0" borderId="0" xfId="0" quotePrefix="1" applyFont="1"/>
    <xf numFmtId="177" fontId="3" fillId="0" borderId="0" xfId="0" applyNumberFormat="1" applyFont="1" applyAlignment="1">
      <alignment horizontal="left"/>
    </xf>
    <xf numFmtId="175" fontId="12" fillId="0" borderId="0" xfId="0" applyNumberFormat="1" applyFont="1" applyAlignment="1">
      <alignment horizontal="left"/>
    </xf>
    <xf numFmtId="9" fontId="3" fillId="0" borderId="0" xfId="0" applyNumberFormat="1" applyFont="1"/>
    <xf numFmtId="10" fontId="3" fillId="0" borderId="0" xfId="0" applyNumberFormat="1" applyFont="1" applyAlignment="1">
      <alignment horizontal="center"/>
    </xf>
    <xf numFmtId="171" fontId="3" fillId="0" borderId="0" xfId="0" applyNumberFormat="1" applyFont="1" applyAlignment="1">
      <alignment horizontal="center"/>
    </xf>
    <xf numFmtId="175" fontId="3" fillId="0" borderId="0" xfId="0" applyNumberFormat="1" applyFont="1" applyAlignment="1">
      <alignment horizontal="left"/>
    </xf>
    <xf numFmtId="171" fontId="2" fillId="0" borderId="0" xfId="0" applyNumberFormat="1" applyFont="1" applyAlignment="1">
      <alignment horizontal="center"/>
    </xf>
    <xf numFmtId="179" fontId="2" fillId="8" borderId="0" xfId="0" applyNumberFormat="1" applyFont="1" applyFill="1" applyAlignment="1">
      <alignment horizontal="center"/>
    </xf>
    <xf numFmtId="17" fontId="3" fillId="8" borderId="0" xfId="0" applyNumberFormat="1" applyFont="1" applyFill="1"/>
    <xf numFmtId="164" fontId="3" fillId="8" borderId="3" xfId="0" applyNumberFormat="1" applyFont="1" applyFill="1" applyBorder="1"/>
    <xf numFmtId="0" fontId="3" fillId="8" borderId="0" xfId="0" applyFont="1" applyFill="1" applyAlignment="1">
      <alignment wrapText="1"/>
    </xf>
    <xf numFmtId="0" fontId="12" fillId="8" borderId="0" xfId="0" applyFont="1" applyFill="1" applyAlignment="1">
      <alignment horizontal="center"/>
    </xf>
    <xf numFmtId="172" fontId="3" fillId="0" borderId="0" xfId="0" applyNumberFormat="1" applyFont="1"/>
    <xf numFmtId="164" fontId="3" fillId="0" borderId="0" xfId="0" applyNumberFormat="1" applyFont="1" applyAlignment="1">
      <alignment horizontal="center"/>
    </xf>
    <xf numFmtId="176" fontId="3" fillId="0" borderId="0" xfId="0" applyNumberFormat="1" applyFont="1" applyAlignment="1">
      <alignment horizontal="center"/>
    </xf>
    <xf numFmtId="4" fontId="3" fillId="0" borderId="0" xfId="0" applyNumberFormat="1" applyFont="1"/>
    <xf numFmtId="171" fontId="3" fillId="5" borderId="0" xfId="0" applyNumberFormat="1" applyFont="1" applyFill="1" applyProtection="1">
      <protection locked="0"/>
    </xf>
    <xf numFmtId="164" fontId="19" fillId="0" borderId="0" xfId="0" applyNumberFormat="1" applyFont="1" applyAlignment="1">
      <alignment horizontal="center"/>
    </xf>
    <xf numFmtId="165" fontId="12" fillId="0" borderId="0" xfId="0" applyNumberFormat="1" applyFont="1"/>
    <xf numFmtId="3" fontId="12" fillId="5" borderId="0" xfId="0" applyNumberFormat="1" applyFont="1" applyFill="1" applyProtection="1">
      <protection locked="0"/>
    </xf>
    <xf numFmtId="0" fontId="3" fillId="0" borderId="0" xfId="0" applyFont="1" applyProtection="1">
      <protection locked="0"/>
    </xf>
    <xf numFmtId="0" fontId="29" fillId="0" borderId="0" xfId="0" applyFont="1" applyAlignment="1">
      <alignment horizontal="center"/>
    </xf>
    <xf numFmtId="0" fontId="28" fillId="0" borderId="0" xfId="0" applyFont="1" applyAlignment="1">
      <alignment horizontal="center"/>
    </xf>
    <xf numFmtId="173" fontId="3" fillId="0" borderId="0" xfId="0" applyNumberFormat="1" applyFont="1"/>
    <xf numFmtId="0" fontId="3" fillId="0" borderId="45" xfId="0" applyFont="1" applyBorder="1" applyAlignment="1">
      <alignment horizontal="center"/>
    </xf>
    <xf numFmtId="17" fontId="3" fillId="8" borderId="14" xfId="0" applyNumberFormat="1" applyFont="1" applyFill="1" applyBorder="1" applyAlignment="1">
      <alignment horizontal="center"/>
    </xf>
    <xf numFmtId="3" fontId="3" fillId="8" borderId="19" xfId="0" applyNumberFormat="1" applyFont="1" applyFill="1" applyBorder="1"/>
    <xf numFmtId="3" fontId="3" fillId="0" borderId="30" xfId="0" applyNumberFormat="1" applyFont="1" applyBorder="1"/>
    <xf numFmtId="0" fontId="3" fillId="0" borderId="7" xfId="0" applyFont="1" applyBorder="1" applyAlignment="1">
      <alignment horizontal="center"/>
    </xf>
    <xf numFmtId="0" fontId="2" fillId="7" borderId="10" xfId="0" applyFont="1" applyFill="1" applyBorder="1" applyAlignment="1">
      <alignment horizontal="center" wrapText="1"/>
    </xf>
    <xf numFmtId="0" fontId="2" fillId="7" borderId="1" xfId="0" applyFont="1" applyFill="1" applyBorder="1" applyAlignment="1">
      <alignment horizontal="center" wrapText="1"/>
    </xf>
    <xf numFmtId="0" fontId="3" fillId="8" borderId="48" xfId="0" applyFont="1" applyFill="1" applyBorder="1"/>
    <xf numFmtId="3" fontId="3" fillId="8" borderId="44" xfId="0" applyNumberFormat="1" applyFont="1" applyFill="1" applyBorder="1"/>
    <xf numFmtId="0" fontId="3" fillId="0" borderId="48" xfId="0" applyFont="1" applyBorder="1"/>
    <xf numFmtId="3" fontId="3" fillId="0" borderId="44" xfId="0" applyNumberFormat="1" applyFont="1" applyBorder="1"/>
    <xf numFmtId="3" fontId="3" fillId="8" borderId="0" xfId="0" applyNumberFormat="1" applyFont="1" applyFill="1" applyAlignment="1">
      <alignment horizontal="center"/>
    </xf>
    <xf numFmtId="0" fontId="3" fillId="0" borderId="46" xfId="0" applyFont="1" applyBorder="1"/>
    <xf numFmtId="0" fontId="2" fillId="7" borderId="1" xfId="0" applyFont="1" applyFill="1" applyBorder="1" applyAlignment="1">
      <alignment horizontal="center"/>
    </xf>
    <xf numFmtId="37" fontId="2" fillId="0" borderId="1" xfId="0" applyNumberFormat="1" applyFont="1" applyBorder="1" applyAlignment="1">
      <alignment horizontal="center"/>
    </xf>
    <xf numFmtId="0" fontId="2" fillId="10" borderId="11" xfId="0"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12" fillId="0" borderId="0" xfId="0" applyFont="1" applyAlignment="1">
      <alignment horizontal="left"/>
    </xf>
    <xf numFmtId="3" fontId="3" fillId="8" borderId="0" xfId="0" applyNumberFormat="1" applyFont="1" applyFill="1" applyAlignment="1">
      <alignment horizontal="left"/>
    </xf>
    <xf numFmtId="0" fontId="27" fillId="0" borderId="0" xfId="0" applyFont="1" applyAlignment="1">
      <alignment horizontal="center"/>
    </xf>
    <xf numFmtId="0" fontId="12" fillId="0" borderId="0" xfId="0" applyFont="1" applyAlignment="1">
      <alignment wrapText="1"/>
    </xf>
    <xf numFmtId="0" fontId="12" fillId="0" borderId="15" xfId="0" applyFont="1" applyBorder="1" applyAlignment="1">
      <alignment horizontal="left"/>
    </xf>
    <xf numFmtId="0" fontId="26" fillId="0" borderId="0" xfId="0" applyFont="1"/>
    <xf numFmtId="2" fontId="3" fillId="0" borderId="0" xfId="0" applyNumberFormat="1" applyFont="1" applyAlignment="1">
      <alignment horizontal="center"/>
    </xf>
    <xf numFmtId="174" fontId="3" fillId="8" borderId="0" xfId="0" applyNumberFormat="1" applyFont="1" applyFill="1"/>
    <xf numFmtId="0" fontId="2" fillId="7" borderId="7" xfId="0" applyFont="1" applyFill="1" applyBorder="1" applyAlignment="1">
      <alignment horizontal="center" wrapText="1"/>
    </xf>
    <xf numFmtId="0" fontId="2" fillId="0" borderId="23" xfId="0" applyFont="1" applyBorder="1" applyAlignment="1">
      <alignment wrapText="1"/>
    </xf>
    <xf numFmtId="0" fontId="3" fillId="0" borderId="7" xfId="0" applyFont="1" applyBorder="1" applyAlignment="1">
      <alignment wrapText="1"/>
    </xf>
    <xf numFmtId="0" fontId="2" fillId="0" borderId="8" xfId="0" applyFont="1" applyBorder="1" applyAlignment="1">
      <alignment horizontal="center" wrapText="1"/>
    </xf>
    <xf numFmtId="0" fontId="2" fillId="0" borderId="14" xfId="0" applyFont="1" applyBorder="1" applyAlignment="1">
      <alignment horizontal="center" wrapText="1"/>
    </xf>
    <xf numFmtId="0" fontId="2" fillId="0" borderId="0" xfId="0" applyFont="1" applyAlignment="1">
      <alignment horizontal="center" wrapText="1"/>
    </xf>
    <xf numFmtId="10" fontId="3" fillId="0" borderId="14" xfId="0" applyNumberFormat="1" applyFont="1" applyBorder="1" applyAlignment="1">
      <alignment horizontal="center"/>
    </xf>
    <xf numFmtId="10" fontId="3" fillId="8" borderId="0" xfId="0" applyNumberFormat="1" applyFont="1" applyFill="1"/>
    <xf numFmtId="0" fontId="2" fillId="0" borderId="14" xfId="0" applyFont="1" applyBorder="1" applyAlignment="1">
      <alignment horizontal="center"/>
    </xf>
    <xf numFmtId="3" fontId="3" fillId="11" borderId="0" xfId="0" applyNumberFormat="1" applyFont="1" applyFill="1"/>
    <xf numFmtId="3" fontId="3" fillId="0" borderId="0" xfId="0" applyNumberFormat="1" applyFont="1" applyAlignment="1">
      <alignment horizontal="left" wrapText="1"/>
    </xf>
    <xf numFmtId="167" fontId="2" fillId="0" borderId="0" xfId="0" applyNumberFormat="1" applyFont="1"/>
    <xf numFmtId="167" fontId="3" fillId="0" borderId="0" xfId="0" applyNumberFormat="1" applyFont="1"/>
    <xf numFmtId="1" fontId="3" fillId="8" borderId="0" xfId="0" applyNumberFormat="1" applyFont="1" applyFill="1"/>
    <xf numFmtId="3" fontId="18" fillId="0" borderId="0" xfId="0" applyNumberFormat="1" applyFont="1"/>
    <xf numFmtId="1" fontId="18" fillId="0" borderId="0" xfId="0" applyNumberFormat="1" applyFont="1"/>
    <xf numFmtId="3" fontId="3" fillId="0" borderId="7" xfId="0" applyNumberFormat="1" applyFont="1" applyBorder="1" applyAlignment="1">
      <alignment horizontal="center"/>
    </xf>
    <xf numFmtId="3" fontId="2" fillId="7" borderId="11" xfId="0" applyNumberFormat="1" applyFont="1" applyFill="1" applyBorder="1" applyAlignment="1">
      <alignment horizontal="center" wrapText="1"/>
    </xf>
    <xf numFmtId="1" fontId="3" fillId="0" borderId="0" xfId="0" applyNumberFormat="1" applyFont="1"/>
    <xf numFmtId="3" fontId="17" fillId="0" borderId="14" xfId="0" applyNumberFormat="1" applyFont="1" applyBorder="1" applyAlignment="1">
      <alignment horizontal="center" wrapText="1"/>
    </xf>
    <xf numFmtId="43" fontId="3" fillId="0" borderId="14" xfId="0" applyNumberFormat="1" applyFont="1" applyBorder="1"/>
    <xf numFmtId="0" fontId="3" fillId="0" borderId="8" xfId="0" applyFont="1" applyBorder="1" applyAlignment="1">
      <alignment horizontal="center"/>
    </xf>
    <xf numFmtId="0" fontId="3" fillId="0" borderId="14" xfId="0" applyFont="1" applyBorder="1" applyAlignment="1">
      <alignment horizontal="center"/>
    </xf>
    <xf numFmtId="37" fontId="3" fillId="5" borderId="0" xfId="0" applyNumberFormat="1" applyFont="1" applyFill="1"/>
    <xf numFmtId="0" fontId="3" fillId="0" borderId="5" xfId="0" applyFont="1" applyBorder="1"/>
    <xf numFmtId="3" fontId="3" fillId="0" borderId="14" xfId="0" applyNumberFormat="1" applyFont="1" applyBorder="1" applyAlignment="1">
      <alignment horizontal="right"/>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7" xfId="0" applyFont="1" applyBorder="1" applyAlignment="1">
      <alignment wrapText="1"/>
    </xf>
    <xf numFmtId="0" fontId="2" fillId="0" borderId="6" xfId="0" applyFont="1" applyBorder="1"/>
    <xf numFmtId="0" fontId="16" fillId="0" borderId="0" xfId="0" applyFont="1" applyAlignment="1">
      <alignment horizontal="left"/>
    </xf>
    <xf numFmtId="0" fontId="2" fillId="7" borderId="13" xfId="0" applyFont="1" applyFill="1" applyBorder="1" applyAlignment="1">
      <alignment horizontal="center" wrapText="1"/>
    </xf>
    <xf numFmtId="0" fontId="2" fillId="7" borderId="11" xfId="0" applyFont="1" applyFill="1" applyBorder="1" applyAlignment="1">
      <alignment horizontal="center" wrapText="1"/>
    </xf>
    <xf numFmtId="166" fontId="3" fillId="0" borderId="0" xfId="0" applyNumberFormat="1" applyFont="1"/>
    <xf numFmtId="3" fontId="3" fillId="0" borderId="8" xfId="0" applyNumberFormat="1" applyFont="1" applyBorder="1" applyAlignment="1">
      <alignment horizontal="center"/>
    </xf>
    <xf numFmtId="3" fontId="3" fillId="0" borderId="14" xfId="0" applyNumberFormat="1" applyFont="1" applyBorder="1" applyAlignment="1">
      <alignment horizontal="center"/>
    </xf>
    <xf numFmtId="164" fontId="3" fillId="7" borderId="11" xfId="0" applyNumberFormat="1" applyFont="1" applyFill="1" applyBorder="1"/>
    <xf numFmtId="0" fontId="3" fillId="10" borderId="11" xfId="0" applyFont="1" applyFill="1" applyBorder="1"/>
    <xf numFmtId="37" fontId="3" fillId="8" borderId="0" xfId="0" applyNumberFormat="1" applyFont="1" applyFill="1" applyAlignment="1">
      <alignment horizontal="right"/>
    </xf>
    <xf numFmtId="37" fontId="2" fillId="0" borderId="0" xfId="0" applyNumberFormat="1" applyFont="1" applyAlignment="1">
      <alignment horizontal="center"/>
    </xf>
    <xf numFmtId="164" fontId="3" fillId="0" borderId="0" xfId="0" applyNumberFormat="1" applyFont="1" applyAlignment="1">
      <alignment horizontal="left"/>
    </xf>
    <xf numFmtId="164" fontId="3" fillId="8" borderId="0" xfId="0" applyNumberFormat="1" applyFont="1" applyFill="1" applyAlignment="1">
      <alignment horizontal="right"/>
    </xf>
    <xf numFmtId="164" fontId="3" fillId="8" borderId="0" xfId="0" applyNumberFormat="1" applyFont="1" applyFill="1" applyAlignment="1">
      <alignment horizontal="center"/>
    </xf>
    <xf numFmtId="0" fontId="3" fillId="0" borderId="14" xfId="0" applyFont="1" applyBorder="1" applyAlignment="1">
      <alignment horizontal="center" wrapText="1"/>
    </xf>
    <xf numFmtId="167" fontId="3" fillId="0" borderId="7" xfId="0" applyNumberFormat="1" applyFont="1" applyBorder="1"/>
    <xf numFmtId="3" fontId="2" fillId="0" borderId="7" xfId="0" applyNumberFormat="1" applyFont="1" applyBorder="1" applyAlignment="1">
      <alignment horizontal="center"/>
    </xf>
    <xf numFmtId="0" fontId="3" fillId="0" borderId="6" xfId="0" applyFont="1" applyBorder="1"/>
    <xf numFmtId="0" fontId="2" fillId="0" borderId="0" xfId="0" applyFont="1" applyAlignment="1">
      <alignment horizontal="left" indent="1"/>
    </xf>
    <xf numFmtId="0" fontId="3" fillId="0" borderId="8" xfId="0" applyFont="1" applyBorder="1"/>
    <xf numFmtId="0" fontId="3" fillId="0" borderId="14" xfId="0" applyFont="1" applyBorder="1"/>
    <xf numFmtId="0" fontId="2" fillId="0" borderId="15" xfId="0" applyFont="1" applyBorder="1"/>
    <xf numFmtId="0" fontId="3" fillId="7" borderId="13" xfId="0" applyFont="1" applyFill="1" applyBorder="1"/>
    <xf numFmtId="0" fontId="3" fillId="7" borderId="11" xfId="0" applyFont="1" applyFill="1" applyBorder="1"/>
    <xf numFmtId="0" fontId="2" fillId="7" borderId="11" xfId="0" applyFont="1" applyFill="1" applyBorder="1" applyAlignment="1">
      <alignment wrapText="1"/>
    </xf>
    <xf numFmtId="0" fontId="2" fillId="7" borderId="11" xfId="0" applyFont="1" applyFill="1" applyBorder="1"/>
    <xf numFmtId="0" fontId="2" fillId="7" borderId="10" xfId="0" applyFont="1" applyFill="1" applyBorder="1"/>
    <xf numFmtId="37" fontId="2" fillId="0" borderId="0" xfId="0" applyNumberFormat="1" applyFont="1" applyAlignment="1">
      <alignment horizontal="left"/>
    </xf>
    <xf numFmtId="3" fontId="3" fillId="0" borderId="20" xfId="0" applyNumberFormat="1" applyFont="1" applyBorder="1" applyAlignment="1">
      <alignment horizontal="center"/>
    </xf>
    <xf numFmtId="3" fontId="3" fillId="0" borderId="8" xfId="0" applyNumberFormat="1" applyFont="1" applyBorder="1"/>
    <xf numFmtId="0" fontId="3" fillId="0" borderId="5" xfId="0" applyFont="1" applyBorder="1" applyAlignment="1">
      <alignment horizontal="center"/>
    </xf>
    <xf numFmtId="0" fontId="3" fillId="4" borderId="0" xfId="0" applyFont="1" applyFill="1" applyAlignment="1">
      <alignment horizontal="right"/>
    </xf>
    <xf numFmtId="3" fontId="3" fillId="0" borderId="19" xfId="0" applyNumberFormat="1" applyFont="1" applyBorder="1"/>
    <xf numFmtId="0" fontId="3" fillId="4" borderId="0" xfId="0" applyFont="1" applyFill="1"/>
    <xf numFmtId="3" fontId="3" fillId="0" borderId="19" xfId="0" applyNumberFormat="1" applyFont="1" applyBorder="1" applyAlignment="1">
      <alignment horizontal="center"/>
    </xf>
    <xf numFmtId="3" fontId="3" fillId="0" borderId="14" xfId="0" applyNumberFormat="1" applyFont="1" applyBorder="1"/>
    <xf numFmtId="0" fontId="3" fillId="0" borderId="15" xfId="0" applyFont="1" applyBorder="1" applyAlignment="1">
      <alignment horizontal="center"/>
    </xf>
    <xf numFmtId="0" fontId="3" fillId="0" borderId="30" xfId="0" applyFont="1" applyBorder="1"/>
    <xf numFmtId="0" fontId="3" fillId="0" borderId="23" xfId="0" applyFont="1" applyBorder="1"/>
    <xf numFmtId="3" fontId="3" fillId="0" borderId="7" xfId="0" applyNumberFormat="1" applyFont="1" applyBorder="1"/>
    <xf numFmtId="0" fontId="3" fillId="0" borderId="7" xfId="0" applyFont="1" applyBorder="1"/>
    <xf numFmtId="0" fontId="2" fillId="0" borderId="7" xfId="0" applyFont="1" applyBorder="1"/>
    <xf numFmtId="0" fontId="3" fillId="0" borderId="6" xfId="0" applyFont="1" applyBorder="1" applyAlignment="1">
      <alignment horizontal="center"/>
    </xf>
    <xf numFmtId="0" fontId="2" fillId="7" borderId="30" xfId="0" applyFont="1" applyFill="1" applyBorder="1" applyAlignment="1">
      <alignment horizontal="center" wrapText="1"/>
    </xf>
    <xf numFmtId="0" fontId="2" fillId="7" borderId="7" xfId="0" applyFont="1" applyFill="1" applyBorder="1" applyAlignment="1">
      <alignment horizontal="center"/>
    </xf>
    <xf numFmtId="0" fontId="2" fillId="7" borderId="11" xfId="0" applyFont="1" applyFill="1" applyBorder="1" applyAlignment="1">
      <alignment horizontal="center"/>
    </xf>
    <xf numFmtId="0" fontId="2" fillId="7" borderId="7" xfId="0" applyFont="1" applyFill="1" applyBorder="1" applyAlignment="1">
      <alignment wrapText="1"/>
    </xf>
    <xf numFmtId="0" fontId="2" fillId="7" borderId="7" xfId="0" applyFont="1" applyFill="1" applyBorder="1"/>
    <xf numFmtId="0" fontId="2" fillId="7" borderId="6" xfId="0" applyFont="1" applyFill="1" applyBorder="1"/>
    <xf numFmtId="37" fontId="9" fillId="0" borderId="0" xfId="0" applyNumberFormat="1" applyFont="1" applyAlignment="1">
      <alignment horizontal="left"/>
    </xf>
    <xf numFmtId="0" fontId="3" fillId="0" borderId="0" xfId="0" applyFont="1" applyAlignment="1">
      <alignment vertical="center" wrapText="1"/>
    </xf>
    <xf numFmtId="3" fontId="3" fillId="0" borderId="0" xfId="0" applyNumberFormat="1" applyFont="1" applyAlignment="1">
      <alignment vertical="center" wrapText="1"/>
    </xf>
    <xf numFmtId="0" fontId="9" fillId="0" borderId="0" xfId="0" applyFont="1"/>
    <xf numFmtId="3" fontId="3" fillId="0" borderId="21" xfId="0" applyNumberFormat="1" applyFont="1" applyBorder="1"/>
    <xf numFmtId="3" fontId="3" fillId="8" borderId="3" xfId="0" applyNumberFormat="1" applyFont="1" applyFill="1" applyBorder="1"/>
    <xf numFmtId="0" fontId="3" fillId="0" borderId="0" xfId="0" applyFont="1" applyAlignment="1">
      <alignment horizontal="center" vertical="top"/>
    </xf>
    <xf numFmtId="0" fontId="3" fillId="6" borderId="0" xfId="0" applyFont="1" applyFill="1"/>
    <xf numFmtId="3" fontId="12" fillId="8" borderId="0" xfId="0" applyNumberFormat="1" applyFont="1" applyFill="1"/>
    <xf numFmtId="3" fontId="3" fillId="8" borderId="0" xfId="0" applyNumberFormat="1" applyFont="1" applyFill="1" applyProtection="1">
      <protection locked="0"/>
    </xf>
    <xf numFmtId="0" fontId="3" fillId="0" borderId="3" xfId="0" applyFont="1" applyBorder="1" applyAlignment="1">
      <alignment horizontal="center"/>
    </xf>
    <xf numFmtId="3" fontId="3" fillId="0" borderId="0" xfId="0" applyNumberFormat="1" applyFont="1" applyProtection="1">
      <protection locked="0"/>
    </xf>
    <xf numFmtId="41" fontId="3" fillId="0" borderId="0" xfId="0" applyNumberFormat="1" applyFont="1" applyAlignment="1">
      <alignment horizontal="right"/>
    </xf>
    <xf numFmtId="37" fontId="13" fillId="0" borderId="0" xfId="0" applyNumberFormat="1" applyFont="1"/>
    <xf numFmtId="3" fontId="3" fillId="4" borderId="0" xfId="0" applyNumberFormat="1" applyFont="1" applyFill="1" applyAlignment="1">
      <alignment horizontal="right"/>
    </xf>
    <xf numFmtId="3" fontId="3" fillId="0" borderId="21" xfId="0" applyNumberFormat="1" applyFont="1" applyBorder="1" applyAlignment="1">
      <alignment horizontal="right" wrapText="1"/>
    </xf>
    <xf numFmtId="3" fontId="3" fillId="5" borderId="0" xfId="0" applyNumberFormat="1" applyFont="1" applyFill="1" applyAlignment="1">
      <alignment horizontal="right" wrapText="1"/>
    </xf>
    <xf numFmtId="37" fontId="3" fillId="8" borderId="0" xfId="0" applyNumberFormat="1" applyFont="1" applyFill="1"/>
    <xf numFmtId="37" fontId="3" fillId="0" borderId="0" xfId="0" applyNumberFormat="1" applyFont="1" applyAlignment="1" applyProtection="1">
      <alignment horizontal="right" wrapText="1"/>
      <protection locked="0"/>
    </xf>
    <xf numFmtId="37" fontId="3" fillId="0" borderId="4" xfId="0" applyNumberFormat="1" applyFont="1" applyBorder="1" applyAlignment="1" applyProtection="1">
      <alignment horizontal="right" wrapText="1"/>
      <protection locked="0"/>
    </xf>
    <xf numFmtId="171" fontId="3" fillId="0" borderId="0" xfId="0" applyNumberFormat="1" applyFont="1" applyAlignment="1">
      <alignment horizontal="center" wrapText="1"/>
    </xf>
    <xf numFmtId="170" fontId="3" fillId="0" borderId="0" xfId="0" applyNumberFormat="1" applyFont="1" applyAlignment="1">
      <alignment horizontal="center" wrapText="1"/>
    </xf>
    <xf numFmtId="37" fontId="3" fillId="8" borderId="3" xfId="0" applyNumberFormat="1" applyFont="1" applyFill="1" applyBorder="1" applyAlignment="1">
      <alignment horizontal="right" wrapText="1"/>
    </xf>
    <xf numFmtId="37" fontId="3" fillId="8" borderId="0" xfId="0" applyNumberFormat="1" applyFont="1" applyFill="1" applyAlignment="1">
      <alignment horizontal="right" wrapText="1"/>
    </xf>
    <xf numFmtId="164" fontId="3" fillId="0" borderId="0" xfId="0" applyNumberFormat="1" applyFont="1" applyAlignment="1">
      <alignment horizontal="left" wrapText="1"/>
    </xf>
    <xf numFmtId="170" fontId="3" fillId="0" borderId="0" xfId="0" applyNumberFormat="1" applyFont="1" applyAlignment="1">
      <alignment horizontal="center"/>
    </xf>
    <xf numFmtId="37" fontId="3" fillId="0" borderId="0" xfId="0" applyNumberFormat="1" applyFont="1" applyAlignment="1">
      <alignment horizontal="right" wrapText="1"/>
    </xf>
    <xf numFmtId="3" fontId="3" fillId="0" borderId="3" xfId="0" applyNumberFormat="1" applyFont="1" applyBorder="1" applyAlignment="1">
      <alignment horizontal="center" wrapText="1"/>
    </xf>
    <xf numFmtId="3" fontId="3" fillId="8" borderId="3" xfId="0" applyNumberFormat="1" applyFont="1" applyFill="1" applyBorder="1" applyAlignment="1">
      <alignment horizontal="right" wrapText="1"/>
    </xf>
    <xf numFmtId="3" fontId="13" fillId="0" borderId="0" xfId="0" applyNumberFormat="1" applyFont="1" applyAlignment="1">
      <alignment horizontal="right"/>
    </xf>
    <xf numFmtId="3" fontId="13" fillId="0" borderId="0" xfId="0" applyNumberFormat="1" applyFont="1" applyAlignment="1">
      <alignment horizontal="center"/>
    </xf>
    <xf numFmtId="3" fontId="24" fillId="0" borderId="0" xfId="0" applyNumberFormat="1" applyFont="1" applyAlignment="1">
      <alignment horizontal="center"/>
    </xf>
    <xf numFmtId="3" fontId="3" fillId="0" borderId="0" xfId="0" applyNumberFormat="1" applyFont="1" applyAlignment="1">
      <alignment horizontal="right" wrapText="1"/>
    </xf>
    <xf numFmtId="3" fontId="3" fillId="0" borderId="3" xfId="0" applyNumberFormat="1" applyFont="1" applyBorder="1" applyAlignment="1">
      <alignment horizontal="center"/>
    </xf>
    <xf numFmtId="3" fontId="3" fillId="5" borderId="3" xfId="0" applyNumberFormat="1" applyFont="1" applyFill="1" applyBorder="1" applyAlignment="1">
      <alignment horizontal="right" wrapText="1"/>
    </xf>
    <xf numFmtId="3" fontId="3" fillId="5" borderId="0" xfId="0" applyNumberFormat="1" applyFont="1" applyFill="1" applyAlignment="1">
      <alignment horizontal="right"/>
    </xf>
    <xf numFmtId="0" fontId="3" fillId="8" borderId="0" xfId="0" applyFont="1" applyFill="1" applyAlignment="1">
      <alignment horizontal="left" vertical="center" wrapText="1"/>
    </xf>
    <xf numFmtId="3" fontId="3" fillId="0" borderId="0" xfId="0" applyNumberFormat="1" applyFont="1" applyAlignment="1">
      <alignment horizontal="center" wrapText="1"/>
    </xf>
    <xf numFmtId="3" fontId="3" fillId="8" borderId="0" xfId="0" applyNumberFormat="1" applyFont="1" applyFill="1" applyAlignment="1">
      <alignment horizontal="right" wrapText="1"/>
    </xf>
    <xf numFmtId="0" fontId="24" fillId="0" borderId="0" xfId="0" applyFont="1" applyAlignment="1">
      <alignment horizontal="center"/>
    </xf>
    <xf numFmtId="0" fontId="23" fillId="0" borderId="0" xfId="0" applyFont="1" applyAlignment="1">
      <alignment horizontal="center"/>
    </xf>
    <xf numFmtId="0" fontId="2" fillId="0" borderId="0" xfId="0" applyFont="1"/>
    <xf numFmtId="164" fontId="3" fillId="8" borderId="0" xfId="0" applyNumberFormat="1" applyFont="1" applyFill="1"/>
    <xf numFmtId="0" fontId="12" fillId="0" borderId="0" xfId="0" applyFont="1" applyAlignment="1">
      <alignment horizontal="center"/>
    </xf>
    <xf numFmtId="0" fontId="12" fillId="0" borderId="0" xfId="0" applyFont="1"/>
    <xf numFmtId="0" fontId="18" fillId="0" borderId="0" xfId="0" applyFont="1" applyAlignment="1">
      <alignment horizontal="justify" vertical="center" wrapText="1"/>
    </xf>
    <xf numFmtId="0" fontId="18" fillId="0" borderId="0" xfId="0" applyFont="1" applyAlignment="1">
      <alignment horizontal="right" vertical="center" wrapText="1"/>
    </xf>
    <xf numFmtId="0" fontId="18" fillId="0" borderId="0" xfId="0" applyFont="1" applyAlignment="1">
      <alignment vertical="center" wrapText="1"/>
    </xf>
    <xf numFmtId="3" fontId="22" fillId="0" borderId="2" xfId="0" applyNumberFormat="1" applyFont="1" applyBorder="1"/>
    <xf numFmtId="3" fontId="18" fillId="0" borderId="2" xfId="0" applyNumberFormat="1" applyFont="1" applyBorder="1" applyAlignment="1">
      <alignment horizontal="right" vertical="center" wrapText="1"/>
    </xf>
    <xf numFmtId="3" fontId="18" fillId="0" borderId="2" xfId="0" applyNumberFormat="1" applyFont="1" applyBorder="1" applyAlignment="1">
      <alignment vertical="center" wrapText="1"/>
    </xf>
    <xf numFmtId="0" fontId="18" fillId="0" borderId="2" xfId="0" applyFont="1" applyBorder="1" applyAlignment="1">
      <alignment horizontal="right" vertical="center" wrapText="1"/>
    </xf>
    <xf numFmtId="164" fontId="18" fillId="0" borderId="2" xfId="0" applyNumberFormat="1" applyFont="1" applyBorder="1" applyAlignment="1">
      <alignment vertical="center" wrapText="1"/>
    </xf>
    <xf numFmtId="0" fontId="18" fillId="0" borderId="2" xfId="0" applyFont="1" applyBorder="1" applyAlignment="1">
      <alignment vertical="center" wrapText="1"/>
    </xf>
    <xf numFmtId="3" fontId="18" fillId="8" borderId="0" xfId="0" applyNumberFormat="1" applyFont="1" applyFill="1"/>
    <xf numFmtId="3" fontId="22" fillId="0" borderId="0" xfId="0" applyNumberFormat="1" applyFont="1" applyAlignment="1">
      <alignment vertical="center" wrapText="1"/>
    </xf>
    <xf numFmtId="3" fontId="18" fillId="0" borderId="0" xfId="0" applyNumberFormat="1" applyFont="1" applyAlignment="1">
      <alignment horizontal="left" vertical="center"/>
    </xf>
    <xf numFmtId="3" fontId="18" fillId="0" borderId="0" xfId="0" applyNumberFormat="1" applyFont="1" applyAlignment="1">
      <alignment horizontal="left" vertical="center" wrapText="1"/>
    </xf>
    <xf numFmtId="3" fontId="18" fillId="0" borderId="0" xfId="0" applyNumberFormat="1" applyFont="1" applyAlignment="1">
      <alignment vertical="center" wrapText="1"/>
    </xf>
    <xf numFmtId="15" fontId="18" fillId="0" borderId="0" xfId="0" applyNumberFormat="1" applyFont="1" applyAlignment="1">
      <alignment vertical="center" wrapText="1"/>
    </xf>
    <xf numFmtId="0" fontId="18" fillId="0" borderId="0" xfId="0" applyFont="1" applyAlignment="1">
      <alignment horizontal="left" vertical="center"/>
    </xf>
    <xf numFmtId="0" fontId="22" fillId="0" borderId="0" xfId="0" applyFont="1"/>
    <xf numFmtId="0" fontId="22" fillId="0" borderId="32" xfId="0" applyFont="1" applyBorder="1" applyAlignment="1">
      <alignment horizontal="center" vertical="center" wrapText="1"/>
    </xf>
    <xf numFmtId="0" fontId="18" fillId="0" borderId="0" xfId="0" applyFont="1" applyAlignment="1">
      <alignment horizontal="center" vertical="center" wrapText="1"/>
    </xf>
    <xf numFmtId="0" fontId="18" fillId="0" borderId="32" xfId="0" applyFont="1" applyBorder="1" applyAlignment="1">
      <alignment horizontal="center" vertical="center" wrapText="1"/>
    </xf>
    <xf numFmtId="0" fontId="21" fillId="0" borderId="26" xfId="0" applyFont="1" applyBorder="1" applyAlignment="1">
      <alignment horizontal="center" vertical="center"/>
    </xf>
    <xf numFmtId="0" fontId="20" fillId="0" borderId="0" xfId="0" applyFont="1" applyAlignment="1">
      <alignment horizontal="center" vertical="center"/>
    </xf>
    <xf numFmtId="0" fontId="20" fillId="0" borderId="26"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xf numFmtId="0" fontId="18" fillId="0" borderId="0" xfId="0" applyFont="1"/>
    <xf numFmtId="3" fontId="3" fillId="0" borderId="38" xfId="0" applyNumberFormat="1" applyFont="1" applyBorder="1"/>
    <xf numFmtId="0" fontId="3" fillId="8" borderId="0" xfId="0" applyFont="1" applyFill="1"/>
    <xf numFmtId="0" fontId="3" fillId="8" borderId="18" xfId="0" applyFont="1" applyFill="1" applyBorder="1" applyAlignment="1">
      <alignment wrapText="1"/>
    </xf>
    <xf numFmtId="3" fontId="2" fillId="0" borderId="42" xfId="0" applyNumberFormat="1" applyFont="1" applyBorder="1"/>
    <xf numFmtId="0" fontId="2" fillId="0" borderId="0" xfId="0" applyFont="1" applyAlignment="1">
      <alignment horizontal="right"/>
    </xf>
    <xf numFmtId="0" fontId="2" fillId="0" borderId="0" xfId="0" applyFont="1" applyAlignment="1">
      <alignment wrapText="1"/>
    </xf>
    <xf numFmtId="1" fontId="2" fillId="0" borderId="0" xfId="0" applyNumberFormat="1" applyFont="1"/>
    <xf numFmtId="41" fontId="3" fillId="9" borderId="0" xfId="0" applyNumberFormat="1" applyFont="1" applyFill="1"/>
    <xf numFmtId="0" fontId="13" fillId="0" borderId="3" xfId="0" applyFont="1" applyBorder="1"/>
    <xf numFmtId="0" fontId="15" fillId="0" borderId="0" xfId="0" applyFont="1"/>
    <xf numFmtId="164" fontId="19" fillId="0" borderId="0" xfId="0" applyNumberFormat="1" applyFont="1"/>
    <xf numFmtId="3" fontId="12" fillId="0" borderId="0" xfId="0" applyNumberFormat="1" applyFont="1"/>
    <xf numFmtId="164" fontId="18" fillId="8" borderId="0" xfId="0" applyNumberFormat="1" applyFont="1" applyFill="1" applyAlignment="1">
      <alignment vertical="center" wrapText="1"/>
    </xf>
    <xf numFmtId="164" fontId="18" fillId="0" borderId="0" xfId="0" applyNumberFormat="1" applyFont="1" applyAlignment="1">
      <alignment horizontal="right" vertical="center" wrapText="1"/>
    </xf>
    <xf numFmtId="164" fontId="18" fillId="0" borderId="0" xfId="0" applyNumberFormat="1" applyFont="1" applyAlignment="1">
      <alignment vertical="center" wrapText="1"/>
    </xf>
    <xf numFmtId="3" fontId="3" fillId="8" borderId="0" xfId="0" applyNumberFormat="1" applyFont="1" applyFill="1"/>
    <xf numFmtId="0" fontId="18" fillId="0" borderId="0" xfId="0" applyFont="1" applyAlignment="1">
      <alignment horizontal="left" vertical="center" wrapText="1"/>
    </xf>
    <xf numFmtId="0" fontId="3" fillId="0" borderId="3" xfId="0" applyFont="1" applyBorder="1" applyAlignment="1">
      <alignment horizontal="center" vertical="top" wrapText="1"/>
    </xf>
    <xf numFmtId="0" fontId="3" fillId="8" borderId="0" xfId="0" applyFont="1" applyFill="1" applyAlignment="1">
      <alignment horizontal="left"/>
    </xf>
    <xf numFmtId="0" fontId="3" fillId="8" borderId="0" xfId="0" applyFont="1" applyFill="1" applyAlignment="1">
      <alignment horizontal="center"/>
    </xf>
    <xf numFmtId="41" fontId="2" fillId="0" borderId="0" xfId="0" applyNumberFormat="1" applyFont="1" applyAlignment="1">
      <alignment horizontal="center"/>
    </xf>
    <xf numFmtId="164" fontId="3" fillId="0" borderId="0" xfId="0" applyNumberFormat="1" applyFont="1" applyAlignment="1">
      <alignment wrapText="1"/>
    </xf>
    <xf numFmtId="0" fontId="3" fillId="0" borderId="31" xfId="0" applyFont="1" applyBorder="1" applyAlignment="1">
      <alignment wrapText="1"/>
    </xf>
    <xf numFmtId="3" fontId="3" fillId="0" borderId="26" xfId="0" applyNumberFormat="1" applyFont="1" applyBorder="1"/>
    <xf numFmtId="0" fontId="2" fillId="0" borderId="37" xfId="0" applyFont="1" applyBorder="1"/>
    <xf numFmtId="0" fontId="2" fillId="0" borderId="16" xfId="0" applyFont="1" applyBorder="1"/>
    <xf numFmtId="0" fontId="3" fillId="0" borderId="28" xfId="0" applyFont="1" applyBorder="1" applyAlignment="1">
      <alignment wrapText="1"/>
    </xf>
    <xf numFmtId="3" fontId="2" fillId="0" borderId="25" xfId="0" applyNumberFormat="1" applyFont="1" applyBorder="1"/>
    <xf numFmtId="0" fontId="2" fillId="0" borderId="22" xfId="0" applyFont="1" applyBorder="1"/>
    <xf numFmtId="164" fontId="3" fillId="8" borderId="28" xfId="0" applyNumberFormat="1" applyFont="1" applyFill="1" applyBorder="1" applyAlignment="1">
      <alignment wrapText="1"/>
    </xf>
    <xf numFmtId="41" fontId="2" fillId="0" borderId="0" xfId="0" applyNumberFormat="1" applyFont="1" applyAlignment="1">
      <alignment horizontal="center" wrapText="1"/>
    </xf>
    <xf numFmtId="0" fontId="3" fillId="0" borderId="0" xfId="0" applyFont="1" applyAlignment="1">
      <alignment horizontal="centerContinuous"/>
    </xf>
    <xf numFmtId="0" fontId="2" fillId="0" borderId="0" xfId="0" applyFont="1" applyAlignment="1">
      <alignment horizontal="centerContinuous"/>
    </xf>
    <xf numFmtId="0" fontId="3" fillId="8" borderId="24" xfId="0" applyFont="1" applyFill="1" applyBorder="1" applyAlignment="1">
      <alignment wrapText="1"/>
    </xf>
    <xf numFmtId="164" fontId="3" fillId="0" borderId="0" xfId="0" applyNumberFormat="1" applyFont="1"/>
    <xf numFmtId="3" fontId="3" fillId="0" borderId="42" xfId="0" applyNumberFormat="1" applyFont="1" applyBorder="1"/>
    <xf numFmtId="0" fontId="3" fillId="0" borderId="27" xfId="0" applyFont="1" applyBorder="1"/>
    <xf numFmtId="0" fontId="3" fillId="0" borderId="0" xfId="0" applyFont="1"/>
    <xf numFmtId="41" fontId="3" fillId="0" borderId="0" xfId="0" applyNumberFormat="1" applyFont="1" applyAlignment="1">
      <alignment horizontal="center"/>
    </xf>
    <xf numFmtId="0" fontId="3" fillId="0" borderId="0" xfId="0" applyFont="1" applyAlignment="1">
      <alignment wrapText="1"/>
    </xf>
    <xf numFmtId="37" fontId="3" fillId="0" borderId="0" xfId="0" applyNumberFormat="1" applyFont="1" applyAlignment="1">
      <alignment wrapText="1"/>
    </xf>
    <xf numFmtId="37" fontId="3" fillId="0" borderId="0" xfId="0" applyNumberFormat="1" applyFont="1" applyAlignment="1">
      <alignment horizontal="center"/>
    </xf>
    <xf numFmtId="0" fontId="2" fillId="0" borderId="36" xfId="0" applyFont="1" applyBorder="1" applyAlignment="1">
      <alignment wrapText="1"/>
    </xf>
    <xf numFmtId="3" fontId="2" fillId="0" borderId="29" xfId="0" applyNumberFormat="1" applyFont="1" applyBorder="1"/>
    <xf numFmtId="0" fontId="2" fillId="0" borderId="35" xfId="0" applyFont="1" applyBorder="1"/>
    <xf numFmtId="0" fontId="3" fillId="0" borderId="24" xfId="0" applyFont="1" applyBorder="1" applyAlignment="1">
      <alignment wrapText="1"/>
    </xf>
    <xf numFmtId="3" fontId="3" fillId="0" borderId="12" xfId="0" applyNumberFormat="1" applyFont="1" applyBorder="1" applyAlignment="1">
      <alignment horizontal="right"/>
    </xf>
    <xf numFmtId="3" fontId="3" fillId="0" borderId="32" xfId="0" applyNumberFormat="1" applyFont="1" applyBorder="1"/>
    <xf numFmtId="3" fontId="3" fillId="0" borderId="12" xfId="0" applyNumberFormat="1" applyFont="1" applyBorder="1"/>
    <xf numFmtId="0" fontId="2" fillId="0" borderId="18" xfId="0" applyFont="1" applyBorder="1"/>
    <xf numFmtId="37" fontId="3" fillId="0" borderId="33" xfId="0" applyNumberFormat="1" applyFont="1" applyBorder="1" applyAlignment="1">
      <alignment wrapText="1"/>
    </xf>
    <xf numFmtId="3" fontId="2" fillId="0" borderId="32" xfId="0" applyNumberFormat="1" applyFont="1" applyBorder="1"/>
    <xf numFmtId="0" fontId="2" fillId="0" borderId="17" xfId="0" applyFont="1" applyBorder="1"/>
    <xf numFmtId="164" fontId="3" fillId="0" borderId="24" xfId="0" applyNumberFormat="1" applyFont="1" applyBorder="1" applyAlignment="1">
      <alignment wrapText="1"/>
    </xf>
    <xf numFmtId="0" fontId="3" fillId="0" borderId="18" xfId="0" applyFont="1" applyBorder="1" applyAlignment="1">
      <alignment wrapText="1"/>
    </xf>
    <xf numFmtId="3" fontId="3" fillId="0" borderId="40" xfId="0" applyNumberFormat="1" applyFont="1" applyBorder="1"/>
    <xf numFmtId="3" fontId="17" fillId="8" borderId="12" xfId="0" applyNumberFormat="1" applyFont="1" applyFill="1" applyBorder="1"/>
    <xf numFmtId="0" fontId="3" fillId="5" borderId="18" xfId="0" applyFont="1" applyFill="1" applyBorder="1" applyAlignment="1">
      <alignment wrapText="1"/>
    </xf>
    <xf numFmtId="41" fontId="3" fillId="0" borderId="0" xfId="0" applyNumberFormat="1" applyFont="1"/>
    <xf numFmtId="164" fontId="3" fillId="8" borderId="24" xfId="0" applyNumberFormat="1" applyFont="1" applyFill="1" applyBorder="1" applyAlignment="1">
      <alignment wrapText="1"/>
    </xf>
    <xf numFmtId="3" fontId="17" fillId="8" borderId="25" xfId="0" applyNumberFormat="1" applyFont="1" applyFill="1" applyBorder="1"/>
    <xf numFmtId="0" fontId="3" fillId="5" borderId="27" xfId="0" applyFont="1" applyFill="1" applyBorder="1" applyAlignment="1">
      <alignment wrapText="1"/>
    </xf>
    <xf numFmtId="0" fontId="13" fillId="0" borderId="0" xfId="0" applyFont="1" applyAlignment="1">
      <alignment horizontal="left"/>
    </xf>
    <xf numFmtId="0" fontId="13" fillId="0" borderId="0" xfId="0" applyFont="1"/>
    <xf numFmtId="37" fontId="9" fillId="0" borderId="0" xfId="0" applyNumberFormat="1" applyFont="1"/>
    <xf numFmtId="37" fontId="2" fillId="0" borderId="0" xfId="0" applyNumberFormat="1" applyFont="1"/>
    <xf numFmtId="170" fontId="3" fillId="0" borderId="0" xfId="0" applyNumberFormat="1" applyFont="1"/>
    <xf numFmtId="37" fontId="3" fillId="0" borderId="3" xfId="0" applyNumberFormat="1" applyFont="1" applyBorder="1"/>
    <xf numFmtId="37" fontId="3" fillId="0" borderId="0" xfId="0" applyNumberFormat="1" applyFont="1"/>
    <xf numFmtId="0" fontId="16" fillId="0" borderId="0" xfId="0" applyFont="1"/>
    <xf numFmtId="0" fontId="3" fillId="0" borderId="0" xfId="0" applyFont="1" applyAlignment="1">
      <alignment horizontal="right" wrapText="1"/>
    </xf>
    <xf numFmtId="0" fontId="13" fillId="0" borderId="0" xfId="0" applyFont="1" applyAlignment="1">
      <alignment horizontal="center"/>
    </xf>
    <xf numFmtId="0" fontId="2" fillId="8" borderId="0" xfId="0" applyFont="1" applyFill="1" applyAlignment="1">
      <alignment horizontal="center"/>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164" fontId="2" fillId="0" borderId="0" xfId="0" applyNumberFormat="1" applyFont="1"/>
    <xf numFmtId="0" fontId="3" fillId="2" borderId="0" xfId="0" applyFont="1" applyFill="1" applyAlignment="1">
      <alignment horizontal="center" wrapText="1"/>
    </xf>
    <xf numFmtId="0" fontId="3" fillId="0" borderId="0" xfId="0" applyFont="1" applyAlignment="1">
      <alignment horizontal="center" wrapText="1"/>
    </xf>
    <xf numFmtId="3" fontId="3" fillId="0" borderId="0" xfId="0" applyNumberFormat="1" applyFont="1"/>
    <xf numFmtId="3" fontId="3" fillId="0" borderId="2" xfId="0" applyNumberFormat="1" applyFont="1" applyBorder="1"/>
    <xf numFmtId="171" fontId="2" fillId="0" borderId="0" xfId="0" applyNumberFormat="1" applyFont="1"/>
    <xf numFmtId="3" fontId="3" fillId="0" borderId="3" xfId="0" applyNumberFormat="1" applyFont="1" applyBorder="1"/>
    <xf numFmtId="3" fontId="3" fillId="0" borderId="0" xfId="0" applyNumberFormat="1" applyFont="1" applyAlignment="1">
      <alignment horizontal="center"/>
    </xf>
    <xf numFmtId="0" fontId="3" fillId="2" borderId="0" xfId="0" applyFont="1" applyFill="1"/>
    <xf numFmtId="3" fontId="3" fillId="0" borderId="0" xfId="0" applyNumberFormat="1" applyFont="1" applyAlignment="1">
      <alignment horizontal="right"/>
    </xf>
    <xf numFmtId="171" fontId="3" fillId="0" borderId="0" xfId="0" applyNumberFormat="1" applyFont="1" applyAlignment="1">
      <alignment horizontal="right"/>
    </xf>
    <xf numFmtId="3" fontId="3" fillId="0" borderId="2" xfId="0" applyNumberFormat="1" applyFont="1" applyBorder="1" applyAlignment="1">
      <alignment horizontal="right"/>
    </xf>
    <xf numFmtId="3" fontId="3" fillId="0" borderId="3" xfId="0" applyNumberFormat="1" applyFont="1" applyBorder="1" applyAlignment="1">
      <alignment horizontal="right"/>
    </xf>
    <xf numFmtId="170" fontId="3" fillId="0" borderId="3" xfId="0" applyNumberFormat="1" applyFont="1" applyBorder="1" applyAlignment="1">
      <alignment horizontal="right"/>
    </xf>
    <xf numFmtId="3" fontId="2" fillId="0" borderId="0" xfId="0" applyNumberFormat="1" applyFont="1" applyAlignment="1">
      <alignment horizontal="right"/>
    </xf>
    <xf numFmtId="3" fontId="2" fillId="0" borderId="2" xfId="0" applyNumberFormat="1" applyFont="1" applyBorder="1"/>
    <xf numFmtId="3" fontId="6" fillId="0" borderId="0" xfId="0" applyNumberFormat="1" applyFont="1" applyAlignment="1">
      <alignment horizontal="right"/>
    </xf>
    <xf numFmtId="3" fontId="2" fillId="0" borderId="2" xfId="0" applyNumberFormat="1" applyFont="1" applyBorder="1" applyAlignment="1">
      <alignment horizontal="right"/>
    </xf>
    <xf numFmtId="3" fontId="2" fillId="0" borderId="9" xfId="0" applyNumberFormat="1" applyFont="1" applyBorder="1"/>
    <xf numFmtId="171" fontId="6"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xf numFmtId="10" fontId="3" fillId="5" borderId="0" xfId="0" applyNumberFormat="1" applyFont="1" applyFill="1"/>
    <xf numFmtId="10" fontId="3" fillId="0" borderId="0" xfId="0" applyNumberFormat="1" applyFont="1" applyAlignment="1">
      <alignment horizontal="right"/>
    </xf>
    <xf numFmtId="10" fontId="3" fillId="0" borderId="0" xfId="0" applyNumberFormat="1" applyFont="1"/>
    <xf numFmtId="3" fontId="2" fillId="0" borderId="11" xfId="0" applyNumberFormat="1" applyFont="1" applyBorder="1"/>
    <xf numFmtId="37" fontId="2" fillId="0" borderId="0" xfId="0" applyNumberFormat="1" applyFont="1" applyAlignment="1">
      <alignment horizontal="right"/>
    </xf>
    <xf numFmtId="37" fontId="3" fillId="0" borderId="0" xfId="0" applyNumberFormat="1" applyFont="1" applyAlignment="1">
      <alignment horizontal="left"/>
    </xf>
    <xf numFmtId="0" fontId="1" fillId="0" borderId="0" xfId="0" applyFont="1"/>
    <xf numFmtId="0" fontId="2" fillId="3" borderId="6" xfId="0" applyFont="1" applyFill="1" applyBorder="1" applyAlignment="1">
      <alignment horizontal="left"/>
    </xf>
    <xf numFmtId="0" fontId="3" fillId="3" borderId="7" xfId="0" applyFont="1" applyFill="1" applyBorder="1"/>
    <xf numFmtId="0" fontId="2" fillId="3" borderId="15" xfId="0" applyFont="1" applyFill="1" applyBorder="1" applyAlignment="1">
      <alignment horizontal="left"/>
    </xf>
    <xf numFmtId="0" fontId="3" fillId="3" borderId="0" xfId="0" applyFont="1" applyFill="1"/>
    <xf numFmtId="0" fontId="3" fillId="3" borderId="0" xfId="0" applyFont="1" applyFill="1" applyAlignment="1">
      <alignment horizontal="center"/>
    </xf>
    <xf numFmtId="0" fontId="3" fillId="3" borderId="14" xfId="0" applyFont="1" applyFill="1" applyBorder="1" applyAlignment="1">
      <alignment horizontal="center"/>
    </xf>
    <xf numFmtId="0" fontId="2" fillId="3" borderId="5" xfId="0" applyFont="1" applyFill="1" applyBorder="1" applyAlignment="1">
      <alignment horizontal="left"/>
    </xf>
    <xf numFmtId="0" fontId="2" fillId="3" borderId="8" xfId="0" applyFont="1" applyFill="1" applyBorder="1" applyAlignment="1">
      <alignment horizontal="center" wrapText="1"/>
    </xf>
    <xf numFmtId="0" fontId="2" fillId="0" borderId="0" xfId="0" applyFont="1" applyAlignment="1">
      <alignment horizontal="left"/>
    </xf>
    <xf numFmtId="0" fontId="4" fillId="2" borderId="0" xfId="0" applyFont="1" applyFill="1" applyAlignment="1">
      <alignment horizontal="left"/>
    </xf>
    <xf numFmtId="0" fontId="4" fillId="2" borderId="0" xfId="0" applyFont="1" applyFill="1"/>
    <xf numFmtId="0" fontId="2" fillId="2" borderId="0" xfId="0" applyFont="1" applyFill="1" applyAlignment="1">
      <alignment horizontal="center"/>
    </xf>
    <xf numFmtId="0" fontId="6" fillId="0" borderId="0" xfId="0" applyFont="1" applyAlignment="1">
      <alignment horizontal="left"/>
    </xf>
    <xf numFmtId="0" fontId="6" fillId="0" borderId="0" xfId="0" applyFont="1" applyAlignment="1">
      <alignment horizontal="center"/>
    </xf>
    <xf numFmtId="0" fontId="3" fillId="0" borderId="2" xfId="0" applyFont="1" applyBorder="1"/>
    <xf numFmtId="3" fontId="3" fillId="0" borderId="2" xfId="0" applyNumberFormat="1" applyFont="1" applyBorder="1" applyAlignment="1">
      <alignment horizontal="center"/>
    </xf>
    <xf numFmtId="0" fontId="2" fillId="0" borderId="4" xfId="0" applyFont="1" applyBorder="1"/>
    <xf numFmtId="0" fontId="3" fillId="0" borderId="4" xfId="0" applyFont="1" applyBorder="1"/>
    <xf numFmtId="3" fontId="3" fillId="0" borderId="4" xfId="0" applyNumberFormat="1" applyFont="1" applyBorder="1" applyAlignment="1">
      <alignment horizontal="center"/>
    </xf>
    <xf numFmtId="3" fontId="3" fillId="0" borderId="4" xfId="0" applyNumberFormat="1" applyFont="1" applyBorder="1"/>
    <xf numFmtId="0" fontId="3" fillId="0" borderId="3" xfId="0" applyFont="1" applyBorder="1"/>
    <xf numFmtId="0" fontId="6"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7" fillId="0" borderId="0" xfId="0" applyFont="1" applyAlignment="1">
      <alignment horizontal="center"/>
    </xf>
    <xf numFmtId="0" fontId="4" fillId="0" borderId="0" xfId="0" applyFont="1"/>
    <xf numFmtId="0" fontId="3" fillId="0" borderId="3" xfId="0" applyFont="1" applyBorder="1" applyAlignment="1">
      <alignment horizontal="left"/>
    </xf>
    <xf numFmtId="0" fontId="2" fillId="0" borderId="4" xfId="0" applyFont="1" applyBorder="1" applyAlignment="1">
      <alignment horizontal="center"/>
    </xf>
    <xf numFmtId="167" fontId="3" fillId="0" borderId="0" xfId="0" applyNumberFormat="1" applyFont="1" applyAlignment="1">
      <alignment horizontal="center"/>
    </xf>
    <xf numFmtId="0" fontId="3" fillId="0" borderId="4" xfId="0" applyFont="1" applyBorder="1" applyAlignment="1">
      <alignment horizontal="left"/>
    </xf>
    <xf numFmtId="0" fontId="8" fillId="0" borderId="0" xfId="0" applyFont="1" applyAlignment="1">
      <alignment horizontal="left"/>
    </xf>
    <xf numFmtId="0" fontId="8" fillId="0" borderId="0" xfId="0" applyFont="1"/>
    <xf numFmtId="0" fontId="3" fillId="0" borderId="0" xfId="0" applyFont="1" applyAlignment="1">
      <alignment horizontal="right"/>
    </xf>
    <xf numFmtId="0" fontId="6" fillId="0" borderId="0" xfId="0" applyFont="1"/>
    <xf numFmtId="4" fontId="6" fillId="0" borderId="0" xfId="0" applyNumberFormat="1" applyFont="1" applyAlignment="1">
      <alignment horizontal="right"/>
    </xf>
    <xf numFmtId="0" fontId="9" fillId="0" borderId="0" xfId="0" applyFont="1" applyAlignment="1">
      <alignment horizontal="left"/>
    </xf>
    <xf numFmtId="0" fontId="10" fillId="0" borderId="0" xfId="0" applyFont="1" applyAlignment="1">
      <alignment horizontal="center"/>
    </xf>
    <xf numFmtId="0" fontId="3" fillId="0" borderId="2" xfId="0" applyFont="1" applyBorder="1" applyAlignment="1">
      <alignment horizontal="left"/>
    </xf>
    <xf numFmtId="0" fontId="2" fillId="0" borderId="2" xfId="0" applyFont="1" applyBorder="1" applyAlignment="1">
      <alignment horizontal="center"/>
    </xf>
    <xf numFmtId="0" fontId="2" fillId="0" borderId="2" xfId="0" applyFont="1" applyBorder="1"/>
    <xf numFmtId="0" fontId="3" fillId="0" borderId="9" xfId="0" applyFont="1" applyBorder="1" applyAlignment="1">
      <alignment horizontal="center"/>
    </xf>
    <xf numFmtId="0" fontId="2" fillId="0" borderId="9" xfId="0" applyFont="1" applyBorder="1"/>
    <xf numFmtId="0" fontId="2" fillId="0" borderId="9" xfId="0" applyFont="1" applyBorder="1" applyAlignment="1">
      <alignment horizontal="center"/>
    </xf>
    <xf numFmtId="3" fontId="3" fillId="0" borderId="9" xfId="0" applyNumberFormat="1" applyFont="1" applyBorder="1"/>
    <xf numFmtId="0" fontId="2" fillId="2" borderId="0" xfId="0" applyFont="1" applyFill="1" applyAlignment="1">
      <alignment horizontal="left"/>
    </xf>
    <xf numFmtId="0" fontId="6" fillId="0" borderId="3" xfId="0" applyFont="1" applyBorder="1"/>
    <xf numFmtId="0" fontId="3" fillId="0" borderId="9" xfId="0" applyFont="1" applyBorder="1"/>
    <xf numFmtId="3" fontId="3" fillId="0" borderId="9" xfId="0" applyNumberFormat="1" applyFont="1" applyBorder="1" applyAlignment="1">
      <alignment horizontal="center"/>
    </xf>
    <xf numFmtId="0" fontId="10" fillId="0" borderId="0" xfId="0" applyFont="1"/>
    <xf numFmtId="0" fontId="2" fillId="0" borderId="9" xfId="0" applyFont="1" applyBorder="1" applyAlignment="1">
      <alignment horizontal="left"/>
    </xf>
    <xf numFmtId="0" fontId="4" fillId="2" borderId="0" xfId="0" applyFont="1" applyFill="1" applyAlignment="1">
      <alignment horizontal="center"/>
    </xf>
    <xf numFmtId="3" fontId="2" fillId="0" borderId="0" xfId="0" applyNumberFormat="1" applyFont="1"/>
    <xf numFmtId="3" fontId="3" fillId="0" borderId="0" xfId="0" applyNumberFormat="1" applyFont="1" applyAlignment="1">
      <alignment horizontal="left"/>
    </xf>
    <xf numFmtId="167" fontId="2" fillId="0" borderId="9" xfId="0" applyNumberFormat="1" applyFont="1" applyBorder="1" applyAlignment="1">
      <alignment horizontal="left"/>
    </xf>
    <xf numFmtId="3" fontId="2" fillId="0" borderId="9" xfId="0" applyNumberFormat="1" applyFont="1" applyBorder="1" applyAlignment="1">
      <alignment horizontal="center"/>
    </xf>
    <xf numFmtId="167" fontId="2" fillId="0" borderId="0" xfId="0" applyNumberFormat="1" applyFont="1" applyAlignment="1">
      <alignment horizontal="left"/>
    </xf>
    <xf numFmtId="169" fontId="3" fillId="0" borderId="0" xfId="0" applyNumberFormat="1" applyFont="1"/>
    <xf numFmtId="167" fontId="3" fillId="0" borderId="0" xfId="0" applyNumberFormat="1" applyFont="1" applyAlignment="1">
      <alignment horizontal="left"/>
    </xf>
    <xf numFmtId="0" fontId="2" fillId="0" borderId="2" xfId="0" applyFont="1" applyBorder="1" applyAlignment="1">
      <alignment horizontal="left"/>
    </xf>
    <xf numFmtId="167" fontId="2" fillId="0" borderId="4" xfId="0" applyNumberFormat="1" applyFont="1" applyBorder="1" applyAlignment="1">
      <alignment horizontal="left"/>
    </xf>
    <xf numFmtId="3" fontId="2" fillId="0" borderId="4" xfId="0" applyNumberFormat="1" applyFont="1" applyBorder="1"/>
    <xf numFmtId="3" fontId="2" fillId="0" borderId="2" xfId="0" applyNumberFormat="1" applyFont="1" applyBorder="1" applyAlignment="1">
      <alignment horizontal="center"/>
    </xf>
    <xf numFmtId="0" fontId="2" fillId="0" borderId="16" xfId="0" applyFont="1" applyBorder="1" applyAlignment="1">
      <alignment horizontal="center"/>
    </xf>
    <xf numFmtId="0" fontId="3" fillId="0" borderId="21" xfId="0" applyFont="1" applyBorder="1" applyAlignment="1">
      <alignment horizontal="center"/>
    </xf>
    <xf numFmtId="0" fontId="2" fillId="0" borderId="21" xfId="0" applyFont="1" applyBorder="1"/>
    <xf numFmtId="3" fontId="2" fillId="0" borderId="21" xfId="0" applyNumberFormat="1" applyFont="1" applyBorder="1"/>
    <xf numFmtId="3" fontId="2" fillId="0" borderId="0" xfId="0" applyNumberFormat="1" applyFont="1" applyAlignment="1">
      <alignment horizontal="center"/>
    </xf>
    <xf numFmtId="0" fontId="2" fillId="0" borderId="3" xfId="0" applyFont="1" applyBorder="1"/>
    <xf numFmtId="3" fontId="2" fillId="0" borderId="3" xfId="0" applyNumberFormat="1" applyFont="1" applyBorder="1" applyAlignment="1">
      <alignment horizontal="center"/>
    </xf>
    <xf numFmtId="43" fontId="3" fillId="0" borderId="0" xfId="0" applyNumberFormat="1" applyFont="1"/>
    <xf numFmtId="0" fontId="2" fillId="0" borderId="10" xfId="0" applyFont="1" applyBorder="1" applyAlignment="1">
      <alignment horizontal="center"/>
    </xf>
    <xf numFmtId="0" fontId="2" fillId="0" borderId="11" xfId="0" applyFont="1" applyBorder="1"/>
    <xf numFmtId="0" fontId="2" fillId="0" borderId="11" xfId="0" applyFont="1" applyBorder="1" applyAlignment="1">
      <alignment horizontal="left"/>
    </xf>
    <xf numFmtId="0" fontId="2" fillId="0" borderId="11" xfId="0" applyFont="1" applyBorder="1" applyAlignment="1">
      <alignment horizontal="center"/>
    </xf>
    <xf numFmtId="0" fontId="1" fillId="0" borderId="0" xfId="0" applyFont="1" applyAlignment="1">
      <alignment horizontal="center"/>
    </xf>
    <xf numFmtId="0" fontId="4" fillId="0" borderId="0" xfId="0" applyFont="1" applyAlignment="1">
      <alignment horizontal="left"/>
    </xf>
    <xf numFmtId="0" fontId="2" fillId="0" borderId="3" xfId="0" applyFont="1" applyBorder="1" applyAlignment="1">
      <alignment horizontal="center"/>
    </xf>
    <xf numFmtId="3" fontId="12" fillId="0" borderId="0" xfId="0" applyNumberFormat="1" applyFont="1" applyAlignment="1">
      <alignment horizontal="right"/>
    </xf>
    <xf numFmtId="0" fontId="2" fillId="0" borderId="4" xfId="0" applyFont="1" applyBorder="1" applyAlignment="1">
      <alignment wrapText="1"/>
    </xf>
    <xf numFmtId="171" fontId="3" fillId="0" borderId="0" xfId="0" applyNumberFormat="1" applyFont="1"/>
    <xf numFmtId="10" fontId="3" fillId="0" borderId="3" xfId="0" applyNumberFormat="1" applyFont="1" applyBorder="1"/>
    <xf numFmtId="170" fontId="3" fillId="0" borderId="0" xfId="0" applyNumberFormat="1" applyFont="1" applyAlignment="1">
      <alignment horizontal="right"/>
    </xf>
    <xf numFmtId="0" fontId="11" fillId="0" borderId="3" xfId="0" applyFont="1" applyBorder="1"/>
    <xf numFmtId="0" fontId="10" fillId="0" borderId="3" xfId="0" applyFont="1" applyBorder="1"/>
    <xf numFmtId="170" fontId="3" fillId="0" borderId="4" xfId="0" applyNumberFormat="1" applyFont="1" applyBorder="1" applyAlignment="1">
      <alignment horizontal="right"/>
    </xf>
    <xf numFmtId="3" fontId="2" fillId="0" borderId="4" xfId="0" applyNumberFormat="1" applyFont="1" applyBorder="1" applyAlignment="1">
      <alignment horizontal="right"/>
    </xf>
    <xf numFmtId="3" fontId="2" fillId="0" borderId="9" xfId="0" applyNumberFormat="1" applyFont="1" applyBorder="1" applyAlignment="1">
      <alignment horizontal="right"/>
    </xf>
    <xf numFmtId="0" fontId="3" fillId="2" borderId="0" xfId="0" applyFont="1" applyFill="1" applyAlignment="1">
      <alignment horizontal="right" wrapText="1"/>
    </xf>
    <xf numFmtId="171" fontId="2" fillId="0" borderId="0" xfId="0" applyNumberFormat="1" applyFont="1" applyAlignment="1">
      <alignment horizontal="right"/>
    </xf>
    <xf numFmtId="10" fontId="3" fillId="0" borderId="3" xfId="0" applyNumberFormat="1" applyFont="1" applyBorder="1" applyAlignment="1">
      <alignment horizontal="right"/>
    </xf>
    <xf numFmtId="10" fontId="2" fillId="0" borderId="0" xfId="0" applyNumberFormat="1" applyFont="1" applyAlignment="1">
      <alignment horizontal="right"/>
    </xf>
    <xf numFmtId="165" fontId="2" fillId="0" borderId="0" xfId="0" applyNumberFormat="1" applyFont="1" applyAlignment="1">
      <alignment horizontal="right"/>
    </xf>
    <xf numFmtId="3" fontId="2" fillId="0" borderId="21" xfId="0" applyNumberFormat="1" applyFont="1" applyBorder="1" applyAlignment="1">
      <alignment horizontal="right"/>
    </xf>
    <xf numFmtId="3" fontId="2" fillId="0" borderId="11" xfId="0" applyNumberFormat="1" applyFont="1" applyBorder="1" applyAlignment="1">
      <alignment horizontal="right"/>
    </xf>
    <xf numFmtId="170" fontId="2" fillId="0" borderId="0" xfId="0" applyNumberFormat="1" applyFont="1" applyAlignment="1">
      <alignment horizontal="right"/>
    </xf>
    <xf numFmtId="3" fontId="2" fillId="0" borderId="3" xfId="0" applyNumberFormat="1" applyFont="1" applyBorder="1" applyAlignment="1">
      <alignment horizontal="right"/>
    </xf>
    <xf numFmtId="164" fontId="2" fillId="0" borderId="0" xfId="0" applyNumberFormat="1" applyFont="1" applyAlignment="1">
      <alignment horizontal="right"/>
    </xf>
    <xf numFmtId="3" fontId="3" fillId="0" borderId="0" xfId="0" applyNumberFormat="1" applyFont="1" applyAlignment="1">
      <alignment wrapText="1"/>
    </xf>
    <xf numFmtId="4" fontId="2" fillId="0" borderId="0" xfId="0" applyNumberFormat="1" applyFont="1" applyAlignment="1">
      <alignment horizontal="right"/>
    </xf>
    <xf numFmtId="0" fontId="2" fillId="8" borderId="20" xfId="0" applyFont="1" applyFill="1" applyBorder="1" applyAlignment="1">
      <alignment horizontal="center" wrapText="1"/>
    </xf>
    <xf numFmtId="0" fontId="2" fillId="8" borderId="30" xfId="0" applyFont="1" applyFill="1" applyBorder="1" applyAlignment="1">
      <alignment horizontal="center"/>
    </xf>
    <xf numFmtId="0" fontId="2" fillId="0" borderId="0" xfId="0" applyFont="1" applyAlignment="1">
      <alignment horizontal="right" wrapText="1"/>
    </xf>
    <xf numFmtId="10" fontId="3" fillId="8" borderId="0" xfId="0" applyNumberFormat="1" applyFont="1" applyFill="1" applyAlignment="1">
      <alignment horizontal="right"/>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left"/>
    </xf>
    <xf numFmtId="0" fontId="3" fillId="0" borderId="7" xfId="0" applyFont="1" applyBorder="1" applyAlignment="1">
      <alignment horizontal="left"/>
    </xf>
    <xf numFmtId="4" fontId="2" fillId="0" borderId="23" xfId="0" applyNumberFormat="1" applyFont="1" applyBorder="1" applyAlignment="1">
      <alignment horizontal="right"/>
    </xf>
    <xf numFmtId="0" fontId="2" fillId="0" borderId="15" xfId="0" applyFont="1" applyBorder="1" applyAlignment="1">
      <alignment horizontal="center"/>
    </xf>
    <xf numFmtId="4" fontId="2" fillId="0" borderId="14" xfId="0" applyNumberFormat="1" applyFont="1" applyBorder="1" applyAlignment="1">
      <alignment horizontal="right"/>
    </xf>
    <xf numFmtId="0" fontId="2" fillId="0" borderId="5" xfId="0" applyFont="1" applyBorder="1" applyAlignment="1">
      <alignment horizontal="center"/>
    </xf>
    <xf numFmtId="4" fontId="2" fillId="0" borderId="8" xfId="0" applyNumberFormat="1" applyFont="1" applyBorder="1" applyAlignment="1">
      <alignment horizontal="right"/>
    </xf>
    <xf numFmtId="0" fontId="6" fillId="0" borderId="21" xfId="0" applyFont="1" applyBorder="1" applyAlignment="1">
      <alignment horizontal="center"/>
    </xf>
    <xf numFmtId="0" fontId="3" fillId="0" borderId="0" xfId="0" applyFont="1" applyAlignment="1">
      <alignment horizontal="center" vertical="center"/>
    </xf>
    <xf numFmtId="0" fontId="3" fillId="0" borderId="0" xfId="0" applyFont="1" applyAlignment="1">
      <alignment vertical="center"/>
    </xf>
    <xf numFmtId="3" fontId="3" fillId="0" borderId="3" xfId="0" applyNumberFormat="1" applyFont="1" applyBorder="1" applyAlignment="1">
      <alignment wrapText="1"/>
    </xf>
    <xf numFmtId="0" fontId="15" fillId="0" borderId="0" xfId="0" applyFont="1" applyAlignment="1">
      <alignment horizontal="center"/>
    </xf>
    <xf numFmtId="0" fontId="15" fillId="0" borderId="4"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43" fontId="15" fillId="0" borderId="4" xfId="0" applyNumberFormat="1" applyFont="1" applyBorder="1" applyAlignment="1">
      <alignment horizontal="center"/>
    </xf>
    <xf numFmtId="0" fontId="15" fillId="0" borderId="9" xfId="0" applyFont="1" applyBorder="1" applyAlignment="1">
      <alignment horizontal="center"/>
    </xf>
    <xf numFmtId="3" fontId="15" fillId="0" borderId="0" xfId="0" quotePrefix="1" applyNumberFormat="1" applyFont="1" applyAlignment="1">
      <alignment horizontal="center"/>
    </xf>
    <xf numFmtId="168" fontId="15" fillId="0" borderId="9" xfId="0" applyNumberFormat="1" applyFont="1" applyBorder="1" applyAlignment="1">
      <alignment horizontal="center"/>
    </xf>
    <xf numFmtId="168" fontId="15" fillId="0" borderId="4" xfId="0" applyNumberFormat="1" applyFont="1" applyBorder="1" applyAlignment="1">
      <alignment horizontal="center"/>
    </xf>
    <xf numFmtId="0" fontId="15" fillId="0" borderId="11" xfId="0" applyFont="1" applyBorder="1" applyAlignment="1">
      <alignment horizontal="center"/>
    </xf>
    <xf numFmtId="0" fontId="15" fillId="0" borderId="7" xfId="0" applyFont="1" applyBorder="1" applyAlignment="1">
      <alignment horizontal="center"/>
    </xf>
    <xf numFmtId="0" fontId="15" fillId="2" borderId="0" xfId="0" applyFont="1" applyFill="1" applyAlignment="1">
      <alignment horizontal="center"/>
    </xf>
    <xf numFmtId="3" fontId="15" fillId="0" borderId="0" xfId="0" applyNumberFormat="1" applyFont="1" applyAlignment="1">
      <alignment horizontal="center"/>
    </xf>
    <xf numFmtId="167" fontId="15" fillId="0" borderId="0" xfId="0" applyNumberFormat="1" applyFont="1" applyAlignment="1">
      <alignment horizontal="center"/>
    </xf>
    <xf numFmtId="3" fontId="15" fillId="0" borderId="3" xfId="0" applyNumberFormat="1" applyFont="1" applyBorder="1" applyAlignment="1">
      <alignment horizontal="center"/>
    </xf>
    <xf numFmtId="3" fontId="15" fillId="0" borderId="2" xfId="0" applyNumberFormat="1" applyFont="1" applyBorder="1" applyAlignment="1">
      <alignment horizontal="center"/>
    </xf>
    <xf numFmtId="168" fontId="15" fillId="0" borderId="0" xfId="0" applyNumberFormat="1" applyFont="1" applyAlignment="1">
      <alignment horizontal="center"/>
    </xf>
    <xf numFmtId="168" fontId="15" fillId="0" borderId="3" xfId="0" applyNumberFormat="1" applyFont="1" applyBorder="1" applyAlignment="1">
      <alignment horizontal="center"/>
    </xf>
    <xf numFmtId="0" fontId="15" fillId="0" borderId="21" xfId="0" applyFont="1" applyBorder="1" applyAlignment="1">
      <alignment horizontal="center"/>
    </xf>
    <xf numFmtId="37" fontId="15" fillId="0" borderId="0" xfId="0" applyNumberFormat="1" applyFont="1" applyAlignment="1">
      <alignment horizontal="center"/>
    </xf>
    <xf numFmtId="3" fontId="15" fillId="0" borderId="0" xfId="0" applyNumberFormat="1" applyFont="1" applyAlignment="1">
      <alignment horizontal="center" wrapText="1"/>
    </xf>
    <xf numFmtId="174" fontId="2" fillId="0" borderId="0" xfId="0" applyNumberFormat="1" applyFont="1" applyAlignment="1">
      <alignment horizontal="right"/>
    </xf>
    <xf numFmtId="0" fontId="3" fillId="8" borderId="0" xfId="0" applyFont="1" applyFill="1" applyAlignment="1">
      <alignment horizontal="center" wrapText="1"/>
    </xf>
    <xf numFmtId="10" fontId="3" fillId="0" borderId="0" xfId="0" applyNumberFormat="1" applyFont="1" applyAlignment="1">
      <alignment wrapText="1"/>
    </xf>
    <xf numFmtId="37" fontId="3" fillId="8" borderId="3" xfId="0" applyNumberFormat="1" applyFont="1" applyFill="1" applyBorder="1"/>
    <xf numFmtId="0" fontId="35" fillId="0" borderId="0" xfId="0" applyFont="1"/>
    <xf numFmtId="0" fontId="35" fillId="0" borderId="0" xfId="0" applyFont="1" applyAlignment="1">
      <alignment horizontal="center" wrapText="1"/>
    </xf>
    <xf numFmtId="0" fontId="36" fillId="8" borderId="0" xfId="0" applyFont="1" applyFill="1"/>
    <xf numFmtId="3" fontId="35" fillId="8" borderId="0" xfId="3" applyNumberFormat="1" applyFont="1" applyFill="1"/>
    <xf numFmtId="3" fontId="35" fillId="0" borderId="0" xfId="3" applyNumberFormat="1" applyFont="1" applyFill="1"/>
    <xf numFmtId="167" fontId="35" fillId="8" borderId="0" xfId="4" applyNumberFormat="1" applyFont="1" applyFill="1"/>
    <xf numFmtId="3" fontId="35" fillId="0" borderId="0" xfId="3" applyNumberFormat="1" applyFont="1" applyFill="1" applyAlignment="1">
      <alignment horizontal="center"/>
    </xf>
    <xf numFmtId="3" fontId="35" fillId="8" borderId="0" xfId="2" applyNumberFormat="1" applyFont="1" applyFill="1"/>
    <xf numFmtId="3" fontId="35" fillId="0" borderId="0" xfId="2" applyNumberFormat="1" applyFont="1" applyFill="1" applyAlignment="1">
      <alignment horizontal="center"/>
    </xf>
    <xf numFmtId="3" fontId="35" fillId="0" borderId="0" xfId="2" applyNumberFormat="1" applyFont="1" applyFill="1"/>
    <xf numFmtId="3" fontId="35" fillId="0" borderId="0" xfId="0" applyNumberFormat="1" applyFont="1"/>
    <xf numFmtId="3" fontId="38" fillId="8" borderId="0" xfId="2" applyNumberFormat="1" applyFont="1" applyFill="1"/>
    <xf numFmtId="3" fontId="38" fillId="0" borderId="0" xfId="3" applyNumberFormat="1" applyFont="1" applyFill="1"/>
    <xf numFmtId="3" fontId="38" fillId="0" borderId="0" xfId="2" applyNumberFormat="1" applyFont="1" applyFill="1"/>
    <xf numFmtId="3" fontId="38" fillId="0" borderId="0" xfId="0" applyNumberFormat="1" applyFont="1"/>
    <xf numFmtId="0" fontId="39" fillId="0" borderId="0" xfId="0" applyFont="1" applyAlignment="1">
      <alignment wrapText="1"/>
    </xf>
    <xf numFmtId="3" fontId="35" fillId="0" borderId="0" xfId="2" applyNumberFormat="1" applyFont="1"/>
    <xf numFmtId="41" fontId="35" fillId="0" borderId="0" xfId="2" applyFont="1"/>
    <xf numFmtId="0" fontId="40" fillId="0" borderId="0" xfId="0" applyFont="1" applyAlignment="1">
      <alignment wrapText="1"/>
    </xf>
    <xf numFmtId="3" fontId="41" fillId="0" borderId="0" xfId="2" applyNumberFormat="1" applyFont="1"/>
    <xf numFmtId="3" fontId="38" fillId="0" borderId="0" xfId="2" applyNumberFormat="1" applyFont="1"/>
    <xf numFmtId="0" fontId="35" fillId="8" borderId="0" xfId="0" applyFont="1" applyFill="1" applyAlignment="1">
      <alignment wrapText="1"/>
    </xf>
    <xf numFmtId="3" fontId="35" fillId="8" borderId="0" xfId="0" applyNumberFormat="1" applyFont="1" applyFill="1"/>
    <xf numFmtId="167" fontId="35" fillId="0" borderId="0" xfId="4" applyNumberFormat="1" applyFont="1" applyFill="1"/>
    <xf numFmtId="3" fontId="38" fillId="8" borderId="0" xfId="0" applyNumberFormat="1" applyFont="1" applyFill="1"/>
    <xf numFmtId="3" fontId="38" fillId="8" borderId="0" xfId="3" applyNumberFormat="1" applyFont="1" applyFill="1"/>
    <xf numFmtId="0" fontId="35" fillId="0" borderId="0" xfId="0" applyFont="1" applyAlignment="1">
      <alignment wrapText="1"/>
    </xf>
    <xf numFmtId="167" fontId="35" fillId="0" borderId="0" xfId="4" applyNumberFormat="1" applyFont="1"/>
    <xf numFmtId="0" fontId="42" fillId="0" borderId="0" xfId="0" applyFont="1" applyAlignment="1">
      <alignment wrapText="1"/>
    </xf>
    <xf numFmtId="0" fontId="39" fillId="8" borderId="0" xfId="0" applyFont="1" applyFill="1" applyAlignment="1">
      <alignment wrapText="1"/>
    </xf>
    <xf numFmtId="3" fontId="35" fillId="0" borderId="0" xfId="2" applyNumberFormat="1" applyFont="1" applyFill="1" applyBorder="1" applyAlignment="1">
      <alignment horizontal="center"/>
    </xf>
    <xf numFmtId="3" fontId="38" fillId="0" borderId="0" xfId="2" applyNumberFormat="1" applyFont="1" applyFill="1" applyBorder="1"/>
    <xf numFmtId="3" fontId="35" fillId="0" borderId="0" xfId="2" applyNumberFormat="1" applyFont="1" applyBorder="1"/>
    <xf numFmtId="3" fontId="35" fillId="0" borderId="0" xfId="2" applyNumberFormat="1" applyFont="1" applyFill="1" applyBorder="1"/>
    <xf numFmtId="3" fontId="41" fillId="0" borderId="0" xfId="2" applyNumberFormat="1" applyFont="1" applyBorder="1"/>
    <xf numFmtId="3" fontId="41" fillId="0" borderId="0" xfId="2" applyNumberFormat="1" applyFont="1" applyFill="1"/>
    <xf numFmtId="3" fontId="38" fillId="0" borderId="0" xfId="3" applyNumberFormat="1" applyFont="1" applyBorder="1"/>
    <xf numFmtId="3" fontId="35" fillId="0" borderId="0" xfId="3" applyNumberFormat="1" applyFont="1" applyBorder="1"/>
    <xf numFmtId="41" fontId="35" fillId="0" borderId="0" xfId="2" applyFont="1" applyBorder="1"/>
    <xf numFmtId="3" fontId="35" fillId="0" borderId="0" xfId="3" applyNumberFormat="1" applyFont="1" applyFill="1" applyBorder="1"/>
    <xf numFmtId="3" fontId="0" fillId="0" borderId="0" xfId="0" applyNumberFormat="1"/>
    <xf numFmtId="0" fontId="35" fillId="5" borderId="27" xfId="5" applyFont="1" applyFill="1" applyBorder="1" applyAlignment="1">
      <alignment wrapText="1"/>
    </xf>
    <xf numFmtId="3" fontId="43" fillId="8" borderId="25" xfId="5" applyNumberFormat="1" applyFont="1" applyFill="1" applyBorder="1"/>
    <xf numFmtId="3" fontId="43" fillId="8" borderId="25" xfId="1" applyNumberFormat="1" applyFont="1" applyFill="1" applyBorder="1"/>
    <xf numFmtId="3" fontId="35" fillId="0" borderId="41" xfId="1" applyNumberFormat="1" applyFont="1" applyFill="1" applyBorder="1"/>
    <xf numFmtId="164" fontId="35" fillId="8" borderId="24" xfId="2" applyNumberFormat="1" applyFont="1" applyFill="1" applyBorder="1" applyAlignment="1">
      <alignment wrapText="1"/>
    </xf>
    <xf numFmtId="0" fontId="35" fillId="5" borderId="18" xfId="5" applyFont="1" applyFill="1" applyBorder="1" applyAlignment="1">
      <alignment wrapText="1"/>
    </xf>
    <xf numFmtId="3" fontId="43" fillId="8" borderId="12" xfId="5" applyNumberFormat="1" applyFont="1" applyFill="1" applyBorder="1"/>
    <xf numFmtId="3" fontId="43" fillId="8" borderId="12" xfId="1" applyNumberFormat="1" applyFont="1" applyFill="1" applyBorder="1"/>
    <xf numFmtId="3" fontId="35" fillId="0" borderId="40" xfId="1" applyNumberFormat="1" applyFont="1" applyFill="1" applyBorder="1"/>
    <xf numFmtId="0" fontId="35" fillId="0" borderId="18" xfId="5" applyFont="1" applyBorder="1" applyAlignment="1">
      <alignment wrapText="1"/>
    </xf>
    <xf numFmtId="164" fontId="35" fillId="0" borderId="24" xfId="2" applyNumberFormat="1" applyFont="1" applyFill="1" applyBorder="1" applyAlignment="1">
      <alignment wrapText="1"/>
    </xf>
    <xf numFmtId="164" fontId="35" fillId="5" borderId="24" xfId="2" applyNumberFormat="1" applyFont="1" applyFill="1" applyBorder="1" applyAlignment="1">
      <alignment wrapText="1"/>
    </xf>
    <xf numFmtId="0" fontId="42" fillId="0" borderId="17" xfId="5" applyFont="1" applyBorder="1"/>
    <xf numFmtId="3" fontId="42" fillId="0" borderId="32" xfId="5" applyNumberFormat="1" applyFont="1" applyBorder="1"/>
    <xf numFmtId="37" fontId="35" fillId="0" borderId="33" xfId="0" applyNumberFormat="1" applyFont="1" applyBorder="1" applyAlignment="1">
      <alignment wrapText="1"/>
    </xf>
    <xf numFmtId="0" fontId="42" fillId="0" borderId="18" xfId="5" applyFont="1" applyBorder="1"/>
    <xf numFmtId="3" fontId="35" fillId="0" borderId="12" xfId="5" applyNumberFormat="1" applyFont="1" applyBorder="1"/>
    <xf numFmtId="3" fontId="35" fillId="0" borderId="32" xfId="5" applyNumberFormat="1" applyFont="1" applyBorder="1"/>
    <xf numFmtId="3" fontId="35" fillId="0" borderId="12" xfId="5" applyNumberFormat="1" applyFont="1" applyBorder="1" applyAlignment="1">
      <alignment horizontal="right"/>
    </xf>
    <xf numFmtId="0" fontId="35" fillId="0" borderId="24" xfId="0" applyFont="1" applyBorder="1" applyAlignment="1">
      <alignment wrapText="1"/>
    </xf>
    <xf numFmtId="0" fontId="42" fillId="0" borderId="35" xfId="0" applyFont="1" applyBorder="1"/>
    <xf numFmtId="3" fontId="42" fillId="0" borderId="29" xfId="5" applyNumberFormat="1" applyFont="1" applyBorder="1"/>
    <xf numFmtId="0" fontId="42" fillId="0" borderId="36" xfId="0" applyFont="1" applyBorder="1" applyAlignment="1">
      <alignment wrapText="1"/>
    </xf>
    <xf numFmtId="3" fontId="35" fillId="0" borderId="42" xfId="1" applyNumberFormat="1" applyFont="1" applyFill="1" applyBorder="1"/>
    <xf numFmtId="0" fontId="35" fillId="8" borderId="24" xfId="2" applyNumberFormat="1" applyFont="1" applyFill="1" applyBorder="1" applyAlignment="1">
      <alignment wrapText="1"/>
    </xf>
    <xf numFmtId="3" fontId="2" fillId="0" borderId="12" xfId="0" applyNumberFormat="1" applyFont="1" applyBorder="1"/>
    <xf numFmtId="3" fontId="43" fillId="8" borderId="27" xfId="1" applyNumberFormat="1" applyFont="1" applyFill="1" applyBorder="1"/>
    <xf numFmtId="3" fontId="43" fillId="8" borderId="28" xfId="1" applyNumberFormat="1" applyFont="1" applyFill="1" applyBorder="1"/>
    <xf numFmtId="3" fontId="43" fillId="8" borderId="18" xfId="1" applyNumberFormat="1" applyFont="1" applyFill="1" applyBorder="1"/>
    <xf numFmtId="3" fontId="43" fillId="8" borderId="24" xfId="1" applyNumberFormat="1" applyFont="1" applyFill="1" applyBorder="1" applyAlignment="1">
      <alignment wrapText="1"/>
    </xf>
    <xf numFmtId="3" fontId="43" fillId="8" borderId="24" xfId="1" applyNumberFormat="1" applyFont="1" applyFill="1" applyBorder="1"/>
    <xf numFmtId="0" fontId="2" fillId="0" borderId="49" xfId="0" applyFont="1" applyBorder="1"/>
    <xf numFmtId="0" fontId="35" fillId="8" borderId="28" xfId="2" applyNumberFormat="1" applyFont="1" applyFill="1" applyBorder="1" applyAlignment="1">
      <alignment wrapText="1"/>
    </xf>
    <xf numFmtId="164" fontId="35" fillId="8" borderId="28" xfId="2" applyNumberFormat="1" applyFont="1" applyFill="1" applyBorder="1" applyAlignment="1">
      <alignment wrapText="1"/>
    </xf>
    <xf numFmtId="0" fontId="2" fillId="3" borderId="45" xfId="0" applyFont="1" applyFill="1" applyBorder="1"/>
    <xf numFmtId="0" fontId="2" fillId="3" borderId="45" xfId="0" applyFont="1" applyFill="1" applyBorder="1" applyAlignment="1">
      <alignment horizontal="center"/>
    </xf>
    <xf numFmtId="0" fontId="2" fillId="0" borderId="45" xfId="0" applyFont="1" applyBorder="1" applyAlignment="1">
      <alignment horizontal="center"/>
    </xf>
    <xf numFmtId="0" fontId="2" fillId="0" borderId="45" xfId="0" applyFont="1" applyBorder="1" applyAlignment="1">
      <alignment horizontal="left"/>
    </xf>
    <xf numFmtId="0" fontId="3" fillId="0" borderId="45" xfId="0" applyFont="1" applyBorder="1" applyAlignment="1">
      <alignment horizontal="left"/>
    </xf>
    <xf numFmtId="0" fontId="15" fillId="0" borderId="45" xfId="0" applyFont="1" applyBorder="1" applyAlignment="1">
      <alignment horizontal="center"/>
    </xf>
    <xf numFmtId="0" fontId="13" fillId="0" borderId="45" xfId="0" applyFont="1" applyBorder="1" applyAlignment="1">
      <alignment horizontal="center"/>
    </xf>
    <xf numFmtId="0" fontId="3" fillId="0" borderId="45" xfId="0" applyFont="1" applyBorder="1"/>
    <xf numFmtId="0" fontId="3" fillId="0" borderId="45" xfId="0" applyFont="1" applyBorder="1" applyAlignment="1">
      <alignment horizontal="right"/>
    </xf>
    <xf numFmtId="3" fontId="3" fillId="8" borderId="45" xfId="0" applyNumberFormat="1" applyFont="1" applyFill="1" applyBorder="1"/>
    <xf numFmtId="164" fontId="3" fillId="0" borderId="45" xfId="0" applyNumberFormat="1" applyFont="1" applyBorder="1"/>
    <xf numFmtId="166" fontId="3" fillId="0" borderId="45" xfId="0" applyNumberFormat="1" applyFont="1" applyBorder="1"/>
    <xf numFmtId="0" fontId="2" fillId="0" borderId="45" xfId="0" applyFont="1" applyBorder="1" applyAlignment="1">
      <alignment horizontal="center" wrapText="1"/>
    </xf>
    <xf numFmtId="0" fontId="2" fillId="0" borderId="45" xfId="0" applyFont="1" applyBorder="1"/>
    <xf numFmtId="164" fontId="3" fillId="0" borderId="45" xfId="0" applyNumberFormat="1" applyFont="1" applyBorder="1" applyAlignment="1">
      <alignment horizontal="center"/>
    </xf>
    <xf numFmtId="3" fontId="3" fillId="0" borderId="45" xfId="0" applyNumberFormat="1" applyFont="1" applyBorder="1"/>
    <xf numFmtId="3" fontId="3" fillId="0" borderId="45" xfId="0" applyNumberFormat="1" applyFont="1" applyBorder="1" applyAlignment="1">
      <alignment horizontal="left"/>
    </xf>
    <xf numFmtId="3" fontId="3" fillId="0" borderId="45" xfId="0" applyNumberFormat="1" applyFont="1" applyBorder="1" applyAlignment="1">
      <alignment horizontal="right"/>
    </xf>
    <xf numFmtId="164" fontId="3" fillId="8" borderId="45" xfId="0" applyNumberFormat="1" applyFont="1" applyFill="1" applyBorder="1"/>
    <xf numFmtId="10" fontId="3" fillId="8" borderId="45" xfId="0" applyNumberFormat="1" applyFont="1" applyFill="1" applyBorder="1"/>
    <xf numFmtId="166" fontId="3" fillId="0" borderId="45" xfId="0" applyNumberFormat="1" applyFont="1" applyBorder="1" applyAlignment="1">
      <alignment horizontal="center"/>
    </xf>
    <xf numFmtId="0" fontId="10" fillId="0" borderId="45" xfId="0" applyFont="1" applyBorder="1"/>
    <xf numFmtId="0" fontId="3" fillId="8" borderId="45" xfId="0" applyFont="1" applyFill="1" applyBorder="1"/>
    <xf numFmtId="0" fontId="2" fillId="10" borderId="45" xfId="0" applyFont="1" applyFill="1" applyBorder="1" applyAlignment="1">
      <alignment horizontal="center"/>
    </xf>
    <xf numFmtId="3" fontId="22" fillId="8" borderId="0" xfId="0" applyNumberFormat="1" applyFont="1" applyFill="1"/>
    <xf numFmtId="3" fontId="44" fillId="8" borderId="0" xfId="0" applyNumberFormat="1" applyFont="1" applyFill="1"/>
    <xf numFmtId="3" fontId="3" fillId="12" borderId="0" xfId="0" applyNumberFormat="1" applyFont="1" applyFill="1"/>
    <xf numFmtId="0" fontId="3" fillId="12" borderId="0" xfId="0" applyFont="1" applyFill="1"/>
    <xf numFmtId="0" fontId="3" fillId="0" borderId="51" xfId="0" applyFont="1" applyBorder="1" applyAlignment="1">
      <alignment horizontal="center"/>
    </xf>
    <xf numFmtId="0" fontId="3" fillId="0" borderId="52" xfId="0" applyFont="1" applyBorder="1" applyAlignment="1">
      <alignment horizontal="center"/>
    </xf>
    <xf numFmtId="0" fontId="3" fillId="12" borderId="52" xfId="0" applyFont="1" applyFill="1" applyBorder="1"/>
    <xf numFmtId="0" fontId="3" fillId="0" borderId="50" xfId="0" applyFont="1" applyBorder="1"/>
    <xf numFmtId="0" fontId="3" fillId="0" borderId="53" xfId="0" applyFont="1" applyBorder="1" applyAlignment="1">
      <alignment horizontal="center"/>
    </xf>
    <xf numFmtId="0" fontId="3" fillId="8" borderId="50" xfId="0" applyFont="1" applyFill="1" applyBorder="1" applyAlignment="1">
      <alignment horizontal="center"/>
    </xf>
    <xf numFmtId="0" fontId="3" fillId="12" borderId="0" xfId="0" applyFont="1" applyFill="1" applyAlignment="1">
      <alignment horizontal="center"/>
    </xf>
    <xf numFmtId="0" fontId="3" fillId="12" borderId="50" xfId="0" applyFont="1" applyFill="1" applyBorder="1" applyAlignment="1">
      <alignment horizontal="center"/>
    </xf>
    <xf numFmtId="0" fontId="3" fillId="12" borderId="53" xfId="0" applyFont="1" applyFill="1" applyBorder="1" applyAlignment="1">
      <alignment horizontal="center"/>
    </xf>
    <xf numFmtId="3" fontId="3" fillId="10" borderId="0" xfId="0" applyNumberFormat="1" applyFont="1" applyFill="1"/>
    <xf numFmtId="164" fontId="3" fillId="8" borderId="0" xfId="1" applyNumberFormat="1" applyFont="1" applyFill="1" applyAlignment="1">
      <alignment horizontal="right"/>
    </xf>
    <xf numFmtId="164" fontId="3" fillId="12" borderId="0" xfId="1" applyNumberFormat="1" applyFont="1" applyFill="1"/>
    <xf numFmtId="0" fontId="3" fillId="8" borderId="50" xfId="0" applyFont="1" applyFill="1" applyBorder="1"/>
    <xf numFmtId="3" fontId="3" fillId="8" borderId="54" xfId="0" applyNumberFormat="1" applyFont="1" applyFill="1" applyBorder="1"/>
    <xf numFmtId="3" fontId="3" fillId="0" borderId="53" xfId="0" applyNumberFormat="1" applyFont="1" applyBorder="1" applyAlignment="1">
      <alignment horizontal="right"/>
    </xf>
    <xf numFmtId="14" fontId="3" fillId="8" borderId="50" xfId="0" applyNumberFormat="1" applyFont="1" applyFill="1" applyBorder="1" applyAlignment="1">
      <alignment horizontal="center"/>
    </xf>
    <xf numFmtId="0" fontId="42" fillId="0" borderId="0" xfId="0" applyFont="1" applyAlignment="1">
      <alignment horizontal="center"/>
    </xf>
    <xf numFmtId="0" fontId="35" fillId="8" borderId="0" xfId="0" applyFont="1" applyFill="1"/>
    <xf numFmtId="0" fontId="42" fillId="8" borderId="0" xfId="0" applyFont="1" applyFill="1" applyAlignment="1">
      <alignment horizontal="center"/>
    </xf>
    <xf numFmtId="0" fontId="35" fillId="0" borderId="0" xfId="0" applyFont="1" applyAlignment="1">
      <alignment horizontal="right" wrapText="1"/>
    </xf>
    <xf numFmtId="0" fontId="35" fillId="0" borderId="0" xfId="0" applyFont="1" applyAlignment="1">
      <alignment horizontal="center"/>
    </xf>
    <xf numFmtId="0" fontId="42" fillId="0" borderId="0" xfId="0" applyFont="1" applyAlignment="1">
      <alignment horizontal="left"/>
    </xf>
    <xf numFmtId="164" fontId="35" fillId="0" borderId="0" xfId="0" applyNumberFormat="1" applyFont="1"/>
    <xf numFmtId="0" fontId="45" fillId="0" borderId="0" xfId="0" applyFont="1"/>
    <xf numFmtId="0" fontId="38" fillId="0" borderId="0" xfId="0" applyFont="1"/>
    <xf numFmtId="0" fontId="38" fillId="0" borderId="0" xfId="0" applyFont="1" applyAlignment="1">
      <alignment horizontal="center"/>
    </xf>
    <xf numFmtId="0" fontId="35" fillId="8" borderId="3" xfId="0" applyFont="1" applyFill="1" applyBorder="1" applyAlignment="1">
      <alignment horizontal="center" wrapText="1"/>
    </xf>
    <xf numFmtId="0" fontId="38" fillId="8" borderId="0" xfId="0" applyFont="1" applyFill="1" applyAlignment="1">
      <alignment horizontal="center"/>
    </xf>
    <xf numFmtId="0" fontId="35" fillId="8" borderId="0" xfId="0" applyFont="1" applyFill="1" applyAlignment="1">
      <alignment horizontal="center"/>
    </xf>
    <xf numFmtId="1" fontId="35" fillId="0" borderId="0" xfId="0" applyNumberFormat="1" applyFont="1"/>
    <xf numFmtId="0" fontId="35" fillId="0" borderId="3" xfId="0" applyFont="1" applyBorder="1"/>
    <xf numFmtId="3" fontId="35" fillId="0" borderId="3" xfId="0" applyNumberFormat="1" applyFont="1" applyBorder="1"/>
    <xf numFmtId="1" fontId="35" fillId="0" borderId="3" xfId="0" applyNumberFormat="1" applyFont="1" applyBorder="1"/>
    <xf numFmtId="3" fontId="35" fillId="8" borderId="3" xfId="0" applyNumberFormat="1" applyFont="1" applyFill="1" applyBorder="1"/>
    <xf numFmtId="0" fontId="35" fillId="0" borderId="3" xfId="0" applyFont="1" applyBorder="1" applyAlignment="1">
      <alignment wrapText="1"/>
    </xf>
    <xf numFmtId="167" fontId="35" fillId="0" borderId="3" xfId="0" applyNumberFormat="1" applyFont="1" applyBorder="1"/>
    <xf numFmtId="3" fontId="42" fillId="0" borderId="0" xfId="0" applyNumberFormat="1" applyFont="1"/>
    <xf numFmtId="3" fontId="35" fillId="0" borderId="0" xfId="0" applyNumberFormat="1" applyFont="1" applyAlignment="1">
      <alignment wrapText="1"/>
    </xf>
    <xf numFmtId="3" fontId="42" fillId="0" borderId="10" xfId="0" applyNumberFormat="1" applyFont="1" applyBorder="1"/>
    <xf numFmtId="3" fontId="35" fillId="0" borderId="11" xfId="0" applyNumberFormat="1" applyFont="1" applyBorder="1"/>
    <xf numFmtId="3" fontId="42" fillId="0" borderId="13" xfId="0" applyNumberFormat="1" applyFont="1" applyBorder="1"/>
    <xf numFmtId="10" fontId="35" fillId="8" borderId="3" xfId="0" applyNumberFormat="1" applyFont="1" applyFill="1" applyBorder="1"/>
    <xf numFmtId="10" fontId="35" fillId="0" borderId="0" xfId="0" applyNumberFormat="1" applyFont="1"/>
    <xf numFmtId="0" fontId="35" fillId="8" borderId="3" xfId="0" applyFont="1" applyFill="1" applyBorder="1" applyAlignment="1">
      <alignment horizontal="center"/>
    </xf>
    <xf numFmtId="164" fontId="35" fillId="8" borderId="0" xfId="0" applyNumberFormat="1" applyFont="1" applyFill="1"/>
    <xf numFmtId="9" fontId="35" fillId="8" borderId="0" xfId="0" applyNumberFormat="1" applyFont="1" applyFill="1"/>
    <xf numFmtId="10" fontId="35" fillId="8" borderId="0" xfId="0" applyNumberFormat="1" applyFont="1" applyFill="1"/>
    <xf numFmtId="164" fontId="35" fillId="8" borderId="3" xfId="0" applyNumberFormat="1" applyFont="1" applyFill="1" applyBorder="1"/>
    <xf numFmtId="17" fontId="35" fillId="8" borderId="0" xfId="0" applyNumberFormat="1" applyFont="1" applyFill="1"/>
    <xf numFmtId="10" fontId="3" fillId="5" borderId="0" xfId="0" applyNumberFormat="1" applyFont="1" applyFill="1" applyProtection="1">
      <protection locked="0"/>
    </xf>
    <xf numFmtId="10" fontId="35" fillId="8" borderId="0" xfId="4" applyNumberFormat="1" applyFont="1" applyFill="1"/>
    <xf numFmtId="164" fontId="3" fillId="8" borderId="50" xfId="1" applyNumberFormat="1" applyFont="1" applyFill="1" applyBorder="1"/>
    <xf numFmtId="3" fontId="3" fillId="0" borderId="54" xfId="0" applyNumberFormat="1" applyFont="1" applyBorder="1"/>
    <xf numFmtId="164" fontId="32" fillId="8" borderId="0" xfId="0" applyNumberFormat="1" applyFont="1" applyFill="1" applyAlignment="1">
      <alignment wrapText="1"/>
    </xf>
    <xf numFmtId="164" fontId="32" fillId="8" borderId="0" xfId="0" applyNumberFormat="1" applyFont="1" applyFill="1" applyAlignment="1">
      <alignment horizontal="center"/>
    </xf>
    <xf numFmtId="0" fontId="34" fillId="0" borderId="0" xfId="0" applyFont="1" applyAlignment="1">
      <alignment wrapText="1"/>
    </xf>
    <xf numFmtId="0" fontId="3" fillId="13" borderId="3" xfId="0" applyFont="1" applyFill="1" applyBorder="1" applyAlignment="1">
      <alignment horizontal="center" wrapText="1"/>
    </xf>
    <xf numFmtId="164" fontId="3" fillId="13" borderId="0" xfId="1" applyNumberFormat="1" applyFont="1" applyFill="1"/>
    <xf numFmtId="3" fontId="2" fillId="13" borderId="0" xfId="0" applyNumberFormat="1" applyFont="1" applyFill="1" applyAlignment="1">
      <alignment horizontal="right"/>
    </xf>
    <xf numFmtId="0" fontId="3" fillId="13" borderId="0" xfId="0" applyFont="1" applyFill="1"/>
    <xf numFmtId="0" fontId="3" fillId="13" borderId="0" xfId="0" applyFont="1" applyFill="1" applyAlignment="1">
      <alignment wrapText="1"/>
    </xf>
    <xf numFmtId="0" fontId="3" fillId="14" borderId="0" xfId="0" applyFont="1" applyFill="1"/>
    <xf numFmtId="164" fontId="3" fillId="14" borderId="0" xfId="0" applyNumberFormat="1" applyFont="1" applyFill="1"/>
    <xf numFmtId="0" fontId="3" fillId="0" borderId="0" xfId="0" applyFont="1" applyAlignment="1">
      <alignment horizontal="center"/>
    </xf>
    <xf numFmtId="0" fontId="3" fillId="3" borderId="7" xfId="0" applyFont="1" applyFill="1" applyBorder="1" applyAlignment="1">
      <alignment horizontal="center"/>
    </xf>
    <xf numFmtId="0" fontId="3" fillId="3" borderId="23" xfId="0" applyFont="1" applyFill="1" applyBorder="1" applyAlignment="1">
      <alignment horizontal="center"/>
    </xf>
    <xf numFmtId="0" fontId="3" fillId="0" borderId="0" xfId="0" applyFont="1" applyAlignment="1">
      <alignment horizontal="left" wrapText="1"/>
    </xf>
    <xf numFmtId="0" fontId="2" fillId="0" borderId="0" xfId="0" applyFont="1" applyAlignment="1">
      <alignment horizontal="center"/>
    </xf>
    <xf numFmtId="0" fontId="3" fillId="0" borderId="0" xfId="0" applyFont="1" applyAlignment="1">
      <alignment wrapText="1"/>
    </xf>
    <xf numFmtId="0" fontId="3" fillId="0" borderId="0" xfId="0" applyFont="1"/>
    <xf numFmtId="0" fontId="2" fillId="8" borderId="0" xfId="0" applyFont="1" applyFill="1" applyAlignment="1">
      <alignment horizontal="center"/>
    </xf>
    <xf numFmtId="0" fontId="2" fillId="0" borderId="0" xfId="0" applyFont="1" applyAlignment="1">
      <alignment horizontal="right"/>
    </xf>
    <xf numFmtId="0" fontId="20" fillId="0" borderId="38" xfId="0" applyFont="1" applyBorder="1" applyAlignment="1">
      <alignment horizontal="center" vertical="center"/>
    </xf>
    <xf numFmtId="0" fontId="20" fillId="0" borderId="2"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4" xfId="0" applyFont="1" applyBorder="1" applyAlignment="1">
      <alignment horizontal="center" vertical="center" wrapText="1"/>
    </xf>
    <xf numFmtId="0" fontId="21" fillId="0" borderId="40" xfId="0" applyFont="1" applyBorder="1" applyAlignment="1">
      <alignment horizontal="center" vertical="center"/>
    </xf>
    <xf numFmtId="0" fontId="21" fillId="0" borderId="21" xfId="0" applyFont="1" applyBorder="1" applyAlignment="1">
      <alignment horizontal="center" vertical="center"/>
    </xf>
    <xf numFmtId="0" fontId="2" fillId="8" borderId="0" xfId="0" applyFont="1" applyFill="1"/>
    <xf numFmtId="0" fontId="2" fillId="0" borderId="0" xfId="0" applyFont="1"/>
    <xf numFmtId="3" fontId="13" fillId="0" borderId="0" xfId="0" applyNumberFormat="1" applyFont="1" applyAlignment="1">
      <alignment horizontal="center"/>
    </xf>
    <xf numFmtId="0" fontId="3" fillId="0" borderId="3" xfId="0" applyFont="1" applyBorder="1" applyAlignment="1">
      <alignment horizontal="center"/>
    </xf>
    <xf numFmtId="0" fontId="3" fillId="0" borderId="0" xfId="0" applyFont="1" applyAlignment="1">
      <alignment vertical="top" wrapText="1"/>
    </xf>
    <xf numFmtId="0" fontId="3" fillId="0" borderId="0" xfId="0" applyFont="1" applyAlignment="1">
      <alignment vertical="center" wrapText="1"/>
    </xf>
    <xf numFmtId="0" fontId="2" fillId="0" borderId="45" xfId="0" applyFont="1" applyBorder="1" applyAlignment="1">
      <alignment horizontal="center" wrapText="1"/>
    </xf>
    <xf numFmtId="0" fontId="2" fillId="0" borderId="8" xfId="0" applyFont="1" applyBorder="1" applyAlignment="1">
      <alignment horizontal="center" wrapText="1"/>
    </xf>
    <xf numFmtId="0" fontId="3" fillId="0" borderId="14" xfId="0" applyFont="1" applyBorder="1" applyAlignment="1">
      <alignment horizontal="left" wrapText="1"/>
    </xf>
    <xf numFmtId="0" fontId="2" fillId="7" borderId="11" xfId="0" applyFont="1" applyFill="1" applyBorder="1" applyAlignment="1">
      <alignment horizontal="center" wrapText="1"/>
    </xf>
    <xf numFmtId="0" fontId="2" fillId="7" borderId="13" xfId="0" applyFont="1" applyFill="1" applyBorder="1" applyAlignment="1">
      <alignment horizontal="center" wrapText="1"/>
    </xf>
    <xf numFmtId="0" fontId="2" fillId="7" borderId="7" xfId="0" applyFont="1" applyFill="1" applyBorder="1" applyAlignment="1">
      <alignment horizontal="center" wrapText="1"/>
    </xf>
    <xf numFmtId="0" fontId="2" fillId="7" borderId="23" xfId="0" applyFont="1" applyFill="1" applyBorder="1" applyAlignment="1">
      <alignment horizontal="center" wrapText="1"/>
    </xf>
    <xf numFmtId="0" fontId="2" fillId="0" borderId="0" xfId="0" applyFont="1" applyAlignment="1">
      <alignment horizontal="center" wrapText="1"/>
    </xf>
    <xf numFmtId="0" fontId="2" fillId="0" borderId="14" xfId="0" applyFont="1" applyBorder="1" applyAlignment="1">
      <alignment horizontal="center" wrapText="1"/>
    </xf>
    <xf numFmtId="37" fontId="2" fillId="8" borderId="2" xfId="0" applyNumberFormat="1" applyFont="1" applyFill="1" applyBorder="1" applyAlignment="1">
      <alignment horizontal="center"/>
    </xf>
    <xf numFmtId="37" fontId="2" fillId="8" borderId="47" xfId="0" applyNumberFormat="1" applyFont="1" applyFill="1" applyBorder="1" applyAlignment="1">
      <alignment horizontal="center"/>
    </xf>
    <xf numFmtId="37" fontId="2" fillId="0" borderId="0" xfId="0" applyNumberFormat="1" applyFont="1" applyAlignment="1">
      <alignment horizontal="center"/>
    </xf>
    <xf numFmtId="37" fontId="2" fillId="8" borderId="9" xfId="0" applyNumberFormat="1" applyFont="1" applyFill="1" applyBorder="1" applyAlignment="1">
      <alignment horizontal="center"/>
    </xf>
    <xf numFmtId="37" fontId="2" fillId="8" borderId="43" xfId="0" applyNumberFormat="1" applyFont="1" applyFill="1" applyBorder="1" applyAlignment="1">
      <alignment horizontal="center"/>
    </xf>
    <xf numFmtId="37" fontId="2" fillId="0" borderId="11" xfId="0" applyNumberFormat="1" applyFont="1" applyBorder="1" applyAlignment="1">
      <alignment horizontal="center"/>
    </xf>
    <xf numFmtId="37" fontId="2" fillId="0" borderId="13" xfId="0" applyNumberFormat="1" applyFont="1" applyBorder="1" applyAlignment="1">
      <alignment horizontal="center"/>
    </xf>
    <xf numFmtId="0" fontId="3" fillId="0" borderId="45" xfId="0" applyFont="1" applyBorder="1" applyAlignment="1">
      <alignment horizontal="center" wrapText="1"/>
    </xf>
    <xf numFmtId="10" fontId="3" fillId="0" borderId="0" xfId="0" applyNumberFormat="1" applyFont="1" applyAlignment="1">
      <alignment horizontal="center"/>
    </xf>
    <xf numFmtId="2" fontId="3" fillId="0" borderId="0" xfId="0" applyNumberFormat="1" applyFont="1" applyAlignment="1">
      <alignment horizontal="left" wrapText="1"/>
    </xf>
    <xf numFmtId="0" fontId="3" fillId="0" borderId="0" xfId="0" applyFont="1" applyAlignment="1">
      <alignment horizontal="left"/>
    </xf>
    <xf numFmtId="15" fontId="2" fillId="8" borderId="0" xfId="0" applyNumberFormat="1" applyFont="1" applyFill="1" applyAlignment="1">
      <alignment horizontal="center"/>
    </xf>
    <xf numFmtId="0" fontId="3" fillId="0" borderId="0" xfId="0" applyFont="1" applyAlignment="1">
      <alignment horizontal="left" vertical="top" wrapText="1"/>
    </xf>
    <xf numFmtId="0" fontId="2" fillId="0" borderId="0" xfId="0" applyFont="1" applyAlignment="1" applyProtection="1">
      <alignment horizontal="center"/>
      <protection locked="0"/>
    </xf>
    <xf numFmtId="10" fontId="2" fillId="8" borderId="0" xfId="0" applyNumberFormat="1" applyFont="1" applyFill="1" applyAlignment="1">
      <alignment horizontal="center"/>
    </xf>
    <xf numFmtId="49" fontId="2" fillId="8" borderId="0" xfId="0" applyNumberFormat="1" applyFont="1" applyFill="1" applyAlignment="1">
      <alignment horizontal="center"/>
    </xf>
  </cellXfs>
  <cellStyles count="6">
    <cellStyle name="A3 297 x 420 mm 2" xfId="5" xr:uid="{DBFB344B-7D25-4207-9708-A798CED824A4}"/>
    <cellStyle name="Comma" xfId="1" builtinId="3"/>
    <cellStyle name="Comma [0]" xfId="2" builtinId="6"/>
    <cellStyle name="Currency" xfId="3" builtinId="4"/>
    <cellStyle name="Normal" xfId="0" builtinId="0"/>
    <cellStyle name="Percent" xfId="4" builtinId="5"/>
  </cellStyles>
  <dxfs count="0"/>
  <tableStyles count="0" defaultTableStyle="TableStyleMedium9" defaultPivotStyle="PivotStyleLight16"/>
  <colors>
    <mruColors>
      <color rgb="FFFFFF99"/>
      <color rgb="FFFF66FF"/>
      <color rgb="FFD60093"/>
      <color rgb="FF81428E"/>
      <color rgb="FF33CC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customProperty" Target="../customProperty7.bin"/><Relationship Id="rId5" Type="http://schemas.openxmlformats.org/officeDocument/2006/relationships/printerSettings" Target="../printerSettings/printerSettings2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customProperty" Target="../customProperty8.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A2:R320"/>
  <sheetViews>
    <sheetView showGridLines="0" topLeftCell="A264" zoomScale="50" zoomScaleNormal="50" workbookViewId="0">
      <selection activeCell="H284" sqref="H284"/>
    </sheetView>
  </sheetViews>
  <sheetFormatPr defaultColWidth="9.28515625" defaultRowHeight="20.25" x14ac:dyDescent="0.3"/>
  <cols>
    <col min="1" max="1" width="8.5703125" style="27" customWidth="1"/>
    <col min="2" max="2" width="4.5703125" style="266" customWidth="1"/>
    <col min="3" max="3" width="72.28515625" style="266" customWidth="1"/>
    <col min="4" max="4" width="39.85546875" style="266" customWidth="1"/>
    <col min="5" max="5" width="27.42578125" style="304" customWidth="1"/>
    <col min="6" max="6" width="36.85546875" style="266" customWidth="1"/>
    <col min="7" max="7" width="36.42578125" style="450" customWidth="1"/>
    <col min="8" max="8" width="33.7109375" style="266" customWidth="1"/>
    <col min="9" max="10" width="9.28515625" style="266"/>
    <col min="11" max="11" width="31.5703125" style="266" customWidth="1"/>
    <col min="12" max="16384" width="9.28515625" style="266"/>
  </cols>
  <sheetData>
    <row r="2" spans="1:8" ht="25.5" customHeight="1" thickBot="1" x14ac:dyDescent="0.35">
      <c r="C2" s="333"/>
      <c r="D2" s="641"/>
      <c r="E2" s="641"/>
      <c r="F2" s="641"/>
    </row>
    <row r="3" spans="1:8" ht="30" customHeight="1" thickBot="1" x14ac:dyDescent="0.35">
      <c r="A3" s="334" t="s">
        <v>0</v>
      </c>
      <c r="B3" s="335"/>
      <c r="C3" s="335"/>
      <c r="D3" s="642"/>
      <c r="E3" s="642"/>
      <c r="F3" s="643"/>
    </row>
    <row r="4" spans="1:8" ht="24.6" customHeight="1" x14ac:dyDescent="0.3">
      <c r="A4" s="336" t="s">
        <v>1</v>
      </c>
      <c r="B4" s="337"/>
      <c r="C4" s="337"/>
      <c r="D4" s="338"/>
      <c r="E4" s="338"/>
      <c r="F4" s="339"/>
      <c r="H4" s="434" t="s">
        <v>2</v>
      </c>
    </row>
    <row r="5" spans="1:8" s="198" customFormat="1" ht="45" customHeight="1" thickBot="1" x14ac:dyDescent="0.35">
      <c r="A5" s="340" t="s">
        <v>3</v>
      </c>
      <c r="B5" s="550"/>
      <c r="C5" s="550"/>
      <c r="D5" s="550"/>
      <c r="E5" s="551" t="s">
        <v>4</v>
      </c>
      <c r="F5" s="341" t="s">
        <v>5</v>
      </c>
      <c r="G5" s="450"/>
      <c r="H5" s="433" t="s">
        <v>6</v>
      </c>
    </row>
    <row r="6" spans="1:8" s="198" customFormat="1" ht="23.25" customHeight="1" x14ac:dyDescent="0.3">
      <c r="A6" s="342" t="s">
        <v>7</v>
      </c>
      <c r="E6" s="302"/>
      <c r="F6" s="84"/>
      <c r="G6" s="450"/>
      <c r="H6" s="84"/>
    </row>
    <row r="7" spans="1:8" x14ac:dyDescent="0.3">
      <c r="A7" s="343" t="s">
        <v>8</v>
      </c>
      <c r="B7" s="344"/>
      <c r="C7" s="313"/>
      <c r="D7" s="313"/>
      <c r="E7" s="345"/>
      <c r="F7" s="313"/>
      <c r="G7" s="461"/>
      <c r="H7" s="306"/>
    </row>
    <row r="8" spans="1:8" x14ac:dyDescent="0.3">
      <c r="E8" s="302"/>
      <c r="H8" s="435"/>
    </row>
    <row r="9" spans="1:8" x14ac:dyDescent="0.3">
      <c r="A9" s="302"/>
      <c r="B9" s="198" t="s">
        <v>9</v>
      </c>
      <c r="E9" s="312"/>
      <c r="F9" s="308"/>
      <c r="G9" s="462"/>
      <c r="H9" s="308"/>
    </row>
    <row r="10" spans="1:8" x14ac:dyDescent="0.3">
      <c r="A10" s="304">
        <v>1</v>
      </c>
      <c r="B10" s="304"/>
      <c r="C10" s="266" t="s">
        <v>10</v>
      </c>
      <c r="D10" s="346"/>
      <c r="E10" s="347"/>
      <c r="F10" s="308" t="str">
        <f>"(Attachment 4, Line "&amp;'4 - Cost Support'!$A$33&amp;")"</f>
        <v>(Attachment 4, Line 16)</v>
      </c>
      <c r="H10" s="308">
        <f>+'4 - Cost Support'!T33</f>
        <v>4655915</v>
      </c>
    </row>
    <row r="11" spans="1:8" x14ac:dyDescent="0.3">
      <c r="A11" s="304"/>
    </row>
    <row r="12" spans="1:8" x14ac:dyDescent="0.3">
      <c r="A12" s="304">
        <f>+A10+1</f>
        <v>2</v>
      </c>
      <c r="B12" s="304"/>
      <c r="C12" s="266" t="s">
        <v>11</v>
      </c>
      <c r="E12" s="347"/>
      <c r="F12" s="308" t="str">
        <f>"(Attachment 4, Line "&amp;'4 - Cost Support'!$A$31&amp;")"</f>
        <v>(Attachment 4, Line 14)</v>
      </c>
      <c r="H12" s="308">
        <f>+'4 - Cost Support'!T31</f>
        <v>58001419</v>
      </c>
    </row>
    <row r="13" spans="1:8" x14ac:dyDescent="0.3">
      <c r="A13" s="304">
        <f>+A12+1</f>
        <v>3</v>
      </c>
      <c r="B13" s="304"/>
      <c r="C13" s="266" t="s">
        <v>12</v>
      </c>
      <c r="E13" s="347"/>
      <c r="F13" s="311" t="str">
        <f>"(Attachment 4, Line "&amp;'4 - Cost Support'!$A$32&amp;")"</f>
        <v>(Attachment 4, Line 15)</v>
      </c>
      <c r="H13" s="308">
        <f>+'4 - Cost Support'!T32</f>
        <v>15715987</v>
      </c>
    </row>
    <row r="14" spans="1:8" x14ac:dyDescent="0.3">
      <c r="A14" s="304">
        <f>+A13+1</f>
        <v>4</v>
      </c>
      <c r="B14" s="304"/>
      <c r="C14" s="348" t="s">
        <v>13</v>
      </c>
      <c r="D14" s="309"/>
      <c r="E14" s="349"/>
      <c r="F14" s="309" t="str">
        <f>"(Line "&amp;A12&amp;" - Line "&amp;A13&amp;")"</f>
        <v>(Line 2 - Line 3)</v>
      </c>
      <c r="G14" s="452"/>
      <c r="H14" s="309">
        <f>H12-H13</f>
        <v>42285432</v>
      </c>
    </row>
    <row r="15" spans="1:8" x14ac:dyDescent="0.3">
      <c r="A15" s="304"/>
      <c r="B15" s="304"/>
      <c r="E15" s="312"/>
      <c r="H15" s="308"/>
    </row>
    <row r="16" spans="1:8" ht="21" thickBot="1" x14ac:dyDescent="0.35">
      <c r="A16" s="304">
        <v>5</v>
      </c>
      <c r="B16" s="350" t="s">
        <v>14</v>
      </c>
      <c r="C16" s="350"/>
      <c r="D16" s="351"/>
      <c r="E16" s="352"/>
      <c r="F16" s="353" t="str">
        <f>"(Line "&amp;A10&amp;" / Line "&amp;A14&amp;")"</f>
        <v>(Line 1 / Line 4)</v>
      </c>
      <c r="G16" s="451"/>
      <c r="H16" s="418">
        <f>H10/H14</f>
        <v>0.11010683301047983</v>
      </c>
    </row>
    <row r="17" spans="1:8" ht="21" thickTop="1" x14ac:dyDescent="0.3">
      <c r="A17" s="304"/>
      <c r="B17" s="304"/>
      <c r="C17" s="198"/>
      <c r="E17" s="312"/>
      <c r="H17" s="310"/>
    </row>
    <row r="18" spans="1:8" x14ac:dyDescent="0.3">
      <c r="A18" s="304"/>
      <c r="B18" s="198" t="s">
        <v>15</v>
      </c>
    </row>
    <row r="19" spans="1:8" x14ac:dyDescent="0.3">
      <c r="A19" s="304">
        <f>+A16+1</f>
        <v>6</v>
      </c>
      <c r="C19" s="266" t="s">
        <v>16</v>
      </c>
      <c r="E19" s="347" t="str">
        <f>"(Note "&amp;B$297&amp;")"</f>
        <v>(Note A)</v>
      </c>
      <c r="F19" s="308" t="str">
        <f>"(Attachment 4, Line "&amp;'4 - Cost Support'!A9&amp;")"</f>
        <v>(Attachment 4, Line 1)</v>
      </c>
      <c r="H19" s="308">
        <f>+'4 - Cost Support'!T9</f>
        <v>3788668419.7927504</v>
      </c>
    </row>
    <row r="20" spans="1:8" x14ac:dyDescent="0.3">
      <c r="A20" s="304">
        <f>+A19+1</f>
        <v>7</v>
      </c>
      <c r="C20" s="354" t="s">
        <v>17</v>
      </c>
      <c r="D20" s="354"/>
      <c r="E20" s="355" t="str">
        <f>"(Note "&amp;B$297&amp;")"</f>
        <v>(Note A)</v>
      </c>
      <c r="F20" s="311" t="str">
        <f>"(Attachment 4, Line "&amp;'4 - Cost Support'!A11&amp;")"</f>
        <v>(Attachment 4, Line 3)</v>
      </c>
      <c r="G20" s="453"/>
      <c r="H20" s="311">
        <f>+'4 - Cost Support'!T11</f>
        <v>-1315336668.3919792</v>
      </c>
    </row>
    <row r="21" spans="1:8" x14ac:dyDescent="0.3">
      <c r="A21" s="304">
        <f>+A20+1</f>
        <v>8</v>
      </c>
      <c r="C21" s="266" t="s">
        <v>18</v>
      </c>
      <c r="F21" s="308" t="str">
        <f>"(Line "&amp;A19&amp;" - Line "&amp;A20&amp;")"</f>
        <v>(Line 6 - Line 7)</v>
      </c>
      <c r="H21" s="308">
        <f>+H19+H20</f>
        <v>2473331751.4007711</v>
      </c>
    </row>
    <row r="22" spans="1:8" x14ac:dyDescent="0.3">
      <c r="A22" s="304"/>
    </row>
    <row r="23" spans="1:8" x14ac:dyDescent="0.3">
      <c r="A23" s="304">
        <f>+A21+1</f>
        <v>9</v>
      </c>
      <c r="C23" s="266" t="s">
        <v>19</v>
      </c>
      <c r="E23" s="347" t="str">
        <f>"(Note "&amp;B$297&amp;")"</f>
        <v>(Note A)</v>
      </c>
      <c r="F23" s="311" t="str">
        <f>"(Line "&amp;A42&amp;")"</f>
        <v>(Line 20)</v>
      </c>
      <c r="H23" s="314">
        <f>H42</f>
        <v>974929042.90692747</v>
      </c>
    </row>
    <row r="24" spans="1:8" ht="21" thickBot="1" x14ac:dyDescent="0.35">
      <c r="A24" s="304">
        <f>+A23+1</f>
        <v>10</v>
      </c>
      <c r="B24" s="350" t="s">
        <v>20</v>
      </c>
      <c r="C24" s="350"/>
      <c r="D24" s="351"/>
      <c r="E24" s="357"/>
      <c r="F24" s="353" t="str">
        <f>"(Line "&amp;A23&amp;" / Line "&amp;A19&amp;")"</f>
        <v>(Line 9 / Line 6)</v>
      </c>
      <c r="G24" s="451"/>
      <c r="H24" s="418">
        <f>H23/H19</f>
        <v>0.25732762408388815</v>
      </c>
    </row>
    <row r="25" spans="1:8" ht="21" thickTop="1" x14ac:dyDescent="0.3">
      <c r="A25" s="304"/>
    </row>
    <row r="26" spans="1:8" x14ac:dyDescent="0.3">
      <c r="A26" s="304">
        <f>+A24+1</f>
        <v>11</v>
      </c>
      <c r="B26" s="304"/>
      <c r="C26" s="266" t="s">
        <v>21</v>
      </c>
      <c r="E26" s="347" t="str">
        <f>"(Note "&amp;B$297&amp;")"</f>
        <v>(Note A)</v>
      </c>
      <c r="F26" s="311" t="str">
        <f>"(Line "&amp;A57&amp;")"</f>
        <v>(Line 29)</v>
      </c>
      <c r="H26" s="314">
        <f>H57</f>
        <v>737051143.58053792</v>
      </c>
    </row>
    <row r="27" spans="1:8" ht="21" thickBot="1" x14ac:dyDescent="0.35">
      <c r="A27" s="304">
        <f>+A26+1</f>
        <v>12</v>
      </c>
      <c r="B27" s="350" t="s">
        <v>22</v>
      </c>
      <c r="C27" s="350"/>
      <c r="D27" s="351"/>
      <c r="E27" s="357"/>
      <c r="F27" s="353" t="str">
        <f>"(Line "&amp;A26&amp;" / Line "&amp;A21&amp;")"</f>
        <v>(Line 11 / Line 8)</v>
      </c>
      <c r="G27" s="451"/>
      <c r="H27" s="418">
        <f>H26/H21</f>
        <v>0.29799930525418156</v>
      </c>
    </row>
    <row r="28" spans="1:8" ht="21" thickTop="1" x14ac:dyDescent="0.3">
      <c r="A28" s="304"/>
      <c r="B28" s="198"/>
      <c r="C28" s="198"/>
      <c r="F28" s="308"/>
      <c r="H28" s="413"/>
    </row>
    <row r="29" spans="1:8" x14ac:dyDescent="0.3">
      <c r="A29" s="304"/>
      <c r="B29" s="198"/>
      <c r="F29" s="308"/>
      <c r="H29" s="413"/>
    </row>
    <row r="30" spans="1:8" x14ac:dyDescent="0.3">
      <c r="A30" s="343" t="s">
        <v>23</v>
      </c>
      <c r="B30" s="344"/>
      <c r="C30" s="313"/>
      <c r="D30" s="313"/>
      <c r="E30" s="345"/>
      <c r="F30" s="313"/>
      <c r="G30" s="461"/>
      <c r="H30" s="306"/>
    </row>
    <row r="31" spans="1:8" x14ac:dyDescent="0.3">
      <c r="A31" s="358"/>
      <c r="B31" s="359"/>
      <c r="E31" s="302"/>
      <c r="H31" s="307"/>
    </row>
    <row r="32" spans="1:8" x14ac:dyDescent="0.3">
      <c r="A32" s="304"/>
      <c r="B32" s="198" t="s">
        <v>24</v>
      </c>
      <c r="E32" s="312"/>
      <c r="F32" s="308"/>
      <c r="H32" s="308"/>
    </row>
    <row r="33" spans="1:8" x14ac:dyDescent="0.3">
      <c r="A33" s="304">
        <f>+A27+1</f>
        <v>13</v>
      </c>
      <c r="B33" s="304"/>
      <c r="C33" s="266" t="s">
        <v>25</v>
      </c>
      <c r="E33" s="347" t="str">
        <f>"(Note "&amp;B$297&amp;" &amp; "&amp;B306&amp;")"</f>
        <v>(Note A &amp; J)</v>
      </c>
      <c r="F33" s="308" t="str">
        <f>"(Attachment 4, Line "&amp;'4 - Cost Support'!A17&amp;")"</f>
        <v>(Attachment 4, Line 7)</v>
      </c>
      <c r="H33" s="308">
        <f>+'4 - Cost Support'!T17</f>
        <v>946144671.45241082</v>
      </c>
    </row>
    <row r="34" spans="1:8" x14ac:dyDescent="0.3">
      <c r="A34" s="304"/>
      <c r="B34" s="304"/>
      <c r="F34" s="308"/>
      <c r="H34" s="308"/>
    </row>
    <row r="35" spans="1:8" x14ac:dyDescent="0.3">
      <c r="A35" s="304">
        <f>+A33+1</f>
        <v>14</v>
      </c>
      <c r="B35" s="304"/>
      <c r="C35" s="266" t="s">
        <v>26</v>
      </c>
      <c r="E35" s="347" t="str">
        <f>"(Note "&amp;B$297&amp;")"</f>
        <v>(Note A)</v>
      </c>
      <c r="F35" s="308" t="str">
        <f>"(Attachment 4, Line "&amp;'4 - Cost Support'!A18&amp;")"</f>
        <v>(Attachment 4, Line 8)</v>
      </c>
      <c r="H35" s="308">
        <f>+'4 - Cost Support'!T18</f>
        <v>44262684.0745603</v>
      </c>
    </row>
    <row r="36" spans="1:8" x14ac:dyDescent="0.3">
      <c r="A36" s="304">
        <f>A35+1</f>
        <v>15</v>
      </c>
      <c r="B36" s="304"/>
      <c r="C36" s="266" t="s">
        <v>27</v>
      </c>
      <c r="E36" s="347" t="str">
        <f>"(Note "&amp;B$297&amp;")"</f>
        <v>(Note A)</v>
      </c>
      <c r="F36" s="308" t="str">
        <f>"(Attachment 4, Line "&amp;'4 - Cost Support'!A19&amp;")"</f>
        <v>(Attachment 4, Line 9)</v>
      </c>
      <c r="H36" s="308">
        <f>+'4 - Cost Support'!T19</f>
        <v>217159524.40706</v>
      </c>
    </row>
    <row r="37" spans="1:8" x14ac:dyDescent="0.3">
      <c r="A37" s="304">
        <f>A36+1</f>
        <v>16</v>
      </c>
      <c r="B37" s="304"/>
      <c r="C37" s="266" t="s">
        <v>28</v>
      </c>
      <c r="E37" s="347" t="str">
        <f>"(Note "&amp;B$297&amp;")"</f>
        <v>(Note A)</v>
      </c>
      <c r="F37" s="311" t="str">
        <f>"(Attachment 4, Line "&amp;'4 - Cost Support'!A20&amp;")"</f>
        <v>(Attachment 4, Line 10)</v>
      </c>
      <c r="H37" s="308">
        <f>+'4 - Cost Support'!T20</f>
        <v>0</v>
      </c>
    </row>
    <row r="38" spans="1:8" x14ac:dyDescent="0.3">
      <c r="A38" s="304">
        <f>A37+1</f>
        <v>17</v>
      </c>
      <c r="B38" s="304"/>
      <c r="C38" s="348" t="s">
        <v>29</v>
      </c>
      <c r="D38" s="348"/>
      <c r="E38" s="356"/>
      <c r="F38" s="308" t="str">
        <f>"(Line "&amp;A35&amp;" + Line "&amp;A36&amp;" + Line "&amp;A37&amp;")"</f>
        <v>(Line 14 + Line 15 + Line 16)</v>
      </c>
      <c r="G38" s="452"/>
      <c r="H38" s="309">
        <f>SUM(H35:H37)</f>
        <v>261422208.48162031</v>
      </c>
    </row>
    <row r="39" spans="1:8" x14ac:dyDescent="0.3">
      <c r="A39" s="304">
        <f>+A38+1</f>
        <v>18</v>
      </c>
      <c r="B39" s="304"/>
      <c r="C39" s="27" t="s">
        <v>30</v>
      </c>
      <c r="E39" s="312"/>
      <c r="F39" s="311" t="str">
        <f>"(Line "&amp;A$16&amp;")"</f>
        <v>(Line 5)</v>
      </c>
      <c r="H39" s="415">
        <f>H16</f>
        <v>0.11010683301047983</v>
      </c>
    </row>
    <row r="40" spans="1:8" x14ac:dyDescent="0.3">
      <c r="A40" s="304">
        <f>A39+1</f>
        <v>19</v>
      </c>
      <c r="C40" s="348" t="s">
        <v>31</v>
      </c>
      <c r="D40" s="348"/>
      <c r="E40" s="349"/>
      <c r="F40" s="308" t="str">
        <f>"(Line "&amp;A38&amp;" * Line "&amp;A39&amp;")"</f>
        <v>(Line 17 * Line 18)</v>
      </c>
      <c r="G40" s="452"/>
      <c r="H40" s="316">
        <f>+H38*H39</f>
        <v>28784371.454516612</v>
      </c>
    </row>
    <row r="41" spans="1:8" x14ac:dyDescent="0.3">
      <c r="A41" s="304"/>
      <c r="C41" s="198"/>
      <c r="H41" s="314"/>
    </row>
    <row r="42" spans="1:8" s="198" customFormat="1" ht="21" thickBot="1" x14ac:dyDescent="0.35">
      <c r="A42" s="304">
        <f>+A40+1</f>
        <v>20</v>
      </c>
      <c r="B42" s="350" t="s">
        <v>32</v>
      </c>
      <c r="C42" s="350"/>
      <c r="D42" s="350"/>
      <c r="E42" s="361"/>
      <c r="F42" s="353" t="str">
        <f>"(Line "&amp;A33&amp;" + Line "&amp;A40&amp;")"</f>
        <v>(Line 13 + Line 19)</v>
      </c>
      <c r="G42" s="451"/>
      <c r="H42" s="419">
        <f>+H33+H40</f>
        <v>974929042.90692747</v>
      </c>
    </row>
    <row r="43" spans="1:8" ht="21" thickTop="1" x14ac:dyDescent="0.3">
      <c r="A43" s="304"/>
    </row>
    <row r="44" spans="1:8" x14ac:dyDescent="0.3">
      <c r="A44" s="304"/>
      <c r="B44" s="198" t="s">
        <v>33</v>
      </c>
      <c r="C44" s="198"/>
      <c r="D44" s="308"/>
      <c r="E44" s="347"/>
      <c r="F44" s="308"/>
      <c r="G44" s="463"/>
      <c r="H44" s="308"/>
    </row>
    <row r="45" spans="1:8" x14ac:dyDescent="0.3">
      <c r="A45" s="304"/>
      <c r="F45" s="308"/>
      <c r="G45" s="462"/>
      <c r="H45" s="308"/>
    </row>
    <row r="46" spans="1:8" x14ac:dyDescent="0.3">
      <c r="A46" s="304">
        <f>+A42+1</f>
        <v>21</v>
      </c>
      <c r="B46" s="304"/>
      <c r="C46" s="266" t="s">
        <v>34</v>
      </c>
      <c r="E46" s="347" t="str">
        <f>"(Note "&amp;B$297&amp;")"</f>
        <v>(Note A)</v>
      </c>
      <c r="F46" s="308" t="str">
        <f>"(Attachment 4, Line "&amp;'4 - Cost Support'!A23&amp;")"</f>
        <v>(Attachment 4, Line 11)</v>
      </c>
      <c r="H46" s="308">
        <f>+'4 - Cost Support'!T23</f>
        <v>-230473284.25689125</v>
      </c>
    </row>
    <row r="47" spans="1:8" x14ac:dyDescent="0.3">
      <c r="A47" s="304"/>
      <c r="B47" s="304"/>
      <c r="E47" s="347"/>
      <c r="F47" s="308"/>
      <c r="H47" s="308"/>
    </row>
    <row r="48" spans="1:8" x14ac:dyDescent="0.3">
      <c r="A48" s="304">
        <f>A46+1</f>
        <v>22</v>
      </c>
      <c r="B48" s="304"/>
      <c r="C48" s="266" t="s">
        <v>35</v>
      </c>
      <c r="E48" s="347" t="str">
        <f>"(Note "&amp;B$297&amp;")"</f>
        <v>(Note A)</v>
      </c>
      <c r="F48" s="308" t="str">
        <f>"(Attachment 4, Line "&amp;'4 - Cost Support'!A24&amp;")"</f>
        <v>(Attachment 4, Line 12)</v>
      </c>
      <c r="H48" s="308">
        <f>+'4 - Cost Support'!T24</f>
        <v>-11541107.156361811</v>
      </c>
    </row>
    <row r="49" spans="1:8" x14ac:dyDescent="0.3">
      <c r="A49" s="304">
        <f>+A48+1</f>
        <v>23</v>
      </c>
      <c r="B49" s="304"/>
      <c r="C49" s="266" t="s">
        <v>36</v>
      </c>
      <c r="E49" s="347" t="str">
        <f>"(Note "&amp;B$297&amp;")"</f>
        <v>(Note A)</v>
      </c>
      <c r="F49" s="308" t="str">
        <f>"(Attachment 4, Line "&amp;'4 - Cost Support'!A12&amp;")"</f>
        <v>(Attachment 4, Line 4)</v>
      </c>
      <c r="H49" s="308">
        <f>+'4 - Cost Support'!T12</f>
        <v>-55708262.088447481</v>
      </c>
    </row>
    <row r="50" spans="1:8" x14ac:dyDescent="0.3">
      <c r="A50" s="304">
        <f>+A49+1</f>
        <v>24</v>
      </c>
      <c r="B50" s="304"/>
      <c r="C50" s="354" t="s">
        <v>37</v>
      </c>
      <c r="D50" s="354"/>
      <c r="E50" s="355" t="str">
        <f>"(Note "&amp;B$297&amp;")"</f>
        <v>(Note A)</v>
      </c>
      <c r="F50" s="311" t="str">
        <f>"(Attachment 4, Line "&amp;'4 - Cost Support'!A25&amp;")"</f>
        <v>(Attachment 4, Line 13)</v>
      </c>
      <c r="G50" s="453"/>
      <c r="H50" s="311">
        <f>+'4 - Cost Support'!T25</f>
        <v>0</v>
      </c>
    </row>
    <row r="51" spans="1:8" x14ac:dyDescent="0.3">
      <c r="A51" s="304">
        <f>+A50+1</f>
        <v>25</v>
      </c>
      <c r="B51" s="304"/>
      <c r="C51" s="266" t="s">
        <v>38</v>
      </c>
      <c r="E51" s="312"/>
      <c r="F51" s="308" t="str">
        <f>"(Line "&amp;A48&amp;" + "&amp;A49&amp;" + "&amp;A50&amp;")"</f>
        <v>(Line 22 + 23 + 24)</v>
      </c>
      <c r="G51" s="462"/>
      <c r="H51" s="308">
        <f>+H48+H50+H49</f>
        <v>-67249369.2448093</v>
      </c>
    </row>
    <row r="52" spans="1:8" x14ac:dyDescent="0.3">
      <c r="A52" s="304">
        <f>+A51+1</f>
        <v>26</v>
      </c>
      <c r="B52" s="304"/>
      <c r="C52" s="266" t="str">
        <f>+C39</f>
        <v>Wage &amp; Salary Allocator</v>
      </c>
      <c r="E52" s="312"/>
      <c r="F52" s="311" t="str">
        <f>"(Line "&amp;A$16&amp;")"</f>
        <v>(Line 5)</v>
      </c>
      <c r="G52" s="462"/>
      <c r="H52" s="415">
        <f>H16</f>
        <v>0.11010683301047983</v>
      </c>
    </row>
    <row r="53" spans="1:8" x14ac:dyDescent="0.3">
      <c r="A53" s="304">
        <f>+A52+1</f>
        <v>27</v>
      </c>
      <c r="C53" s="348" t="s">
        <v>39</v>
      </c>
      <c r="D53" s="348"/>
      <c r="E53" s="356"/>
      <c r="F53" s="308" t="str">
        <f>"(Line "&amp;A51&amp;" * Line "&amp;A52&amp;")"</f>
        <v>(Line 25 * Line 26)</v>
      </c>
      <c r="G53" s="452"/>
      <c r="H53" s="316">
        <f>H51*H52</f>
        <v>-7404615.0694983155</v>
      </c>
    </row>
    <row r="54" spans="1:8" x14ac:dyDescent="0.3">
      <c r="A54" s="304"/>
      <c r="F54" s="304"/>
      <c r="H54" s="314"/>
    </row>
    <row r="55" spans="1:8" ht="21" thickBot="1" x14ac:dyDescent="0.35">
      <c r="A55" s="304">
        <f>+A53+1</f>
        <v>28</v>
      </c>
      <c r="B55" s="350" t="s">
        <v>40</v>
      </c>
      <c r="C55" s="350"/>
      <c r="D55" s="350"/>
      <c r="E55" s="361"/>
      <c r="F55" s="363" t="str">
        <f>"(Lines "&amp;A46&amp;" + "&amp;A53&amp;")"</f>
        <v>(Lines 21 + 27)</v>
      </c>
      <c r="G55" s="451"/>
      <c r="H55" s="419">
        <f>+H46+H53</f>
        <v>-237877899.32638955</v>
      </c>
    </row>
    <row r="56" spans="1:8" ht="21" thickTop="1" x14ac:dyDescent="0.3">
      <c r="A56" s="304"/>
      <c r="H56" s="366"/>
    </row>
    <row r="57" spans="1:8" ht="21" thickBot="1" x14ac:dyDescent="0.35">
      <c r="A57" s="304">
        <f>+A55+1</f>
        <v>29</v>
      </c>
      <c r="B57" s="350" t="s">
        <v>41</v>
      </c>
      <c r="C57" s="350"/>
      <c r="D57" s="350"/>
      <c r="E57" s="361"/>
      <c r="F57" s="353" t="str">
        <f>"(Line "&amp;A42&amp;" - Line "&amp;A55&amp;")"</f>
        <v>(Line 20 - Line 28)</v>
      </c>
      <c r="G57" s="451"/>
      <c r="H57" s="419">
        <f>H42+H55</f>
        <v>737051143.58053792</v>
      </c>
    </row>
    <row r="58" spans="1:8" ht="21" thickTop="1" x14ac:dyDescent="0.3">
      <c r="A58" s="304"/>
    </row>
    <row r="59" spans="1:8" x14ac:dyDescent="0.3">
      <c r="A59" s="343" t="s">
        <v>42</v>
      </c>
      <c r="B59" s="313"/>
      <c r="C59" s="313"/>
      <c r="D59" s="313"/>
      <c r="E59" s="345"/>
      <c r="F59" s="313"/>
      <c r="G59" s="461"/>
      <c r="H59" s="313"/>
    </row>
    <row r="60" spans="1:8" x14ac:dyDescent="0.3">
      <c r="A60" s="364"/>
      <c r="B60" s="365"/>
      <c r="C60" s="365"/>
      <c r="D60" s="365"/>
      <c r="H60" s="435"/>
    </row>
    <row r="61" spans="1:8" x14ac:dyDescent="0.3">
      <c r="A61" s="304"/>
      <c r="B61" s="342" t="s">
        <v>43</v>
      </c>
      <c r="E61" s="366"/>
      <c r="H61" s="308"/>
    </row>
    <row r="62" spans="1:8" ht="22.5" customHeight="1" x14ac:dyDescent="0.3">
      <c r="A62" s="304">
        <f>+A57+1</f>
        <v>30</v>
      </c>
      <c r="B62" s="342"/>
      <c r="C62" s="198" t="s">
        <v>44</v>
      </c>
      <c r="D62" s="366"/>
      <c r="E62" s="347" t="str">
        <f>"(Notes "&amp;B$308&amp;" and "&amp;B312&amp;")"</f>
        <v>(Notes L and P)</v>
      </c>
      <c r="F62" s="431" t="str">
        <f>"(Attachment 1A, Line "&amp;'1A - ADIT Current Year'!A19&amp;")"</f>
        <v>(Attachment 1A, Line 11)</v>
      </c>
      <c r="H62" s="314">
        <f>+'1A - ADIT Current Year'!H19</f>
        <v>-46054602.053300209</v>
      </c>
    </row>
    <row r="63" spans="1:8" x14ac:dyDescent="0.3">
      <c r="A63" s="304"/>
      <c r="C63" s="342"/>
      <c r="H63" s="314"/>
    </row>
    <row r="64" spans="1:8" x14ac:dyDescent="0.3">
      <c r="A64" s="304"/>
      <c r="B64" s="342" t="s">
        <v>43</v>
      </c>
      <c r="H64" s="314"/>
    </row>
    <row r="65" spans="1:8" x14ac:dyDescent="0.3">
      <c r="A65" s="304">
        <f>+A62+1</f>
        <v>31</v>
      </c>
      <c r="B65" s="342"/>
      <c r="C65" s="198" t="s">
        <v>45</v>
      </c>
      <c r="E65" s="347" t="str">
        <f>"(Note "&amp;B308&amp;" and "&amp;B310&amp;")"</f>
        <v>(Note L and N)</v>
      </c>
      <c r="F65" s="308" t="str">
        <f>"(Attachment 4, Line "&amp;'4 - Cost Support'!A203&amp;")"</f>
        <v>(Attachment 4, Line 78)</v>
      </c>
      <c r="H65" s="314">
        <f>+'4 - Cost Support'!T203</f>
        <v>-20012234.187637918</v>
      </c>
    </row>
    <row r="66" spans="1:8" x14ac:dyDescent="0.3">
      <c r="A66" s="304"/>
      <c r="B66" s="342"/>
      <c r="C66" s="198"/>
      <c r="E66" s="347"/>
      <c r="H66" s="314"/>
    </row>
    <row r="67" spans="1:8" x14ac:dyDescent="0.3">
      <c r="A67" s="304"/>
      <c r="B67" s="198" t="s">
        <v>46</v>
      </c>
      <c r="E67" s="266"/>
    </row>
    <row r="68" spans="1:8" x14ac:dyDescent="0.3">
      <c r="A68" s="304">
        <f>+A65+1</f>
        <v>32</v>
      </c>
      <c r="B68" s="302"/>
      <c r="C68" s="266" t="s">
        <v>47</v>
      </c>
      <c r="D68" s="347"/>
      <c r="E68" s="347" t="str">
        <f>"(Note "&amp;B$297&amp;" &amp; "&amp;B$302&amp;")"</f>
        <v>(Note A &amp; F)</v>
      </c>
      <c r="F68" s="308" t="str">
        <f>"(Attachment 5, Line "&amp;'5 - CWIP in Rate Base'!A18&amp;")"</f>
        <v>(Attachment 5, Line 9)</v>
      </c>
      <c r="H68" s="308">
        <f>+'5 - CWIP in Rate Base'!S18</f>
        <v>24023630.058945931</v>
      </c>
    </row>
    <row r="69" spans="1:8" x14ac:dyDescent="0.3">
      <c r="A69" s="304"/>
      <c r="B69" s="302"/>
      <c r="D69" s="347"/>
      <c r="E69" s="347"/>
      <c r="F69" s="27"/>
      <c r="H69" s="308"/>
    </row>
    <row r="70" spans="1:8" x14ac:dyDescent="0.3">
      <c r="A70" s="304"/>
      <c r="B70" s="198" t="s">
        <v>48</v>
      </c>
      <c r="E70" s="266"/>
    </row>
    <row r="71" spans="1:8" x14ac:dyDescent="0.3">
      <c r="A71" s="304">
        <f>+A68+1</f>
        <v>33</v>
      </c>
      <c r="B71" s="302"/>
      <c r="C71" s="266" t="s">
        <v>49</v>
      </c>
      <c r="D71" s="347"/>
      <c r="E71" s="347" t="str">
        <f>"(Note "&amp;B297&amp;" and "&amp;B$309&amp;")"</f>
        <v>(Note A and M)</v>
      </c>
      <c r="F71" s="308" t="str">
        <f>"(Attachment 4, Line "&amp;'4 - Cost Support'!A195&amp;")"</f>
        <v>(Attachment 4, Line 77)</v>
      </c>
      <c r="H71" s="308">
        <f>+'4 - Cost Support'!K195</f>
        <v>0</v>
      </c>
    </row>
    <row r="72" spans="1:8" x14ac:dyDescent="0.3">
      <c r="A72" s="304"/>
      <c r="B72" s="304"/>
      <c r="D72" s="347"/>
      <c r="E72" s="27"/>
      <c r="G72" s="462"/>
    </row>
    <row r="73" spans="1:8" x14ac:dyDescent="0.3">
      <c r="A73" s="304">
        <f>+A71+1</f>
        <v>34</v>
      </c>
      <c r="B73" s="198" t="s">
        <v>50</v>
      </c>
      <c r="D73" s="367"/>
      <c r="E73" s="347" t="str">
        <f>"(Note "&amp;B$298&amp;" &amp; "&amp;B$308&amp;")"</f>
        <v>(Note B &amp; L)</v>
      </c>
      <c r="F73" s="308" t="str">
        <f>"(Attachment 4, Line "&amp;'4 - Cost Support'!A40&amp;")"</f>
        <v>(Attachment 4, Line 17)</v>
      </c>
      <c r="H73" s="308">
        <f>'4 - Cost Support'!T40</f>
        <v>42369</v>
      </c>
    </row>
    <row r="74" spans="1:8" x14ac:dyDescent="0.3">
      <c r="A74" s="304"/>
      <c r="B74" s="304"/>
      <c r="D74" s="347"/>
      <c r="E74" s="27"/>
      <c r="G74" s="462"/>
    </row>
    <row r="75" spans="1:8" x14ac:dyDescent="0.3">
      <c r="A75" s="304"/>
      <c r="B75" s="342" t="s">
        <v>51</v>
      </c>
      <c r="C75" s="27"/>
      <c r="F75" s="368"/>
      <c r="G75" s="462"/>
    </row>
    <row r="76" spans="1:8" x14ac:dyDescent="0.3">
      <c r="A76" s="304">
        <f>+A73+1</f>
        <v>35</v>
      </c>
      <c r="B76" s="369"/>
      <c r="C76" s="27" t="s">
        <v>52</v>
      </c>
      <c r="D76" s="347"/>
      <c r="E76" s="347" t="str">
        <f>"(Note "&amp;B$297&amp;")"</f>
        <v>(Note A)</v>
      </c>
      <c r="F76" s="308" t="str">
        <f>"(Attachment 4, Line "&amp;'4 - Cost Support'!A51&amp;")"</f>
        <v>(Attachment 4, Line 22)</v>
      </c>
      <c r="G76" s="462"/>
      <c r="H76" s="314">
        <f>+'4 - Cost Support'!T51</f>
        <v>36096237.461538464</v>
      </c>
    </row>
    <row r="77" spans="1:8" x14ac:dyDescent="0.3">
      <c r="A77" s="304">
        <f>+A76+1</f>
        <v>36</v>
      </c>
      <c r="B77" s="369"/>
      <c r="C77" s="360" t="s">
        <v>30</v>
      </c>
      <c r="D77" s="360"/>
      <c r="E77" s="167"/>
      <c r="F77" s="311" t="str">
        <f>"(Line "&amp;A$16&amp;")"</f>
        <v>(Line 5)</v>
      </c>
      <c r="G77" s="464"/>
      <c r="H77" s="415">
        <f>+H16</f>
        <v>0.11010683301047983</v>
      </c>
    </row>
    <row r="78" spans="1:8" x14ac:dyDescent="0.3">
      <c r="A78" s="304">
        <f>+A77+1</f>
        <v>37</v>
      </c>
      <c r="B78" s="369"/>
      <c r="C78" s="27" t="s">
        <v>53</v>
      </c>
      <c r="F78" s="308" t="str">
        <f>"(Line "&amp;A76&amp;" * Line "&amp;A77&amp;")"</f>
        <v>(Line 35 * Line 36)</v>
      </c>
      <c r="G78" s="462"/>
      <c r="H78" s="316">
        <f>H76*H77</f>
        <v>3974442.3904842418</v>
      </c>
    </row>
    <row r="79" spans="1:8" x14ac:dyDescent="0.3">
      <c r="A79" s="304"/>
      <c r="B79" s="366"/>
      <c r="C79" s="27"/>
      <c r="F79" s="321"/>
      <c r="G79" s="462"/>
      <c r="H79" s="315"/>
    </row>
    <row r="80" spans="1:8" x14ac:dyDescent="0.3">
      <c r="A80" s="304"/>
      <c r="B80" s="342" t="s">
        <v>54</v>
      </c>
      <c r="E80" s="370"/>
      <c r="F80" s="321"/>
      <c r="G80" s="462"/>
      <c r="H80" s="315"/>
    </row>
    <row r="81" spans="1:11" x14ac:dyDescent="0.3">
      <c r="A81" s="304">
        <f>+A78+1</f>
        <v>38</v>
      </c>
      <c r="C81" s="266" t="s">
        <v>55</v>
      </c>
      <c r="E81" s="347" t="str">
        <f>"(Note "&amp;B$297&amp;")"</f>
        <v>(Note A)</v>
      </c>
      <c r="F81" s="308" t="str">
        <f>"(Attachment 4, Line "&amp;'4 - Cost Support'!A59&amp;")"</f>
        <v>(Attachment 4, Line 23)</v>
      </c>
      <c r="H81" s="308">
        <f>+'4 - Cost Support'!T59</f>
        <v>15067.076923076924</v>
      </c>
    </row>
    <row r="82" spans="1:11" x14ac:dyDescent="0.3">
      <c r="A82" s="304">
        <f>+A81+1</f>
        <v>39</v>
      </c>
      <c r="B82" s="366"/>
      <c r="C82" s="360" t="s">
        <v>30</v>
      </c>
      <c r="D82" s="360"/>
      <c r="E82" s="167"/>
      <c r="F82" s="311" t="str">
        <f>"(Line "&amp;A$16&amp;")"</f>
        <v>(Line 5)</v>
      </c>
      <c r="G82" s="464"/>
      <c r="H82" s="415">
        <f>H16</f>
        <v>0.11010683301047983</v>
      </c>
    </row>
    <row r="83" spans="1:11" x14ac:dyDescent="0.3">
      <c r="A83" s="304">
        <f>+A82+1</f>
        <v>40</v>
      </c>
      <c r="B83" s="366"/>
      <c r="C83" s="27" t="s">
        <v>56</v>
      </c>
      <c r="F83" s="308" t="str">
        <f>"(Line "&amp;A81&amp;" * Line "&amp;A82&amp;")"</f>
        <v>(Line 38 * Line 39)</v>
      </c>
      <c r="G83" s="462"/>
      <c r="H83" s="316">
        <f>H81*H82</f>
        <v>1658.9881227252849</v>
      </c>
    </row>
    <row r="84" spans="1:11" x14ac:dyDescent="0.3">
      <c r="A84" s="304"/>
      <c r="B84" s="366"/>
      <c r="C84" s="27" t="s">
        <v>57</v>
      </c>
      <c r="E84" s="347" t="str">
        <f>"(Note "&amp;B$297&amp;" &amp; "&amp;B316&amp;")"</f>
        <v>(Note A &amp; T)</v>
      </c>
      <c r="F84" s="308" t="str">
        <f>"(Attachment 4, Line "&amp;'4 - Cost Support'!A61&amp;")"</f>
        <v>(Attachment 4, Line 25)</v>
      </c>
      <c r="G84" s="462"/>
      <c r="H84" s="314">
        <f>+'4 - Cost Support'!T61</f>
        <v>3175983</v>
      </c>
    </row>
    <row r="85" spans="1:11" x14ac:dyDescent="0.3">
      <c r="A85" s="304">
        <f>A83+1</f>
        <v>41</v>
      </c>
      <c r="B85" s="366"/>
      <c r="C85" s="27" t="s">
        <v>58</v>
      </c>
      <c r="E85" s="347" t="str">
        <f>"(Note  "&amp;B$297&amp;" )"</f>
        <v>(Note  A )</v>
      </c>
      <c r="F85" s="311" t="str">
        <f>"(Attachment 4, Line "&amp;'4 - Cost Support'!A60&amp;")"</f>
        <v>(Attachment 4, Line 24)</v>
      </c>
      <c r="G85" s="462"/>
      <c r="H85" s="317">
        <f>+'4 - Cost Support'!T60</f>
        <v>359693</v>
      </c>
    </row>
    <row r="86" spans="1:11" ht="27.75" customHeight="1" x14ac:dyDescent="0.3">
      <c r="A86" s="304">
        <f>A85+1</f>
        <v>42</v>
      </c>
      <c r="B86" s="366"/>
      <c r="C86" s="348" t="s">
        <v>59</v>
      </c>
      <c r="D86" s="348"/>
      <c r="E86" s="356"/>
      <c r="F86" s="308" t="str">
        <f>"(Line "&amp;A83&amp;" + Line "&amp;A85&amp;")"</f>
        <v>(Line 40 + Line 41)</v>
      </c>
      <c r="G86" s="465"/>
      <c r="H86" s="314">
        <f>H83+H84+H85</f>
        <v>3537334.9881227254</v>
      </c>
    </row>
    <row r="87" spans="1:11" ht="27.75" customHeight="1" x14ac:dyDescent="0.3">
      <c r="A87" s="304"/>
      <c r="B87" s="366"/>
      <c r="F87" s="308"/>
      <c r="G87" s="462"/>
      <c r="H87" s="308"/>
    </row>
    <row r="88" spans="1:11" x14ac:dyDescent="0.3">
      <c r="A88" s="304"/>
      <c r="B88" s="342" t="s">
        <v>60</v>
      </c>
      <c r="F88" s="321"/>
      <c r="G88" s="462"/>
    </row>
    <row r="89" spans="1:11" x14ac:dyDescent="0.3">
      <c r="A89" s="304">
        <f>+A86+1</f>
        <v>43</v>
      </c>
      <c r="B89" s="366"/>
      <c r="C89" s="27" t="s">
        <v>61</v>
      </c>
      <c r="D89" s="27"/>
      <c r="F89" s="308" t="str">
        <f>"(Line "&amp;A$144&amp;")"</f>
        <v>(Line 78)</v>
      </c>
      <c r="G89" s="462"/>
      <c r="H89" s="314">
        <f>H144</f>
        <v>24457186.177079014</v>
      </c>
    </row>
    <row r="90" spans="1:11" x14ac:dyDescent="0.3">
      <c r="A90" s="304">
        <f>+A89+1</f>
        <v>44</v>
      </c>
      <c r="B90" s="366"/>
      <c r="C90" s="27" t="s">
        <v>62</v>
      </c>
      <c r="D90" s="27"/>
      <c r="F90" s="360"/>
      <c r="H90" s="318">
        <v>0</v>
      </c>
    </row>
    <row r="91" spans="1:11" s="198" customFormat="1" x14ac:dyDescent="0.3">
      <c r="A91" s="304">
        <f>+A90+1</f>
        <v>45</v>
      </c>
      <c r="B91" s="233"/>
      <c r="C91" s="371" t="s">
        <v>63</v>
      </c>
      <c r="D91" s="371"/>
      <c r="E91" s="372"/>
      <c r="F91" s="308" t="str">
        <f>"(Line "&amp;A89&amp;" * Line "&amp;A90&amp;")"</f>
        <v>(Line 43 * Line 44)</v>
      </c>
      <c r="G91" s="452"/>
      <c r="H91" s="314">
        <f>H89*H90</f>
        <v>0</v>
      </c>
    </row>
    <row r="92" spans="1:11" s="198" customFormat="1" x14ac:dyDescent="0.3">
      <c r="A92" s="304"/>
      <c r="B92" s="233"/>
      <c r="C92" s="27"/>
      <c r="D92" s="27"/>
      <c r="E92" s="302"/>
      <c r="F92" s="308"/>
      <c r="G92" s="450"/>
      <c r="H92" s="314"/>
    </row>
    <row r="93" spans="1:11" s="198" customFormat="1" x14ac:dyDescent="0.3">
      <c r="A93" s="304"/>
      <c r="B93" s="342" t="s">
        <v>64</v>
      </c>
      <c r="C93" s="27"/>
      <c r="D93" s="27"/>
      <c r="E93" s="302"/>
      <c r="F93" s="308"/>
      <c r="G93" s="450"/>
      <c r="H93" s="314"/>
    </row>
    <row r="94" spans="1:11" s="198" customFormat="1" x14ac:dyDescent="0.3">
      <c r="A94" s="304">
        <f>+A91+1</f>
        <v>46</v>
      </c>
      <c r="B94" s="233"/>
      <c r="C94" s="27" t="s">
        <v>65</v>
      </c>
      <c r="D94" s="27"/>
      <c r="E94" s="347" t="str">
        <f>"(Note  "&amp;B$297&amp;")"</f>
        <v>(Note  A)</v>
      </c>
      <c r="F94" s="308" t="str">
        <f>"(Attachment 4, Line "&amp;'4 - Cost Support'!A212&amp;")"</f>
        <v>(Attachment 4, Line 79)</v>
      </c>
      <c r="G94" s="450"/>
      <c r="H94" s="314">
        <f>+'4 - Cost Support'!T212</f>
        <v>0</v>
      </c>
      <c r="K94" s="266"/>
    </row>
    <row r="95" spans="1:11" s="198" customFormat="1" x14ac:dyDescent="0.3">
      <c r="A95" s="304">
        <f>+A94+1</f>
        <v>47</v>
      </c>
      <c r="B95" s="233"/>
      <c r="C95" s="360" t="s">
        <v>22</v>
      </c>
      <c r="D95" s="360"/>
      <c r="E95" s="410"/>
      <c r="F95" s="311" t="str">
        <f>"(Line "&amp;A$27&amp;")"</f>
        <v>(Line 12)</v>
      </c>
      <c r="G95" s="453"/>
      <c r="H95" s="318">
        <f>+H27</f>
        <v>0.29799930525418156</v>
      </c>
    </row>
    <row r="96" spans="1:11" s="198" customFormat="1" x14ac:dyDescent="0.3">
      <c r="A96" s="304">
        <f>+A95+1</f>
        <v>48</v>
      </c>
      <c r="B96" s="233"/>
      <c r="C96" s="27" t="s">
        <v>66</v>
      </c>
      <c r="D96" s="27"/>
      <c r="E96" s="302"/>
      <c r="F96" s="308" t="str">
        <f>"(Line "&amp;A94&amp;" * Line "&amp;A95&amp;")"</f>
        <v>(Line 46 * Line 47)</v>
      </c>
      <c r="G96" s="450"/>
      <c r="H96" s="314">
        <f>+H94*H95</f>
        <v>0</v>
      </c>
    </row>
    <row r="97" spans="1:11" s="198" customFormat="1" x14ac:dyDescent="0.3">
      <c r="A97" s="304"/>
      <c r="B97" s="233"/>
      <c r="C97" s="27"/>
      <c r="D97" s="27"/>
      <c r="E97" s="302"/>
      <c r="F97" s="308"/>
      <c r="G97" s="450"/>
      <c r="H97" s="314"/>
    </row>
    <row r="98" spans="1:11" s="198" customFormat="1" x14ac:dyDescent="0.3">
      <c r="A98" s="304">
        <f>+A96+1</f>
        <v>49</v>
      </c>
      <c r="B98" s="233"/>
      <c r="C98" s="27" t="s">
        <v>67</v>
      </c>
      <c r="D98" s="27"/>
      <c r="E98" s="347" t="str">
        <f>"(Note  "&amp;B$297&amp;")"</f>
        <v>(Note  A)</v>
      </c>
      <c r="F98" s="308" t="str">
        <f>"(Attachment 4, Line "&amp;'4 - Cost Support'!A213&amp;")"</f>
        <v>(Attachment 4, Line 80)</v>
      </c>
      <c r="G98" s="450"/>
      <c r="H98" s="314">
        <f>+'4 - Cost Support'!T213</f>
        <v>-1115531</v>
      </c>
      <c r="K98" s="266"/>
    </row>
    <row r="99" spans="1:11" s="198" customFormat="1" x14ac:dyDescent="0.3">
      <c r="A99" s="304">
        <f>+A98+1</f>
        <v>50</v>
      </c>
      <c r="B99" s="233"/>
      <c r="C99" s="27" t="s">
        <v>68</v>
      </c>
      <c r="D99" s="27"/>
      <c r="E99" s="347" t="str">
        <f>"(Note  "&amp;B$297&amp;")"</f>
        <v>(Note  A)</v>
      </c>
      <c r="F99" s="308" t="str">
        <f>"(Attachment 4, Line "&amp;'4 - Cost Support'!A214&amp;")"</f>
        <v>(Attachment 4, Line 81)</v>
      </c>
      <c r="G99" s="450"/>
      <c r="H99" s="411">
        <f>+'4 - Cost Support'!T214</f>
        <v>-1750778</v>
      </c>
      <c r="K99" s="266"/>
    </row>
    <row r="100" spans="1:11" s="198" customFormat="1" x14ac:dyDescent="0.3">
      <c r="A100" s="304">
        <f>+A99+1</f>
        <v>51</v>
      </c>
      <c r="B100" s="233"/>
      <c r="C100" s="27" t="s">
        <v>69</v>
      </c>
      <c r="D100" s="27"/>
      <c r="E100" s="302"/>
      <c r="F100" s="308" t="str">
        <f>"(Line "&amp;A98&amp;" + Line "&amp;A99&amp;")"</f>
        <v>(Line 49 + Line 50)</v>
      </c>
      <c r="G100" s="450"/>
      <c r="H100" s="314">
        <f>+H98+H99</f>
        <v>-2866309</v>
      </c>
    </row>
    <row r="101" spans="1:11" s="198" customFormat="1" x14ac:dyDescent="0.3">
      <c r="A101" s="304">
        <f>+A100+1</f>
        <v>52</v>
      </c>
      <c r="B101" s="233"/>
      <c r="C101" s="360" t="s">
        <v>70</v>
      </c>
      <c r="D101" s="360"/>
      <c r="E101" s="410"/>
      <c r="F101" s="311" t="str">
        <f>"(Line "&amp;A$16&amp;")"</f>
        <v>(Line 5)</v>
      </c>
      <c r="G101" s="453"/>
      <c r="H101" s="318">
        <f>+H16</f>
        <v>0.11010683301047983</v>
      </c>
    </row>
    <row r="102" spans="1:11" s="198" customFormat="1" x14ac:dyDescent="0.3">
      <c r="A102" s="304">
        <f>+A101+1</f>
        <v>53</v>
      </c>
      <c r="B102" s="233"/>
      <c r="C102" s="27" t="s">
        <v>71</v>
      </c>
      <c r="D102" s="27"/>
      <c r="E102" s="302"/>
      <c r="F102" s="308" t="str">
        <f>"(Line "&amp;A100&amp;" * Line "&amp;A101&amp;")"</f>
        <v>(Line 51 * Line 52)</v>
      </c>
      <c r="G102" s="450"/>
      <c r="H102" s="314">
        <f>+H100*H101</f>
        <v>-315600.20641943545</v>
      </c>
    </row>
    <row r="103" spans="1:11" s="198" customFormat="1" x14ac:dyDescent="0.3">
      <c r="A103" s="304"/>
      <c r="B103" s="233"/>
      <c r="C103" s="27"/>
      <c r="D103" s="27"/>
      <c r="E103" s="302"/>
      <c r="F103" s="308"/>
      <c r="G103" s="450"/>
      <c r="H103" s="314"/>
    </row>
    <row r="104" spans="1:11" s="198" customFormat="1" x14ac:dyDescent="0.3">
      <c r="A104" s="304">
        <f>+A102+1</f>
        <v>54</v>
      </c>
      <c r="B104" s="233"/>
      <c r="C104" s="27" t="s">
        <v>72</v>
      </c>
      <c r="D104" s="27"/>
      <c r="E104" s="347" t="str">
        <f>"(Note  "&amp;B$297&amp;")"</f>
        <v>(Note  A)</v>
      </c>
      <c r="F104" s="308" t="str">
        <f>"(Attachment 4, Line "&amp;'4 - Cost Support'!A215&amp;")"</f>
        <v>(Attachment 4, Line 82)</v>
      </c>
      <c r="G104" s="450"/>
      <c r="H104" s="314">
        <f>+'4 - Cost Support'!T215</f>
        <v>0</v>
      </c>
    </row>
    <row r="105" spans="1:11" s="198" customFormat="1" x14ac:dyDescent="0.3">
      <c r="A105" s="304"/>
      <c r="B105" s="233"/>
      <c r="C105" s="27"/>
      <c r="D105" s="27"/>
      <c r="E105" s="302"/>
      <c r="F105" s="308"/>
      <c r="G105" s="450"/>
      <c r="H105" s="314"/>
    </row>
    <row r="106" spans="1:11" s="198" customFormat="1" x14ac:dyDescent="0.3">
      <c r="A106" s="304">
        <f>+A104+1</f>
        <v>55</v>
      </c>
      <c r="B106" s="342" t="s">
        <v>73</v>
      </c>
      <c r="C106" s="27"/>
      <c r="D106" s="27"/>
      <c r="E106" s="347" t="str">
        <f>"(Note  "&amp;B$308&amp;")"</f>
        <v>(Note  L)</v>
      </c>
      <c r="F106" s="308" t="str">
        <f>"(Attachment 4, Line "&amp;'4 - Cost Support'!A231&amp;")"</f>
        <v>(Attachment 4, Line 86)</v>
      </c>
      <c r="G106" s="450"/>
      <c r="H106" s="314">
        <f>+'4 - Cost Support'!T231</f>
        <v>0</v>
      </c>
    </row>
    <row r="107" spans="1:11" s="198" customFormat="1" x14ac:dyDescent="0.3">
      <c r="A107" s="304"/>
      <c r="B107" s="233"/>
      <c r="C107" s="27"/>
      <c r="D107" s="27"/>
      <c r="E107" s="302"/>
      <c r="F107" s="266"/>
      <c r="G107" s="450"/>
      <c r="H107" s="415"/>
    </row>
    <row r="108" spans="1:11" s="198" customFormat="1" x14ac:dyDescent="0.3">
      <c r="A108" s="304">
        <f>+A106+1</f>
        <v>56</v>
      </c>
      <c r="B108" s="342" t="s">
        <v>74</v>
      </c>
      <c r="C108" s="27"/>
      <c r="D108" s="27"/>
      <c r="E108" s="347" t="str">
        <f>"(Note  "&amp;B$297&amp;")"</f>
        <v>(Note  A)</v>
      </c>
      <c r="F108" s="308" t="str">
        <f>"(Attachment 4, Line "&amp;'4 - Cost Support'!A222&amp;")"</f>
        <v>(Attachment 4, Line 83)</v>
      </c>
      <c r="G108" s="450"/>
      <c r="H108" s="314">
        <f>+'4 - Cost Support'!T222</f>
        <v>0</v>
      </c>
    </row>
    <row r="109" spans="1:11" s="198" customFormat="1" x14ac:dyDescent="0.3">
      <c r="A109" s="304"/>
      <c r="B109" s="342"/>
      <c r="C109" s="27"/>
      <c r="D109" s="27"/>
      <c r="E109" s="302"/>
      <c r="F109" s="308"/>
      <c r="G109" s="450"/>
      <c r="H109" s="314"/>
    </row>
    <row r="110" spans="1:11" s="198" customFormat="1" x14ac:dyDescent="0.3">
      <c r="A110" s="304">
        <f>+A108+1</f>
        <v>57</v>
      </c>
      <c r="B110" s="342" t="s">
        <v>75</v>
      </c>
      <c r="C110" s="27"/>
      <c r="D110" s="27"/>
      <c r="E110" s="347" t="str">
        <f>"(Note  "&amp;B$297&amp;")"</f>
        <v>(Note  A)</v>
      </c>
      <c r="F110" s="308" t="str">
        <f>"(Attachment 4, Line "&amp;'4 - Cost Support'!A237&amp;")"</f>
        <v>(Attachment 4, Line 87)</v>
      </c>
      <c r="G110" s="450"/>
      <c r="H110" s="314">
        <f>+'4 - Cost Support'!T237</f>
        <v>-1130087.6974042465</v>
      </c>
      <c r="K110" s="266"/>
    </row>
    <row r="111" spans="1:11" x14ac:dyDescent="0.3">
      <c r="A111" s="304"/>
      <c r="H111" s="308"/>
    </row>
    <row r="112" spans="1:11" ht="64.5" customHeight="1" thickBot="1" x14ac:dyDescent="0.35">
      <c r="A112" s="304">
        <f>+A110+1</f>
        <v>58</v>
      </c>
      <c r="B112" s="350" t="s">
        <v>76</v>
      </c>
      <c r="C112" s="350"/>
      <c r="D112" s="350"/>
      <c r="E112" s="361"/>
      <c r="F112" s="412" t="str">
        <f>"(Lines "&amp;A62&amp;" + "&amp;A65&amp;" + "&amp;A68&amp;" + "&amp;A71&amp;" + "&amp;A73&amp;" + "&amp;A78&amp;" + "&amp;A86&amp;" + "&amp;A91&amp;" + "&amp;A96&amp;" + "&amp;A102&amp;" + "&amp;A104&amp;" + "&amp;A106&amp;" + "&amp;A108&amp;" + "&amp;A110&amp;")"</f>
        <v>(Lines 30 + 31 + 32 + 33 + 34 + 37 + 42 + 45 + 48 + 53 + 54 + 55 + 56 + 57)</v>
      </c>
      <c r="G112" s="454"/>
      <c r="H112" s="419">
        <f>+H62+H65+H68+H71+H73+H78+H86+H91+H96+H102+H104+H106+H108+H110</f>
        <v>-35934747.707208909</v>
      </c>
    </row>
    <row r="113" spans="1:8" ht="21" thickTop="1" x14ac:dyDescent="0.3">
      <c r="A113" s="304"/>
      <c r="H113" s="314"/>
    </row>
    <row r="114" spans="1:8" ht="21" thickBot="1" x14ac:dyDescent="0.35">
      <c r="A114" s="374">
        <f>+A112+1</f>
        <v>59</v>
      </c>
      <c r="B114" s="375" t="s">
        <v>77</v>
      </c>
      <c r="C114" s="375"/>
      <c r="D114" s="375"/>
      <c r="E114" s="376"/>
      <c r="F114" s="377" t="str">
        <f>"(Line "&amp;A57&amp;" + Line "&amp;A112&amp;")"</f>
        <v>(Line 29 + Line 58)</v>
      </c>
      <c r="G114" s="455"/>
      <c r="H114" s="420">
        <f>H57+H112</f>
        <v>701116395.87332904</v>
      </c>
    </row>
    <row r="116" spans="1:8" x14ac:dyDescent="0.3">
      <c r="A116" s="343" t="s">
        <v>78</v>
      </c>
      <c r="B116" s="344"/>
      <c r="C116" s="378"/>
      <c r="D116" s="313"/>
      <c r="E116" s="345"/>
      <c r="F116" s="313"/>
      <c r="G116" s="461"/>
      <c r="H116" s="306"/>
    </row>
    <row r="117" spans="1:8" x14ac:dyDescent="0.3">
      <c r="A117" s="266"/>
      <c r="E117" s="302"/>
      <c r="H117" s="435"/>
    </row>
    <row r="118" spans="1:8" x14ac:dyDescent="0.3">
      <c r="A118" s="304"/>
      <c r="B118" s="198" t="s">
        <v>79</v>
      </c>
      <c r="D118" s="308"/>
      <c r="E118" s="312"/>
      <c r="G118" s="462"/>
      <c r="H118" s="308"/>
    </row>
    <row r="119" spans="1:8" x14ac:dyDescent="0.3">
      <c r="A119" s="304">
        <f>+A114+1</f>
        <v>60</v>
      </c>
      <c r="B119" s="304"/>
      <c r="C119" s="266" t="s">
        <v>79</v>
      </c>
      <c r="E119" s="347"/>
      <c r="F119" s="308" t="str">
        <f>"(Attachment 4, Line "&amp;'4 - Cost Support'!A67&amp;")"</f>
        <v>(Attachment 4, Line 26)</v>
      </c>
      <c r="H119" s="308">
        <f>+'4 - Cost Support'!S67</f>
        <v>125123179.52482662</v>
      </c>
    </row>
    <row r="120" spans="1:8" x14ac:dyDescent="0.3">
      <c r="A120" s="304">
        <f>+A119+1</f>
        <v>61</v>
      </c>
      <c r="B120" s="304"/>
      <c r="C120" s="266" t="s">
        <v>80</v>
      </c>
      <c r="D120" s="308"/>
      <c r="E120" s="347"/>
      <c r="F120" s="311" t="str">
        <f>"(Attachment 4, Line "&amp;'4 - Cost Support'!A70&amp;")"</f>
        <v>(Attachment 4, Line 29)</v>
      </c>
      <c r="H120" s="308">
        <f>+'4 - Cost Support'!S70</f>
        <v>113692566.99835202</v>
      </c>
    </row>
    <row r="121" spans="1:8" x14ac:dyDescent="0.3">
      <c r="A121" s="304">
        <f>1+A120</f>
        <v>62</v>
      </c>
      <c r="C121" s="373" t="s">
        <v>79</v>
      </c>
      <c r="D121" s="348"/>
      <c r="E121" s="356"/>
      <c r="F121" s="308" t="str">
        <f>"(Lines "&amp;A119&amp;" - "&amp;A120&amp;")"</f>
        <v>(Lines 60 - 61)</v>
      </c>
      <c r="G121" s="452"/>
      <c r="H121" s="320">
        <f>+H119-H120</f>
        <v>11430612.526474595</v>
      </c>
    </row>
    <row r="122" spans="1:8" x14ac:dyDescent="0.3">
      <c r="A122" s="304"/>
      <c r="B122" s="304"/>
      <c r="C122" s="198"/>
      <c r="E122" s="312"/>
      <c r="H122" s="310"/>
    </row>
    <row r="123" spans="1:8" x14ac:dyDescent="0.3">
      <c r="A123" s="304"/>
      <c r="B123" s="198" t="s">
        <v>81</v>
      </c>
      <c r="E123" s="312"/>
      <c r="H123" s="310"/>
    </row>
    <row r="124" spans="1:8" x14ac:dyDescent="0.3">
      <c r="A124" s="304">
        <f>A121+1</f>
        <v>63</v>
      </c>
      <c r="B124" s="304"/>
      <c r="C124" s="266" t="s">
        <v>82</v>
      </c>
      <c r="E124" s="347" t="str">
        <f>"(Note  "&amp;B303&amp;", "&amp;B318&amp;" &amp; "&amp;B319&amp;")"</f>
        <v>(Note  G, V &amp; W)</v>
      </c>
      <c r="F124" s="308" t="str">
        <f>"(Attachment 4, Line "&amp;'4 - Cost Support'!A83&amp;")"</f>
        <v>(Attachment 4, Line 31)</v>
      </c>
      <c r="H124" s="308">
        <f>+'4 - Cost Support'!S83</f>
        <v>105972391</v>
      </c>
    </row>
    <row r="125" spans="1:8" x14ac:dyDescent="0.3">
      <c r="A125" s="304">
        <f t="shared" ref="A125:A131" si="0">+A124+1</f>
        <v>64</v>
      </c>
      <c r="B125" s="304"/>
      <c r="C125" s="266" t="s">
        <v>83</v>
      </c>
      <c r="D125" s="308"/>
      <c r="E125" s="347"/>
      <c r="F125" s="308" t="str">
        <f>"(Attachment 4, Line "&amp;'4 - Cost Support'!A77&amp;")"</f>
        <v>(Attachment 4, Line 30)</v>
      </c>
      <c r="H125" s="587">
        <v>0</v>
      </c>
    </row>
    <row r="126" spans="1:8" x14ac:dyDescent="0.3">
      <c r="A126" s="304">
        <f t="shared" si="0"/>
        <v>65</v>
      </c>
      <c r="B126" s="304"/>
      <c r="C126" s="266" t="s">
        <v>84</v>
      </c>
      <c r="D126" s="308"/>
      <c r="E126" s="347" t="str">
        <f>"(Note "&amp;B$300&amp;")"</f>
        <v>(Note D)</v>
      </c>
      <c r="F126" s="308" t="str">
        <f>"(Attachment 4, Line "&amp;'4 - Cost Support'!A92&amp;")"</f>
        <v>(Attachment 4, Line 34)</v>
      </c>
      <c r="H126" s="308">
        <f>+'4 - Cost Support'!S92</f>
        <v>0</v>
      </c>
    </row>
    <row r="127" spans="1:8" ht="60.75" x14ac:dyDescent="0.3">
      <c r="A127" s="304">
        <f t="shared" si="0"/>
        <v>66</v>
      </c>
      <c r="B127" s="304"/>
      <c r="C127" s="268" t="s">
        <v>85</v>
      </c>
      <c r="D127" s="308"/>
      <c r="E127" s="347" t="str">
        <f>"(Note "&amp;B311&amp;")"</f>
        <v>(Note O)</v>
      </c>
      <c r="F127" s="308" t="str">
        <f>"(Attachment 4, Line "&amp;'4 - Cost Support'!A85&amp;")"</f>
        <v>(Attachment 4, Line 33)</v>
      </c>
      <c r="H127" s="308">
        <f>+'4 - Cost Support'!S85</f>
        <v>105922588</v>
      </c>
    </row>
    <row r="128" spans="1:8" ht="40.5" x14ac:dyDescent="0.3">
      <c r="A128" s="304">
        <f t="shared" si="0"/>
        <v>67</v>
      </c>
      <c r="B128" s="304"/>
      <c r="C128" s="266" t="s">
        <v>86</v>
      </c>
      <c r="E128" s="347" t="str">
        <f>"(Note "&amp;B$299&amp;")"</f>
        <v>(Note C)</v>
      </c>
      <c r="F128" s="449" t="str">
        <f>"(Attachment 4, Line "&amp;'4 - Cost Support'!A100&amp;" &amp; Attachment 4, Line "&amp;'4 - Cost Support'!A101&amp;")"</f>
        <v>(Attachment 4, Line 36 &amp; Attachment 4, Line 37)</v>
      </c>
      <c r="H128" s="308">
        <f>+'4 - Cost Support'!S100+'4 - Cost Support'!S101</f>
        <v>0</v>
      </c>
    </row>
    <row r="129" spans="1:8" x14ac:dyDescent="0.3">
      <c r="A129" s="304">
        <f t="shared" si="0"/>
        <v>68</v>
      </c>
      <c r="B129" s="304"/>
      <c r="C129" s="373" t="s">
        <v>87</v>
      </c>
      <c r="D129" s="348"/>
      <c r="E129" s="349"/>
      <c r="F129" s="308" t="str">
        <f>"(Lines "&amp;A124&amp;" - "&amp;A125&amp;" - "&amp;A126&amp;" - "&amp;A127&amp;" - "&amp;A128&amp;")"</f>
        <v>(Lines 63 - 64 - 65 - 66 - 67)</v>
      </c>
      <c r="G129" s="452"/>
      <c r="H129" s="309">
        <f>+H124-SUM(H125:H128)</f>
        <v>49803</v>
      </c>
    </row>
    <row r="130" spans="1:8" x14ac:dyDescent="0.3">
      <c r="A130" s="304">
        <f t="shared" si="0"/>
        <v>69</v>
      </c>
      <c r="B130" s="304"/>
      <c r="C130" s="360" t="s">
        <v>30</v>
      </c>
      <c r="D130" s="27"/>
      <c r="F130" s="354" t="str">
        <f>"(Line "&amp;A$16&amp;")"</f>
        <v>(Line 5)</v>
      </c>
      <c r="G130" s="462"/>
      <c r="H130" s="415">
        <f>H16</f>
        <v>0.11010683301047983</v>
      </c>
    </row>
    <row r="131" spans="1:8" x14ac:dyDescent="0.3">
      <c r="A131" s="304">
        <f t="shared" si="0"/>
        <v>70</v>
      </c>
      <c r="B131" s="304"/>
      <c r="C131" s="373" t="s">
        <v>88</v>
      </c>
      <c r="D131" s="348"/>
      <c r="E131" s="349"/>
      <c r="F131" s="308" t="str">
        <f>"(Line "&amp;A129&amp;" * Line "&amp;A130&amp;")"</f>
        <v>(Line 68 * Line 69)</v>
      </c>
      <c r="G131" s="452"/>
      <c r="H131" s="322">
        <f>H129*H130</f>
        <v>5483.6506044209264</v>
      </c>
    </row>
    <row r="132" spans="1:8" x14ac:dyDescent="0.3">
      <c r="A132" s="304"/>
      <c r="B132" s="304"/>
      <c r="C132" s="198"/>
      <c r="E132" s="312"/>
      <c r="H132" s="308"/>
    </row>
    <row r="133" spans="1:8" x14ac:dyDescent="0.3">
      <c r="A133" s="304"/>
      <c r="B133" s="198" t="s">
        <v>89</v>
      </c>
      <c r="E133" s="312"/>
      <c r="H133" s="308"/>
    </row>
    <row r="134" spans="1:8" x14ac:dyDescent="0.3">
      <c r="A134" s="304">
        <f>+A131+1</f>
        <v>71</v>
      </c>
      <c r="B134" s="366"/>
      <c r="C134" s="27" t="s">
        <v>90</v>
      </c>
      <c r="D134" s="347"/>
      <c r="E134" s="347" t="str">
        <f>"(Note "&amp;B$301&amp;")"</f>
        <v>(Note E)</v>
      </c>
      <c r="F134" s="308" t="str">
        <f>"(Attachment 4, Line "&amp;'4 - Cost Support'!A93&amp;")"</f>
        <v>(Attachment 4, Line 35)</v>
      </c>
      <c r="H134" s="308">
        <f>+'4 - Cost Support'!S93</f>
        <v>0</v>
      </c>
    </row>
    <row r="135" spans="1:8" x14ac:dyDescent="0.3">
      <c r="A135" s="304">
        <f>+A134+1</f>
        <v>72</v>
      </c>
      <c r="B135" s="366"/>
      <c r="C135" s="354" t="s">
        <v>91</v>
      </c>
      <c r="D135" s="379"/>
      <c r="E135" s="355" t="str">
        <f>"(Note "&amp;B311&amp;")"</f>
        <v>(Note O)</v>
      </c>
      <c r="F135" s="311" t="str">
        <f>"(Attachment 4, Line "&amp;'4 - Cost Support'!A84&amp;")"</f>
        <v>(Attachment 4, Line 32)</v>
      </c>
      <c r="G135" s="453"/>
      <c r="H135" s="311">
        <f>+'4 - Cost Support'!S84</f>
        <v>13021090</v>
      </c>
    </row>
    <row r="136" spans="1:8" x14ac:dyDescent="0.3">
      <c r="A136" s="304">
        <f>+A135+1</f>
        <v>73</v>
      </c>
      <c r="B136" s="366"/>
      <c r="C136" s="27" t="s">
        <v>92</v>
      </c>
      <c r="E136" s="370"/>
      <c r="F136" s="308" t="str">
        <f>"(Line "&amp;A134&amp;" + Line "&amp;A135&amp;")"</f>
        <v>(Line 71 + Line 72)</v>
      </c>
      <c r="H136" s="314">
        <f>SUM(H134:H135)</f>
        <v>13021090</v>
      </c>
    </row>
    <row r="137" spans="1:8" x14ac:dyDescent="0.3">
      <c r="A137" s="304"/>
      <c r="B137" s="366"/>
      <c r="C137" s="27"/>
      <c r="E137" s="370"/>
      <c r="F137" s="27"/>
      <c r="H137" s="321"/>
    </row>
    <row r="138" spans="1:8" x14ac:dyDescent="0.3">
      <c r="A138" s="304">
        <f>+A136+1</f>
        <v>74</v>
      </c>
      <c r="B138" s="366"/>
      <c r="C138" s="27" t="s">
        <v>93</v>
      </c>
      <c r="E138" s="347"/>
      <c r="F138" s="27" t="str">
        <f>"(Line "&amp;A125&amp;")"</f>
        <v>(Line 64)</v>
      </c>
      <c r="H138" s="314">
        <f>H125</f>
        <v>0</v>
      </c>
    </row>
    <row r="139" spans="1:8" x14ac:dyDescent="0.3">
      <c r="A139" s="304">
        <f>+A138+1</f>
        <v>75</v>
      </c>
      <c r="B139" s="304"/>
      <c r="C139" s="27" t="s">
        <v>22</v>
      </c>
      <c r="D139" s="27"/>
      <c r="F139" s="311" t="str">
        <f>"(Line "&amp;A$27&amp;")"</f>
        <v>(Line 12)</v>
      </c>
      <c r="G139" s="462"/>
      <c r="H139" s="415">
        <f>H27</f>
        <v>0.29799930525418156</v>
      </c>
    </row>
    <row r="140" spans="1:8" x14ac:dyDescent="0.3">
      <c r="A140" s="304">
        <f>+A139+1</f>
        <v>76</v>
      </c>
      <c r="B140" s="304"/>
      <c r="C140" s="373" t="s">
        <v>66</v>
      </c>
      <c r="D140" s="348"/>
      <c r="E140" s="349"/>
      <c r="F140" s="308" t="str">
        <f>"(Line "&amp;A138&amp;" * Line "&amp;A139&amp;")"</f>
        <v>(Line 74 * Line 75)</v>
      </c>
      <c r="G140" s="465"/>
      <c r="H140" s="322">
        <f>+H138*H139</f>
        <v>0</v>
      </c>
    </row>
    <row r="141" spans="1:8" x14ac:dyDescent="0.3">
      <c r="A141" s="304"/>
      <c r="B141" s="304"/>
      <c r="C141" s="198"/>
      <c r="E141" s="312"/>
      <c r="F141" s="308"/>
      <c r="G141" s="462"/>
      <c r="H141" s="319"/>
    </row>
    <row r="142" spans="1:8" x14ac:dyDescent="0.3">
      <c r="A142" s="304">
        <f>+A140+1</f>
        <v>77</v>
      </c>
      <c r="B142" s="304"/>
      <c r="C142" s="198" t="s">
        <v>94</v>
      </c>
      <c r="E142" s="312"/>
      <c r="F142" s="308" t="str">
        <f>"(Lines "&amp;A131&amp;" + "&amp;A136&amp;" + "&amp;A140&amp;")"</f>
        <v>(Lines 70 + 73 + 76)</v>
      </c>
      <c r="H142" s="314">
        <f>+H131+H136+H140</f>
        <v>13026573.650604421</v>
      </c>
    </row>
    <row r="143" spans="1:8" x14ac:dyDescent="0.3">
      <c r="A143" s="304"/>
      <c r="B143" s="304"/>
      <c r="C143" s="198"/>
      <c r="E143" s="312"/>
      <c r="F143" s="308"/>
      <c r="H143" s="308"/>
    </row>
    <row r="144" spans="1:8" ht="21" thickBot="1" x14ac:dyDescent="0.35">
      <c r="A144" s="304">
        <f>+A142+1</f>
        <v>78</v>
      </c>
      <c r="B144" s="304"/>
      <c r="C144" s="375" t="s">
        <v>95</v>
      </c>
      <c r="D144" s="380"/>
      <c r="E144" s="381"/>
      <c r="F144" s="323" t="str">
        <f>"(Lines "&amp;A121&amp;" + "&amp;A142&amp;")"</f>
        <v>(Lines 62 + 77)</v>
      </c>
      <c r="G144" s="455"/>
      <c r="H144" s="420">
        <f>+H121+H142</f>
        <v>24457186.177079014</v>
      </c>
    </row>
    <row r="145" spans="1:8" x14ac:dyDescent="0.3">
      <c r="B145" s="304"/>
      <c r="C145" s="198"/>
      <c r="E145" s="312"/>
      <c r="H145" s="310"/>
    </row>
    <row r="146" spans="1:8" x14ac:dyDescent="0.3">
      <c r="A146" s="343" t="s">
        <v>96</v>
      </c>
      <c r="B146" s="344"/>
      <c r="C146" s="378"/>
      <c r="D146" s="313"/>
      <c r="E146" s="345"/>
      <c r="F146" s="313"/>
      <c r="G146" s="461"/>
      <c r="H146" s="306"/>
    </row>
    <row r="147" spans="1:8" x14ac:dyDescent="0.3">
      <c r="A147" s="198"/>
      <c r="B147" s="304"/>
      <c r="C147" s="198"/>
      <c r="E147" s="312"/>
      <c r="H147" s="310"/>
    </row>
    <row r="148" spans="1:8" x14ac:dyDescent="0.3">
      <c r="A148" s="304"/>
      <c r="B148" s="342" t="s">
        <v>97</v>
      </c>
      <c r="F148" s="366"/>
      <c r="H148" s="324"/>
    </row>
    <row r="149" spans="1:8" x14ac:dyDescent="0.3">
      <c r="A149" s="304">
        <f>+A144+1</f>
        <v>79</v>
      </c>
      <c r="B149" s="366"/>
      <c r="C149" s="27" t="s">
        <v>98</v>
      </c>
      <c r="E149" s="347" t="str">
        <f>"(Note "&amp;B$303&amp;")"</f>
        <v>(Note G)</v>
      </c>
      <c r="F149" s="308" t="str">
        <f>"(Attachment 4, Line "&amp;'4 - Cost Support'!A108&amp;")"</f>
        <v>(Attachment 4, Line 38)</v>
      </c>
      <c r="H149" s="314">
        <f>+'4 - Cost Support'!S108</f>
        <v>17722058.816843636</v>
      </c>
    </row>
    <row r="150" spans="1:8" x14ac:dyDescent="0.3">
      <c r="A150" s="304">
        <f>+A149+1</f>
        <v>80</v>
      </c>
      <c r="B150" s="366"/>
      <c r="C150" s="27" t="s">
        <v>99</v>
      </c>
      <c r="E150" s="347" t="str">
        <f>"(Note "&amp;B$309&amp;")"</f>
        <v>(Note M)</v>
      </c>
      <c r="F150" s="308" t="str">
        <f>"(Attachment 4, Line "&amp;'4 - Cost Support'!A192&amp;")"</f>
        <v>(Attachment 4, Line 75)</v>
      </c>
      <c r="H150" s="314">
        <f>+'4 - Cost Support'!K192</f>
        <v>0</v>
      </c>
    </row>
    <row r="151" spans="1:8" x14ac:dyDescent="0.3">
      <c r="A151" s="304"/>
      <c r="B151" s="366"/>
      <c r="C151" s="27"/>
      <c r="E151" s="347"/>
      <c r="F151" s="27"/>
      <c r="H151" s="314"/>
    </row>
    <row r="152" spans="1:8" x14ac:dyDescent="0.3">
      <c r="A152" s="304">
        <f>+A150+1</f>
        <v>81</v>
      </c>
      <c r="B152" s="366"/>
      <c r="C152" s="27" t="s">
        <v>100</v>
      </c>
      <c r="E152" s="347" t="str">
        <f>"(Note "&amp;B$303&amp;")"</f>
        <v>(Note G)</v>
      </c>
      <c r="F152" s="308" t="str">
        <f>"(Attachment 4, Line "&amp;'4 - Cost Support'!A109&amp;")"</f>
        <v>(Attachment 4, Line 39)</v>
      </c>
      <c r="H152" s="314">
        <f>+'4 - Cost Support'!S109</f>
        <v>1458123.5670105226</v>
      </c>
    </row>
    <row r="153" spans="1:8" x14ac:dyDescent="0.3">
      <c r="A153" s="304">
        <f>+A152+1</f>
        <v>82</v>
      </c>
      <c r="B153" s="366"/>
      <c r="C153" s="360" t="s">
        <v>101</v>
      </c>
      <c r="D153" s="354"/>
      <c r="E153" s="355" t="str">
        <f>"(Note "&amp;B297&amp;" &amp; "&amp;B$303&amp;")"</f>
        <v>(Note A &amp; G)</v>
      </c>
      <c r="F153" s="311" t="str">
        <f>"(Attachment 4, Line "&amp;'4 - Cost Support'!A110&amp;")"</f>
        <v>(Attachment 4, Line 40)</v>
      </c>
      <c r="G153" s="453"/>
      <c r="H153" s="311">
        <f>+'4 - Cost Support'!S110</f>
        <v>27938100.084295068</v>
      </c>
    </row>
    <row r="154" spans="1:8" x14ac:dyDescent="0.3">
      <c r="A154" s="304">
        <f>+A153+1</f>
        <v>83</v>
      </c>
      <c r="B154" s="366"/>
      <c r="C154" s="27" t="s">
        <v>69</v>
      </c>
      <c r="F154" s="308" t="str">
        <f>"(Line "&amp;A152&amp;" + Line "&amp;A153&amp;")"</f>
        <v>(Line 81 + Line 82)</v>
      </c>
      <c r="H154" s="314">
        <f>+H152+H153</f>
        <v>29396223.65130559</v>
      </c>
    </row>
    <row r="155" spans="1:8" x14ac:dyDescent="0.3">
      <c r="A155" s="304">
        <f>+A154+1</f>
        <v>84</v>
      </c>
      <c r="B155" s="366"/>
      <c r="C155" s="360" t="s">
        <v>30</v>
      </c>
      <c r="D155" s="360"/>
      <c r="E155" s="167"/>
      <c r="F155" s="354" t="str">
        <f>"(Line "&amp;A$16&amp;")"</f>
        <v>(Line 5)</v>
      </c>
      <c r="G155" s="464"/>
      <c r="H155" s="318">
        <f>H16</f>
        <v>0.11010683301047983</v>
      </c>
    </row>
    <row r="156" spans="1:8" x14ac:dyDescent="0.3">
      <c r="A156" s="304">
        <f>+A155+1</f>
        <v>85</v>
      </c>
      <c r="B156" s="366"/>
      <c r="C156" s="27" t="s">
        <v>102</v>
      </c>
      <c r="F156" s="308" t="str">
        <f>"(Line "&amp;A154&amp;" * Line "&amp;A155&amp;")"</f>
        <v>(Line 83 * Line 84)</v>
      </c>
      <c r="G156" s="462"/>
      <c r="H156" s="314">
        <f>H154*H155</f>
        <v>3236725.0887130219</v>
      </c>
    </row>
    <row r="157" spans="1:8" x14ac:dyDescent="0.3">
      <c r="A157" s="370"/>
      <c r="B157" s="382"/>
      <c r="C157" s="27"/>
      <c r="F157" s="27"/>
      <c r="G157" s="462"/>
      <c r="H157" s="325"/>
    </row>
    <row r="158" spans="1:8" s="198" customFormat="1" ht="21" thickBot="1" x14ac:dyDescent="0.35">
      <c r="A158" s="304">
        <f>+A156+1</f>
        <v>86</v>
      </c>
      <c r="B158" s="383" t="s">
        <v>103</v>
      </c>
      <c r="C158" s="383"/>
      <c r="D158" s="375"/>
      <c r="E158" s="376"/>
      <c r="F158" s="383" t="str">
        <f>"(Lines "&amp;A149&amp;" + "&amp;A150&amp;" + "&amp;A156&amp;")"</f>
        <v>(Lines 79 + 80 + 85)</v>
      </c>
      <c r="G158" s="455"/>
      <c r="H158" s="420">
        <f>+H149+H150+H156</f>
        <v>20958783.905556656</v>
      </c>
    </row>
    <row r="159" spans="1:8" x14ac:dyDescent="0.3">
      <c r="H159" s="366"/>
    </row>
    <row r="160" spans="1:8" x14ac:dyDescent="0.3">
      <c r="A160" s="343" t="s">
        <v>104</v>
      </c>
      <c r="B160" s="344"/>
      <c r="C160" s="378"/>
      <c r="D160" s="313"/>
      <c r="E160" s="384"/>
      <c r="F160" s="313"/>
      <c r="G160" s="461"/>
      <c r="H160" s="421"/>
    </row>
    <row r="161" spans="1:8" x14ac:dyDescent="0.3">
      <c r="A161" s="364"/>
      <c r="B161" s="304"/>
      <c r="C161" s="198"/>
      <c r="E161" s="312"/>
      <c r="H161" s="422"/>
    </row>
    <row r="162" spans="1:8" x14ac:dyDescent="0.3">
      <c r="A162" s="304">
        <f>+A158+1</f>
        <v>87</v>
      </c>
      <c r="B162" s="27" t="s">
        <v>105</v>
      </c>
      <c r="C162" s="369"/>
      <c r="E162" s="347"/>
      <c r="F162" s="308" t="str">
        <f>"(Attachment 2, Line "&amp;'2 - Other Taxes'!A29&amp;")"</f>
        <v>(Attachment 2, Line 11)</v>
      </c>
      <c r="H162" s="314">
        <f>+'2 - Other Taxes'!G29</f>
        <v>38976660.76255846</v>
      </c>
    </row>
    <row r="163" spans="1:8" x14ac:dyDescent="0.3">
      <c r="A163" s="304"/>
      <c r="F163" s="27"/>
      <c r="H163" s="366"/>
    </row>
    <row r="164" spans="1:8" ht="21" thickBot="1" x14ac:dyDescent="0.35">
      <c r="A164" s="304">
        <f>+A162+1</f>
        <v>88</v>
      </c>
      <c r="B164" s="375" t="s">
        <v>106</v>
      </c>
      <c r="C164" s="375"/>
      <c r="D164" s="375"/>
      <c r="E164" s="376"/>
      <c r="F164" s="377" t="str">
        <f>"(Line "&amp;A162&amp;")"</f>
        <v>(Line 87)</v>
      </c>
      <c r="G164" s="455"/>
      <c r="H164" s="420">
        <f>H162</f>
        <v>38976660.76255846</v>
      </c>
    </row>
    <row r="165" spans="1:8" x14ac:dyDescent="0.3">
      <c r="A165" s="343" t="s">
        <v>107</v>
      </c>
      <c r="B165" s="344"/>
      <c r="C165" s="378"/>
      <c r="D165" s="313"/>
      <c r="E165" s="345"/>
      <c r="F165" s="313"/>
      <c r="G165" s="461"/>
      <c r="H165" s="306"/>
    </row>
    <row r="166" spans="1:8" x14ac:dyDescent="0.3">
      <c r="B166" s="304"/>
      <c r="C166" s="198"/>
      <c r="E166" s="312"/>
      <c r="H166" s="435"/>
    </row>
    <row r="167" spans="1:8" x14ac:dyDescent="0.3">
      <c r="A167" s="304">
        <f>+A164+1</f>
        <v>89</v>
      </c>
      <c r="B167" s="385" t="s">
        <v>108</v>
      </c>
      <c r="E167" s="347"/>
      <c r="F167" s="308" t="str">
        <f>"(Attachment 4, Line "&amp;'4 - Cost Support'!A132&amp;")"</f>
        <v>(Attachment 4, Line 50)</v>
      </c>
      <c r="G167" s="462"/>
      <c r="H167" s="308">
        <f>+'4 - Cost Support'!S132</f>
        <v>52174179.558074154</v>
      </c>
    </row>
    <row r="168" spans="1:8" x14ac:dyDescent="0.3">
      <c r="A168" s="304"/>
      <c r="B168" s="304"/>
      <c r="C168" s="308"/>
      <c r="G168" s="462"/>
      <c r="H168" s="308"/>
    </row>
    <row r="169" spans="1:8" x14ac:dyDescent="0.3">
      <c r="A169" s="304">
        <f>+A167+1</f>
        <v>90</v>
      </c>
      <c r="B169" s="385" t="s">
        <v>109</v>
      </c>
      <c r="E169" s="347"/>
      <c r="F169" s="308" t="str">
        <f>"(Attachment 4, Line "&amp;'4 - Cost Support'!A133&amp;")"</f>
        <v>(Attachment 4, Line 51)</v>
      </c>
      <c r="G169" s="462"/>
      <c r="H169" s="308">
        <f>+'4 - Cost Support'!S133</f>
        <v>0</v>
      </c>
    </row>
    <row r="170" spans="1:8" x14ac:dyDescent="0.3">
      <c r="A170" s="304"/>
      <c r="B170" s="198" t="s">
        <v>110</v>
      </c>
      <c r="E170" s="312"/>
      <c r="F170" s="308"/>
      <c r="G170" s="462"/>
      <c r="H170" s="308"/>
    </row>
    <row r="171" spans="1:8" x14ac:dyDescent="0.3">
      <c r="A171" s="304"/>
      <c r="B171" s="198" t="s">
        <v>111</v>
      </c>
      <c r="E171" s="312"/>
      <c r="F171" s="308"/>
      <c r="G171" s="462"/>
      <c r="H171" s="308"/>
    </row>
    <row r="172" spans="1:8" x14ac:dyDescent="0.3">
      <c r="A172" s="304">
        <f>+A169+1</f>
        <v>91</v>
      </c>
      <c r="B172" s="304"/>
      <c r="C172" s="308" t="s">
        <v>112</v>
      </c>
      <c r="D172" s="308"/>
      <c r="E172" s="347" t="str">
        <f>"(Note "&amp;B$307&amp;")"</f>
        <v>(Note K)</v>
      </c>
      <c r="F172" s="308" t="str">
        <f>"(Attachment 4, Line "&amp;'4 - Cost Support'!A134&amp;")"</f>
        <v>(Attachment 4, Line 52)</v>
      </c>
      <c r="G172" s="462"/>
      <c r="H172" s="308">
        <f>+'4 - Cost Support'!T134</f>
        <v>-1254541106.3374925</v>
      </c>
    </row>
    <row r="173" spans="1:8" x14ac:dyDescent="0.3">
      <c r="A173" s="304">
        <f>A172+1</f>
        <v>92</v>
      </c>
      <c r="B173" s="304"/>
      <c r="C173" s="308" t="s">
        <v>113</v>
      </c>
      <c r="D173" s="308"/>
      <c r="E173" s="347" t="str">
        <f>"(Note "&amp;B$307&amp;" )"</f>
        <v>(Note K )</v>
      </c>
      <c r="F173" s="308" t="str">
        <f>"(Attachment 4, Line "&amp;'4 - Cost Support'!A135&amp;")"</f>
        <v>(Attachment 4, Line 53)</v>
      </c>
      <c r="G173" s="462"/>
      <c r="H173" s="308">
        <f>+'4 - Cost Support'!T135</f>
        <v>24316650</v>
      </c>
    </row>
    <row r="174" spans="1:8" x14ac:dyDescent="0.3">
      <c r="A174" s="304">
        <f>A173+1</f>
        <v>93</v>
      </c>
      <c r="B174" s="304"/>
      <c r="C174" s="308" t="s">
        <v>114</v>
      </c>
      <c r="D174" s="308"/>
      <c r="E174" s="347" t="str">
        <f>"(Note "&amp;B$307&amp;" )"</f>
        <v>(Note K )</v>
      </c>
      <c r="F174" s="308" t="str">
        <f>"(Attachment 4, Line "&amp;'4 - Cost Support'!A146&amp;")"</f>
        <v>(Attachment 4, Line 64)</v>
      </c>
      <c r="G174" s="462"/>
      <c r="H174" s="308">
        <f>+'4 - Cost Support'!T146</f>
        <v>0</v>
      </c>
    </row>
    <row r="175" spans="1:8" x14ac:dyDescent="0.3">
      <c r="A175" s="304">
        <f>+A174+1</f>
        <v>94</v>
      </c>
      <c r="B175" s="304"/>
      <c r="C175" s="311" t="s">
        <v>115</v>
      </c>
      <c r="D175" s="311"/>
      <c r="E175" s="355" t="str">
        <f>"(Note "&amp;B$307&amp;")"</f>
        <v>(Note K)</v>
      </c>
      <c r="F175" s="311" t="str">
        <f>"(Attachment 4, Line "&amp;'4 - Cost Support'!A136&amp;")"</f>
        <v>(Attachment 4, Line 54)</v>
      </c>
      <c r="G175" s="462"/>
      <c r="H175" s="311">
        <f>+'4 - Cost Support'!T136</f>
        <v>0</v>
      </c>
    </row>
    <row r="176" spans="1:8" x14ac:dyDescent="0.3">
      <c r="A176" s="304">
        <f>+A175+1</f>
        <v>95</v>
      </c>
      <c r="B176" s="304"/>
      <c r="C176" s="385" t="s">
        <v>111</v>
      </c>
      <c r="D176" s="308"/>
      <c r="F176" s="266" t="str">
        <f>"(Line "&amp;A172&amp;" - "&amp;A173&amp;" - "&amp;A174&amp;" - "&amp;A175&amp;")"</f>
        <v>(Line 91 - 92 - 93 - 94)</v>
      </c>
      <c r="H176" s="308">
        <f>H172-H173-H174-H175</f>
        <v>-1278857756.3374925</v>
      </c>
    </row>
    <row r="177" spans="1:8" x14ac:dyDescent="0.3">
      <c r="A177" s="304"/>
      <c r="B177" s="304"/>
      <c r="E177" s="312"/>
      <c r="F177" s="308"/>
      <c r="H177" s="308"/>
    </row>
    <row r="178" spans="1:8" x14ac:dyDescent="0.3">
      <c r="A178" s="304">
        <f>+A176+1</f>
        <v>96</v>
      </c>
      <c r="B178" s="304"/>
      <c r="C178" s="198" t="s">
        <v>116</v>
      </c>
      <c r="E178" s="347" t="str">
        <f>"(Note "&amp;B$307&amp;")"</f>
        <v>(Note K)</v>
      </c>
      <c r="F178" s="308" t="str">
        <f>"(Attachment 4, Line "&amp;'4 - Cost Support'!A137&amp;")"</f>
        <v>(Attachment 4, Line 55)</v>
      </c>
      <c r="G178" s="462"/>
      <c r="H178" s="308">
        <f>+'4 - Cost Support'!T137</f>
        <v>-1171532166.6750634</v>
      </c>
    </row>
    <row r="179" spans="1:8" x14ac:dyDescent="0.3">
      <c r="A179" s="304"/>
      <c r="B179" s="304"/>
      <c r="C179" s="266" t="s">
        <v>117</v>
      </c>
      <c r="E179" s="347" t="str">
        <f>"(Note "&amp;B$307&amp;")"</f>
        <v>(Note K)</v>
      </c>
      <c r="F179" s="308" t="str">
        <f>"(Attachment 4, Line "&amp;'4 - Cost Support'!A138&amp;")"</f>
        <v>(Attachment 4, Line 56)</v>
      </c>
      <c r="G179" s="462"/>
      <c r="H179" s="308">
        <f>+'4 - Cost Support'!T138</f>
        <v>0</v>
      </c>
    </row>
    <row r="180" spans="1:8" x14ac:dyDescent="0.3">
      <c r="A180" s="304">
        <f>+A178+1</f>
        <v>97</v>
      </c>
      <c r="B180" s="304"/>
      <c r="C180" s="266" t="s">
        <v>118</v>
      </c>
      <c r="E180" s="347" t="str">
        <f>"(Note "&amp;B$307&amp;")"</f>
        <v>(Note K)</v>
      </c>
      <c r="F180" s="308" t="str">
        <f>"(Attachment 4, Line "&amp;'4 - Cost Support'!A139&amp;")"</f>
        <v>(Attachment 4, Line 57)</v>
      </c>
      <c r="G180" s="462"/>
      <c r="H180" s="308">
        <f>+'4 - Cost Support'!T139</f>
        <v>264632.91000000003</v>
      </c>
    </row>
    <row r="181" spans="1:8" x14ac:dyDescent="0.3">
      <c r="A181" s="304">
        <f t="shared" ref="A181:A193" si="1">+A180+1</f>
        <v>98</v>
      </c>
      <c r="B181" s="304"/>
      <c r="C181" s="266" t="s">
        <v>119</v>
      </c>
      <c r="E181" s="347" t="str">
        <f t="shared" ref="E181:E182" si="2">"(Note "&amp;B$307&amp;")"</f>
        <v>(Note K)</v>
      </c>
      <c r="F181" s="308" t="str">
        <f>"(Attachment 4, Line "&amp;'4 - Cost Support'!A140&amp;")"</f>
        <v>(Attachment 4, Line 58)</v>
      </c>
      <c r="G181" s="462"/>
      <c r="H181" s="308">
        <f>+'4 - Cost Support'!T140</f>
        <v>0</v>
      </c>
    </row>
    <row r="182" spans="1:8" x14ac:dyDescent="0.3">
      <c r="A182" s="304">
        <f t="shared" si="1"/>
        <v>99</v>
      </c>
      <c r="B182" s="304"/>
      <c r="C182" s="266" t="s">
        <v>120</v>
      </c>
      <c r="E182" s="347" t="str">
        <f t="shared" si="2"/>
        <v>(Note K)</v>
      </c>
      <c r="F182" s="308" t="str">
        <f>"(Attachment 4, Line "&amp;'4 - Cost Support'!A141&amp;")"</f>
        <v>(Attachment 4, Line 59)</v>
      </c>
      <c r="G182" s="462"/>
      <c r="H182" s="308">
        <f>+'4 - Cost Support'!T141</f>
        <v>2185385.56</v>
      </c>
    </row>
    <row r="183" spans="1:8" x14ac:dyDescent="0.3">
      <c r="A183" s="304">
        <f t="shared" si="1"/>
        <v>100</v>
      </c>
      <c r="B183" s="304"/>
      <c r="C183" s="266" t="s">
        <v>121</v>
      </c>
      <c r="E183" s="347" t="str">
        <f>"(Note "&amp;B$307&amp;")"</f>
        <v>(Note K)</v>
      </c>
      <c r="F183" s="308" t="str">
        <f>"(Attachment 4, Line "&amp;'4 - Cost Support'!A142&amp;")"</f>
        <v>(Attachment 4, Line 60)</v>
      </c>
      <c r="G183" s="462"/>
      <c r="H183" s="308">
        <f>+'4 - Cost Support'!T142</f>
        <v>0</v>
      </c>
    </row>
    <row r="184" spans="1:8" x14ac:dyDescent="0.3">
      <c r="A184" s="304">
        <f t="shared" si="1"/>
        <v>101</v>
      </c>
      <c r="B184" s="304"/>
      <c r="C184" s="266" t="s">
        <v>122</v>
      </c>
      <c r="D184" s="382"/>
      <c r="E184" s="347" t="str">
        <f>"(Note "&amp;B$307&amp;")"</f>
        <v>(Note K)</v>
      </c>
      <c r="F184" s="308" t="str">
        <f>"(Attachment 4, Line "&amp;'4 - Cost Support'!A143&amp;")"</f>
        <v>(Attachment 4, Line 61)</v>
      </c>
      <c r="G184" s="462"/>
      <c r="H184" s="308">
        <f>+'4 - Cost Support'!T143</f>
        <v>-264162.22499999998</v>
      </c>
    </row>
    <row r="185" spans="1:8" x14ac:dyDescent="0.3">
      <c r="A185" s="304">
        <f>+A184+1</f>
        <v>102</v>
      </c>
      <c r="B185" s="304"/>
      <c r="C185" s="266" t="s">
        <v>123</v>
      </c>
      <c r="D185" s="382"/>
      <c r="E185" s="347" t="str">
        <f t="shared" ref="E185:E186" si="3">"(Note "&amp;B$307&amp;")"</f>
        <v>(Note K)</v>
      </c>
      <c r="F185" s="308" t="str">
        <f>"(Attachment 4, Line "&amp;'4 - Cost Support'!A144&amp;")"</f>
        <v>(Attachment 4, Line 62)</v>
      </c>
      <c r="G185" s="462"/>
      <c r="H185" s="308">
        <f>+'4 - Cost Support'!T144</f>
        <v>0</v>
      </c>
    </row>
    <row r="186" spans="1:8" x14ac:dyDescent="0.3">
      <c r="A186" s="304">
        <f>+A185+1</f>
        <v>103</v>
      </c>
      <c r="B186" s="304"/>
      <c r="C186" s="354" t="s">
        <v>124</v>
      </c>
      <c r="D186" s="417"/>
      <c r="E186" s="355" t="str">
        <f t="shared" si="3"/>
        <v>(Note K)</v>
      </c>
      <c r="F186" s="311" t="str">
        <f>"(Attachment 4, Line "&amp;'4 - Cost Support'!A145&amp;")"</f>
        <v>(Attachment 4, Line 63)</v>
      </c>
      <c r="G186" s="462"/>
      <c r="H186" s="311">
        <f>+'4 - Cost Support'!T145</f>
        <v>0</v>
      </c>
    </row>
    <row r="187" spans="1:8" ht="60.75" x14ac:dyDescent="0.3">
      <c r="A187" s="304">
        <f>+A186+1</f>
        <v>104</v>
      </c>
      <c r="B187" s="304"/>
      <c r="C187" s="198" t="s">
        <v>125</v>
      </c>
      <c r="F187" s="268" t="str">
        <f>"(Line "&amp;A178&amp;" + "&amp;A180&amp;" + "&amp;A181&amp;" + "&amp;A182&amp;" + "&amp;A183&amp;" + "&amp;A184&amp;" + "&amp;A185&amp;" + "&amp;A186&amp;")"</f>
        <v>(Line 96 + 97 + 98 + 99 + 100 + 101 + 102 + 103)</v>
      </c>
      <c r="H187" s="308">
        <f>+SUM(H178:H186)</f>
        <v>-1169346310.4300632</v>
      </c>
    </row>
    <row r="188" spans="1:8" x14ac:dyDescent="0.3">
      <c r="A188" s="304"/>
      <c r="B188" s="304"/>
      <c r="C188" s="198"/>
      <c r="F188" s="268"/>
      <c r="H188" s="308"/>
    </row>
    <row r="189" spans="1:8" x14ac:dyDescent="0.3">
      <c r="A189" s="304"/>
      <c r="B189" s="304"/>
      <c r="C189" s="198" t="s">
        <v>126</v>
      </c>
      <c r="F189" s="268"/>
      <c r="H189" s="308"/>
    </row>
    <row r="190" spans="1:8" x14ac:dyDescent="0.3">
      <c r="A190" s="304">
        <f>+A187+1</f>
        <v>105</v>
      </c>
      <c r="B190" s="304"/>
      <c r="C190" s="198" t="s">
        <v>127</v>
      </c>
      <c r="F190" s="308" t="str">
        <f>+"(Line "&amp;A178&amp;")"</f>
        <v>(Line 96)</v>
      </c>
      <c r="H190" s="308">
        <f>+H178</f>
        <v>-1171532166.6750634</v>
      </c>
    </row>
    <row r="191" spans="1:8" x14ac:dyDescent="0.3">
      <c r="A191" s="304">
        <f t="shared" ref="A191" si="4">+A190+1</f>
        <v>106</v>
      </c>
      <c r="B191" s="304"/>
      <c r="C191" s="198" t="s">
        <v>128</v>
      </c>
      <c r="E191" s="347"/>
      <c r="F191" s="308" t="str">
        <f>+"(Line "&amp;A174&amp;")"</f>
        <v>(Line 93)</v>
      </c>
      <c r="H191" s="308">
        <f>+'4 - Cost Support'!T146</f>
        <v>0</v>
      </c>
    </row>
    <row r="192" spans="1:8" x14ac:dyDescent="0.3">
      <c r="A192" s="304">
        <f t="shared" si="1"/>
        <v>107</v>
      </c>
      <c r="B192" s="304"/>
      <c r="C192" s="198" t="s">
        <v>111</v>
      </c>
      <c r="E192" s="347"/>
      <c r="F192" s="311" t="str">
        <f>+"(Line "&amp;A176&amp;")"</f>
        <v>(Line 95)</v>
      </c>
      <c r="H192" s="308">
        <f>H176</f>
        <v>-1278857756.3374925</v>
      </c>
    </row>
    <row r="193" spans="1:8" x14ac:dyDescent="0.3">
      <c r="A193" s="304">
        <f t="shared" si="1"/>
        <v>108</v>
      </c>
      <c r="B193" s="304"/>
      <c r="C193" s="373" t="s">
        <v>129</v>
      </c>
      <c r="D193" s="348"/>
      <c r="E193" s="356"/>
      <c r="F193" s="308" t="str">
        <f>"(Line "&amp;A190&amp;" + Line"&amp;A191&amp;" + Line "&amp;A192&amp;")"</f>
        <v>(Line 105 + Line106 + Line 107)</v>
      </c>
      <c r="G193" s="465"/>
      <c r="H193" s="309">
        <f>+H190+H191+H192</f>
        <v>-2450389923.0125561</v>
      </c>
    </row>
    <row r="194" spans="1:8" x14ac:dyDescent="0.3">
      <c r="A194" s="304"/>
      <c r="B194" s="304"/>
      <c r="G194" s="462"/>
      <c r="H194" s="312"/>
    </row>
    <row r="195" spans="1:8" x14ac:dyDescent="0.3">
      <c r="A195" s="304">
        <f>+A193+1</f>
        <v>109</v>
      </c>
      <c r="B195" s="304"/>
      <c r="C195" s="27" t="s">
        <v>130</v>
      </c>
      <c r="D195" s="266" t="s">
        <v>131</v>
      </c>
      <c r="E195" s="347"/>
      <c r="F195" s="308" t="str">
        <f>"(Line "&amp;A190&amp;" / Line "&amp;A193&amp;")"</f>
        <v>(Line 105 / Line 108)</v>
      </c>
      <c r="G195" s="462"/>
      <c r="H195" s="328">
        <f>+H190/H193</f>
        <v>0.47810030382216046</v>
      </c>
    </row>
    <row r="196" spans="1:8" x14ac:dyDescent="0.3">
      <c r="A196" s="304">
        <f>+A195+1</f>
        <v>110</v>
      </c>
      <c r="B196" s="304"/>
      <c r="C196" s="27" t="s">
        <v>132</v>
      </c>
      <c r="D196" s="266" t="s">
        <v>128</v>
      </c>
      <c r="E196" s="347"/>
      <c r="F196" s="308" t="str">
        <f>"(Line "&amp;A191&amp;" / Line "&amp;A193&amp;")"</f>
        <v>(Line 106 / Line 108)</v>
      </c>
      <c r="G196" s="462"/>
      <c r="H196" s="328">
        <f>+H191/H193</f>
        <v>0</v>
      </c>
    </row>
    <row r="197" spans="1:8" x14ac:dyDescent="0.3">
      <c r="A197" s="304">
        <f>+A196+1</f>
        <v>111</v>
      </c>
      <c r="B197" s="304"/>
      <c r="C197" s="27" t="s">
        <v>133</v>
      </c>
      <c r="D197" s="266" t="s">
        <v>111</v>
      </c>
      <c r="E197" s="347"/>
      <c r="F197" s="308" t="str">
        <f>"(Line "&amp;A192&amp;" / Line "&amp;A193&amp;")"</f>
        <v>(Line 107 / Line 108)</v>
      </c>
      <c r="G197" s="462"/>
      <c r="H197" s="328">
        <f>+H192/H193</f>
        <v>0.52189969617783949</v>
      </c>
    </row>
    <row r="198" spans="1:8" x14ac:dyDescent="0.3">
      <c r="A198" s="304"/>
      <c r="B198" s="304"/>
      <c r="C198" s="386"/>
      <c r="F198" s="308"/>
      <c r="G198" s="462"/>
      <c r="H198" s="314"/>
    </row>
    <row r="199" spans="1:8" x14ac:dyDescent="0.3">
      <c r="A199" s="304">
        <f>+A197+1</f>
        <v>112</v>
      </c>
      <c r="B199" s="304"/>
      <c r="C199" s="386" t="s">
        <v>134</v>
      </c>
      <c r="D199" s="266" t="s">
        <v>131</v>
      </c>
      <c r="F199" s="308" t="str">
        <f>"(Line "&amp;A167&amp;" / Line "&amp;A187&amp;")"</f>
        <v>(Line 89 / Line 104)</v>
      </c>
      <c r="G199" s="462"/>
      <c r="H199" s="328">
        <f>+H167/H187*-1</f>
        <v>4.4618244477878828E-2</v>
      </c>
    </row>
    <row r="200" spans="1:8" x14ac:dyDescent="0.3">
      <c r="A200" s="304">
        <f>+A199+1</f>
        <v>113</v>
      </c>
      <c r="B200" s="304"/>
      <c r="C200" s="386" t="s">
        <v>135</v>
      </c>
      <c r="D200" s="266" t="s">
        <v>128</v>
      </c>
      <c r="F200" s="308" t="str">
        <f>"(Line "&amp;A169&amp;" / Line "&amp;A191&amp;")"</f>
        <v>(Line 90 / Line 106)</v>
      </c>
      <c r="G200" s="462"/>
      <c r="H200" s="328">
        <f>+IF(H191=0,0,H169/H191)</f>
        <v>0</v>
      </c>
    </row>
    <row r="201" spans="1:8" x14ac:dyDescent="0.3">
      <c r="A201" s="304">
        <f>+A200+1</f>
        <v>114</v>
      </c>
      <c r="B201" s="304"/>
      <c r="C201" s="386" t="s">
        <v>136</v>
      </c>
      <c r="D201" s="266" t="s">
        <v>111</v>
      </c>
      <c r="E201" s="347" t="str">
        <f>"(Note "&amp;B$303&amp;")"</f>
        <v>(Note G)</v>
      </c>
      <c r="F201" s="308" t="s">
        <v>137</v>
      </c>
      <c r="G201" s="462"/>
      <c r="H201" s="436">
        <v>9.8500000000000004E-2</v>
      </c>
    </row>
    <row r="202" spans="1:8" x14ac:dyDescent="0.3">
      <c r="A202" s="304"/>
      <c r="B202" s="304"/>
      <c r="C202" s="386"/>
      <c r="F202" s="308"/>
      <c r="G202" s="462"/>
      <c r="H202" s="366"/>
    </row>
    <row r="203" spans="1:8" x14ac:dyDescent="0.3">
      <c r="A203" s="304">
        <f>+A201+1</f>
        <v>115</v>
      </c>
      <c r="B203" s="304"/>
      <c r="C203" s="27" t="s">
        <v>138</v>
      </c>
      <c r="D203" s="266" t="s">
        <v>139</v>
      </c>
      <c r="F203" s="308" t="str">
        <f>"(Line "&amp;A195&amp;" * Line "&amp;A199&amp;")"</f>
        <v>(Line 109 * Line 112)</v>
      </c>
      <c r="G203" s="456"/>
      <c r="H203" s="328">
        <f>H195*H199</f>
        <v>2.13319962408853E-2</v>
      </c>
    </row>
    <row r="204" spans="1:8" x14ac:dyDescent="0.3">
      <c r="A204" s="304">
        <f>+A203+1</f>
        <v>116</v>
      </c>
      <c r="B204" s="304"/>
      <c r="C204" s="27" t="s">
        <v>140</v>
      </c>
      <c r="D204" s="266" t="s">
        <v>128</v>
      </c>
      <c r="F204" s="308" t="str">
        <f>"(Line "&amp;A196&amp;" * Line "&amp;A200&amp;")"</f>
        <v>(Line 110 * Line 113)</v>
      </c>
      <c r="H204" s="328">
        <f>H196*H200</f>
        <v>0</v>
      </c>
    </row>
    <row r="205" spans="1:8" x14ac:dyDescent="0.3">
      <c r="A205" s="304">
        <f>+A204+1</f>
        <v>117</v>
      </c>
      <c r="B205" s="167"/>
      <c r="C205" s="360" t="s">
        <v>141</v>
      </c>
      <c r="D205" s="354" t="s">
        <v>111</v>
      </c>
      <c r="E205" s="167"/>
      <c r="F205" s="311" t="str">
        <f>"(Line "&amp;A197&amp;" * Line "&amp;A201&amp;")"</f>
        <v>(Line 111 * Line 114)</v>
      </c>
      <c r="G205" s="464"/>
      <c r="H205" s="423">
        <f>H197*H201</f>
        <v>5.1407120073517193E-2</v>
      </c>
    </row>
    <row r="206" spans="1:8" s="198" customFormat="1" x14ac:dyDescent="0.3">
      <c r="A206" s="304">
        <f>+A205+1</f>
        <v>118</v>
      </c>
      <c r="B206" s="198" t="s">
        <v>142</v>
      </c>
      <c r="E206" s="302"/>
      <c r="F206" s="308" t="str">
        <f>"(Lines "&amp;A203&amp;" + "&amp;A204&amp;" + "&amp;A205&amp;")"</f>
        <v>(Lines 115 + 116 + 117)</v>
      </c>
      <c r="G206" s="456"/>
      <c r="H206" s="424">
        <f>SUM(H203:H205)</f>
        <v>7.2739116314402497E-2</v>
      </c>
    </row>
    <row r="207" spans="1:8" s="198" customFormat="1" x14ac:dyDescent="0.3">
      <c r="A207" s="302"/>
      <c r="B207" s="302"/>
      <c r="E207" s="302"/>
      <c r="F207" s="385"/>
      <c r="G207" s="456"/>
      <c r="H207" s="425"/>
    </row>
    <row r="208" spans="1:8" ht="21" thickBot="1" x14ac:dyDescent="0.35">
      <c r="A208" s="304">
        <f>+A206+1</f>
        <v>119</v>
      </c>
      <c r="B208" s="387" t="s">
        <v>143</v>
      </c>
      <c r="C208" s="380"/>
      <c r="D208" s="375"/>
      <c r="E208" s="388"/>
      <c r="F208" s="323" t="str">
        <f>"(Line "&amp;A114&amp;" * Line "&amp;A206&amp;")"</f>
        <v>(Line 59 * Line 118)</v>
      </c>
      <c r="G208" s="457"/>
      <c r="H208" s="420">
        <f>H114*H206</f>
        <v>50998587.069364749</v>
      </c>
    </row>
    <row r="209" spans="1:8" x14ac:dyDescent="0.3">
      <c r="A209" s="343" t="s">
        <v>144</v>
      </c>
      <c r="B209" s="344"/>
      <c r="C209" s="378"/>
      <c r="D209" s="313"/>
      <c r="E209" s="384"/>
      <c r="F209" s="313"/>
      <c r="G209" s="461"/>
      <c r="H209" s="306"/>
    </row>
    <row r="210" spans="1:8" x14ac:dyDescent="0.3">
      <c r="A210" s="304" t="s">
        <v>145</v>
      </c>
      <c r="B210" s="389" t="s">
        <v>146</v>
      </c>
      <c r="E210" s="312"/>
      <c r="F210" s="308"/>
      <c r="G210" s="466"/>
    </row>
    <row r="211" spans="1:8" x14ac:dyDescent="0.3">
      <c r="A211" s="304">
        <f>+A208+1</f>
        <v>120</v>
      </c>
      <c r="B211" s="304"/>
      <c r="C211" s="266" t="s">
        <v>147</v>
      </c>
      <c r="E211" s="347"/>
      <c r="H211" s="327">
        <v>0.21</v>
      </c>
    </row>
    <row r="212" spans="1:8" x14ac:dyDescent="0.3">
      <c r="A212" s="304">
        <f>+A211+1</f>
        <v>121</v>
      </c>
      <c r="B212" s="304"/>
      <c r="C212" s="266" t="s">
        <v>148</v>
      </c>
      <c r="D212" s="390"/>
      <c r="F212" s="308" t="str">
        <f>"(Attachment 4, Line "&amp;'4 - Cost Support'!A153&amp;")"</f>
        <v>(Attachment 4, Line 65)</v>
      </c>
      <c r="H212" s="329">
        <f>+'4 - Cost Support'!S153</f>
        <v>0</v>
      </c>
    </row>
    <row r="213" spans="1:8" x14ac:dyDescent="0.3">
      <c r="A213" s="304">
        <f>+A212+1</f>
        <v>122</v>
      </c>
      <c r="B213" s="304"/>
      <c r="C213" s="266" t="s">
        <v>149</v>
      </c>
      <c r="D213" s="390"/>
      <c r="F213" s="308" t="str">
        <f>"(Attachment 4, Line "&amp;'4 - Cost Support'!A154&amp;")"</f>
        <v>(Attachment 4, Line 66)</v>
      </c>
      <c r="H213" s="329">
        <f>+'4 - Cost Support'!S154</f>
        <v>1.77E-2</v>
      </c>
    </row>
    <row r="214" spans="1:8" x14ac:dyDescent="0.3">
      <c r="A214" s="304">
        <f>+A213+1</f>
        <v>123</v>
      </c>
      <c r="B214" s="304"/>
      <c r="C214" s="266" t="s">
        <v>150</v>
      </c>
      <c r="D214" s="266" t="s">
        <v>151</v>
      </c>
      <c r="F214" s="266" t="s">
        <v>152</v>
      </c>
      <c r="H214" s="327">
        <v>0</v>
      </c>
    </row>
    <row r="215" spans="1:8" x14ac:dyDescent="0.3">
      <c r="A215" s="304">
        <f>+A214+1</f>
        <v>124</v>
      </c>
      <c r="B215" s="304"/>
      <c r="C215" s="266" t="s">
        <v>153</v>
      </c>
      <c r="D215" s="391" t="s">
        <v>154</v>
      </c>
      <c r="H215" s="328">
        <f>+H211+H212+H213-(H212+H213)*H211-(H211*H214*H212)</f>
        <v>0.22398299999999999</v>
      </c>
    </row>
    <row r="216" spans="1:8" x14ac:dyDescent="0.3">
      <c r="A216" s="304">
        <f>A215+1</f>
        <v>125</v>
      </c>
      <c r="C216" s="266" t="s">
        <v>155</v>
      </c>
      <c r="E216" s="266"/>
      <c r="H216" s="329">
        <f>H215/(1-H215)</f>
        <v>0.28863156348378965</v>
      </c>
    </row>
    <row r="217" spans="1:8" x14ac:dyDescent="0.3">
      <c r="A217" s="304">
        <f>+A216+1</f>
        <v>126</v>
      </c>
      <c r="C217" s="266" t="s">
        <v>156</v>
      </c>
      <c r="E217" s="266"/>
      <c r="H217" s="329">
        <f>1/(1-H215)</f>
        <v>1.2886315634837897</v>
      </c>
    </row>
    <row r="218" spans="1:8" x14ac:dyDescent="0.3">
      <c r="A218" s="304"/>
      <c r="B218" s="304"/>
      <c r="E218" s="362"/>
      <c r="G218" s="466"/>
      <c r="H218" s="328"/>
    </row>
    <row r="219" spans="1:8" x14ac:dyDescent="0.3">
      <c r="A219" s="304"/>
      <c r="B219" s="389" t="s">
        <v>157</v>
      </c>
      <c r="E219" s="347"/>
      <c r="G219" s="466"/>
      <c r="H219" s="329"/>
    </row>
    <row r="220" spans="1:8" x14ac:dyDescent="0.3">
      <c r="A220" s="304">
        <f>+A217+1</f>
        <v>127</v>
      </c>
      <c r="B220" s="304"/>
      <c r="C220" s="266" t="s">
        <v>158</v>
      </c>
      <c r="D220" s="312"/>
      <c r="E220" s="347"/>
      <c r="F220" s="308" t="str">
        <f>"(Attachment 4, Line "&amp;'4 - Cost Support'!A161&amp;")"</f>
        <v>(Attachment 4, Line 68)</v>
      </c>
      <c r="G220" s="466"/>
      <c r="H220" s="308">
        <f>'4 - Cost Support'!S161</f>
        <v>-1248</v>
      </c>
    </row>
    <row r="221" spans="1:8" x14ac:dyDescent="0.3">
      <c r="A221" s="304">
        <f t="shared" ref="A221:A226" si="5">+A220+1</f>
        <v>128</v>
      </c>
      <c r="B221" s="304"/>
      <c r="C221" s="266" t="s">
        <v>159</v>
      </c>
      <c r="D221" s="312"/>
      <c r="E221" s="347"/>
      <c r="F221" s="308" t="str">
        <f>"(Attachment 4, Line "&amp;'4 - Cost Support'!A160&amp;")"</f>
        <v>(Attachment 4, Line 67)</v>
      </c>
      <c r="G221" s="466"/>
      <c r="H221" s="308">
        <f>'4 - Cost Support'!S160</f>
        <v>-27167</v>
      </c>
    </row>
    <row r="222" spans="1:8" x14ac:dyDescent="0.3">
      <c r="A222" s="304">
        <f t="shared" si="5"/>
        <v>129</v>
      </c>
      <c r="B222" s="304"/>
      <c r="C222" s="360" t="s">
        <v>30</v>
      </c>
      <c r="D222" s="360"/>
      <c r="E222" s="167"/>
      <c r="F222" s="354" t="str">
        <f>"(Line "&amp;A$16&amp;")"</f>
        <v>(Line 5)</v>
      </c>
      <c r="G222" s="464"/>
      <c r="H222" s="318">
        <f>+H16</f>
        <v>0.11010683301047983</v>
      </c>
    </row>
    <row r="223" spans="1:8" x14ac:dyDescent="0.3">
      <c r="A223" s="304">
        <f t="shared" si="5"/>
        <v>130</v>
      </c>
      <c r="B223" s="304"/>
      <c r="C223" s="266" t="s">
        <v>160</v>
      </c>
      <c r="F223" s="308" t="str">
        <f>"(Line "&amp;A221&amp;" * Line "&amp;A222&amp;")"</f>
        <v>(Line 128 * Line 129)</v>
      </c>
      <c r="G223" s="462"/>
      <c r="H223" s="314">
        <f>+H221*H222</f>
        <v>-2991.2723323957052</v>
      </c>
    </row>
    <row r="224" spans="1:8" x14ac:dyDescent="0.3">
      <c r="A224" s="304">
        <f t="shared" si="5"/>
        <v>131</v>
      </c>
      <c r="B224" s="304"/>
      <c r="C224" s="266" t="s">
        <v>161</v>
      </c>
      <c r="F224" s="308" t="str">
        <f>"(Line "&amp;A220&amp;" + Line "&amp;A223&amp;")"</f>
        <v>(Line 127 + Line 130)</v>
      </c>
      <c r="G224" s="462"/>
      <c r="H224" s="314">
        <f>+H220+H223</f>
        <v>-4239.2723323957052</v>
      </c>
    </row>
    <row r="225" spans="1:8" x14ac:dyDescent="0.3">
      <c r="A225" s="304">
        <f t="shared" si="5"/>
        <v>132</v>
      </c>
      <c r="B225" s="304"/>
      <c r="C225" s="354" t="s">
        <v>156</v>
      </c>
      <c r="D225" s="354"/>
      <c r="E225" s="167"/>
      <c r="F225" s="354" t="str">
        <f>"(Line "&amp;A217&amp;")"</f>
        <v>(Line 126)</v>
      </c>
      <c r="G225" s="467"/>
      <c r="H225" s="414">
        <f>+H217</f>
        <v>1.2886315634837897</v>
      </c>
    </row>
    <row r="226" spans="1:8" x14ac:dyDescent="0.3">
      <c r="A226" s="304">
        <f t="shared" si="5"/>
        <v>133</v>
      </c>
      <c r="B226" s="304"/>
      <c r="C226" s="342" t="s">
        <v>162</v>
      </c>
      <c r="E226" s="347"/>
      <c r="F226" s="308" t="str">
        <f>"(Line "&amp;A224&amp;" * Line "&amp;A225&amp;")"</f>
        <v>(Line 131 * Line 132)</v>
      </c>
      <c r="G226" s="462"/>
      <c r="H226" s="319">
        <f>+H224*H225</f>
        <v>-5462.8601337286491</v>
      </c>
    </row>
    <row r="227" spans="1:8" x14ac:dyDescent="0.3">
      <c r="A227" s="304"/>
      <c r="B227" s="304"/>
      <c r="C227" s="342"/>
      <c r="E227" s="347"/>
      <c r="F227" s="308"/>
      <c r="G227" s="462"/>
      <c r="H227" s="319"/>
    </row>
    <row r="228" spans="1:8" x14ac:dyDescent="0.3">
      <c r="A228" s="304"/>
      <c r="B228" s="342" t="s">
        <v>163</v>
      </c>
      <c r="C228" s="342"/>
      <c r="E228" s="347"/>
      <c r="F228" s="308"/>
      <c r="G228" s="462"/>
      <c r="H228" s="319"/>
    </row>
    <row r="229" spans="1:8" x14ac:dyDescent="0.3">
      <c r="A229" s="304">
        <f>+A226+1</f>
        <v>134</v>
      </c>
      <c r="B229" s="304"/>
      <c r="C229" s="266" t="s">
        <v>163</v>
      </c>
      <c r="D229" s="312"/>
      <c r="E229" s="347"/>
      <c r="F229" s="308" t="str">
        <f>"(Attachment 4, Line "&amp;'4 - Cost Support'!A162&amp;")"</f>
        <v>(Attachment 4, Line 69)</v>
      </c>
      <c r="G229" s="466"/>
      <c r="H229" s="308">
        <f>+'4 - Cost Support'!S162</f>
        <v>329354.96000000002</v>
      </c>
    </row>
    <row r="230" spans="1:8" x14ac:dyDescent="0.3">
      <c r="A230" s="304">
        <f>+A229+1</f>
        <v>135</v>
      </c>
      <c r="B230" s="304"/>
      <c r="C230" s="27" t="s">
        <v>164</v>
      </c>
      <c r="D230" s="312"/>
      <c r="E230" s="347"/>
      <c r="F230" s="308" t="str">
        <f>"(Line "&amp;A215&amp;" * Line "&amp;A229&amp;")"</f>
        <v>(Line 124 * Line 134)</v>
      </c>
      <c r="G230" s="466"/>
      <c r="H230" s="308">
        <f>+H229*H215</f>
        <v>73769.912005680002</v>
      </c>
    </row>
    <row r="231" spans="1:8" x14ac:dyDescent="0.3">
      <c r="A231" s="304">
        <f>+A230+1</f>
        <v>136</v>
      </c>
      <c r="B231" s="304"/>
      <c r="C231" s="266" t="s">
        <v>156</v>
      </c>
      <c r="E231" s="167"/>
      <c r="F231" s="354" t="str">
        <f>"(Line "&amp;A217&amp;")"</f>
        <v>(Line 126)</v>
      </c>
      <c r="G231" s="466"/>
      <c r="H231" s="329">
        <f>+H217</f>
        <v>1.2886315634837897</v>
      </c>
    </row>
    <row r="232" spans="1:8" x14ac:dyDescent="0.3">
      <c r="A232" s="304">
        <f>+A231+1</f>
        <v>137</v>
      </c>
      <c r="B232" s="304"/>
      <c r="C232" s="392" t="s">
        <v>165</v>
      </c>
      <c r="D232" s="348"/>
      <c r="E232" s="347"/>
      <c r="F232" s="308" t="str">
        <f>"(Line "&amp;A230&amp;" * Line "&amp;A231&amp;")"</f>
        <v>(Line 135 * Line 136)</v>
      </c>
      <c r="G232" s="465"/>
      <c r="H232" s="322">
        <f>+H230*H231</f>
        <v>95062.237045941016</v>
      </c>
    </row>
    <row r="233" spans="1:8" x14ac:dyDescent="0.3">
      <c r="A233" s="304"/>
      <c r="B233" s="304"/>
      <c r="C233" s="342"/>
      <c r="E233" s="347"/>
      <c r="F233" s="308"/>
      <c r="G233" s="462"/>
      <c r="H233" s="319"/>
    </row>
    <row r="234" spans="1:8" x14ac:dyDescent="0.3">
      <c r="A234" s="304"/>
      <c r="B234" s="342" t="s">
        <v>166</v>
      </c>
      <c r="C234" s="342"/>
      <c r="E234" s="347"/>
      <c r="F234" s="308"/>
      <c r="G234" s="462"/>
      <c r="H234" s="319"/>
    </row>
    <row r="235" spans="1:8" x14ac:dyDescent="0.3">
      <c r="A235" s="304">
        <f>+A232+1</f>
        <v>138</v>
      </c>
      <c r="B235" s="304"/>
      <c r="C235" s="27" t="s">
        <v>167</v>
      </c>
      <c r="E235" s="347" t="str">
        <f>"(Note "&amp;B310&amp;")"</f>
        <v>(Note N)</v>
      </c>
      <c r="F235" s="308" t="str">
        <f>"(Attachment 4, Line "&amp;'4 - Cost Support'!A203&amp;")"</f>
        <v>(Attachment 4, Line 78)</v>
      </c>
      <c r="G235" s="470"/>
      <c r="H235" s="314">
        <f>+'4 - Cost Support'!R203</f>
        <v>-2920070.7537237941</v>
      </c>
    </row>
    <row r="236" spans="1:8" x14ac:dyDescent="0.3">
      <c r="A236" s="304">
        <f>+A235+1</f>
        <v>139</v>
      </c>
      <c r="B236" s="304"/>
      <c r="C236" s="266" t="s">
        <v>156</v>
      </c>
      <c r="E236" s="355"/>
      <c r="F236" s="354" t="str">
        <f>+F225</f>
        <v>(Line 126)</v>
      </c>
      <c r="G236" s="466"/>
      <c r="H236" s="329">
        <f>+H217</f>
        <v>1.2886315634837897</v>
      </c>
    </row>
    <row r="237" spans="1:8" x14ac:dyDescent="0.3">
      <c r="A237" s="304">
        <f>+A236+1</f>
        <v>140</v>
      </c>
      <c r="B237" s="304"/>
      <c r="C237" s="392" t="s">
        <v>168</v>
      </c>
      <c r="D237" s="348"/>
      <c r="E237" s="347"/>
      <c r="F237" s="308" t="str">
        <f>"(Line "&amp;A235&amp;" * Line "&amp;A236&amp;")"</f>
        <v>(Line 138 * Line 139)</v>
      </c>
      <c r="G237" s="465"/>
      <c r="H237" s="322">
        <f>+H235*H236</f>
        <v>-3762895.3408543812</v>
      </c>
    </row>
    <row r="238" spans="1:8" ht="67.5" customHeight="1" x14ac:dyDescent="0.3">
      <c r="A238" s="304">
        <f>+A237+1</f>
        <v>141</v>
      </c>
      <c r="B238" s="198" t="s">
        <v>169</v>
      </c>
      <c r="D238" s="268" t="s">
        <v>170</v>
      </c>
      <c r="E238" s="312"/>
      <c r="F238" s="431" t="str">
        <f>"(Line "&amp;A216&amp;" * Line "&amp;A114&amp;" * (Line "&amp;A204&amp;" + Line "&amp;A205&amp;"))"</f>
        <v>(Line 125 * Line 59 * (Line 116 + Line 117))</v>
      </c>
      <c r="H238" s="319">
        <f>+H216*H114*(H204+H205)</f>
        <v>10402966.975233497</v>
      </c>
    </row>
    <row r="239" spans="1:8" ht="21" thickBot="1" x14ac:dyDescent="0.35">
      <c r="A239" s="304">
        <f>+A238+1</f>
        <v>142</v>
      </c>
      <c r="B239" s="393" t="s">
        <v>171</v>
      </c>
      <c r="C239" s="393"/>
      <c r="D239" s="350"/>
      <c r="E239" s="361"/>
      <c r="F239" s="394" t="str">
        <f>"(Line "&amp;A226&amp;" + Line "&amp;A232&amp;" + Line "&amp;A237&amp;" + Line "&amp;A238&amp;")"</f>
        <v>(Line 133 + Line 137 + Line 140 + Line 141)</v>
      </c>
      <c r="G239" s="458"/>
      <c r="H239" s="419">
        <f>H226+H232+H237+H238</f>
        <v>6729671.0112913288</v>
      </c>
    </row>
    <row r="240" spans="1:8" ht="21" thickTop="1" x14ac:dyDescent="0.3">
      <c r="A240" s="304"/>
      <c r="B240" s="304"/>
      <c r="C240" s="391"/>
      <c r="F240" s="314"/>
      <c r="G240" s="466"/>
      <c r="H240" s="326"/>
    </row>
    <row r="241" spans="1:8" x14ac:dyDescent="0.3">
      <c r="A241" s="343" t="s">
        <v>172</v>
      </c>
      <c r="B241" s="344"/>
      <c r="C241" s="378"/>
      <c r="D241" s="313"/>
      <c r="E241" s="345"/>
      <c r="F241" s="313"/>
      <c r="G241" s="461"/>
      <c r="H241" s="306"/>
    </row>
    <row r="242" spans="1:8" x14ac:dyDescent="0.3">
      <c r="A242" s="304"/>
      <c r="H242" s="435"/>
    </row>
    <row r="243" spans="1:8" x14ac:dyDescent="0.3">
      <c r="A243" s="304"/>
      <c r="B243" s="198" t="s">
        <v>173</v>
      </c>
    </row>
    <row r="244" spans="1:8" x14ac:dyDescent="0.3">
      <c r="A244" s="304">
        <f>+A239+1</f>
        <v>143</v>
      </c>
      <c r="C244" s="266" t="s">
        <v>174</v>
      </c>
      <c r="F244" s="308" t="str">
        <f>"(Line "&amp;A57&amp;")"</f>
        <v>(Line 29)</v>
      </c>
      <c r="H244" s="314">
        <f>H57</f>
        <v>737051143.58053792</v>
      </c>
    </row>
    <row r="245" spans="1:8" x14ac:dyDescent="0.3">
      <c r="A245" s="304">
        <f>+A244+1</f>
        <v>144</v>
      </c>
      <c r="C245" s="266" t="s">
        <v>76</v>
      </c>
      <c r="F245" s="311" t="str">
        <f>"(Line "&amp;A112&amp;")"</f>
        <v>(Line 58)</v>
      </c>
      <c r="H245" s="314">
        <f>H112</f>
        <v>-35934747.707208909</v>
      </c>
    </row>
    <row r="246" spans="1:8" x14ac:dyDescent="0.3">
      <c r="A246" s="304">
        <f>+A245+1</f>
        <v>145</v>
      </c>
      <c r="B246" s="304"/>
      <c r="C246" s="373" t="s">
        <v>77</v>
      </c>
      <c r="D246" s="373"/>
      <c r="E246" s="395"/>
      <c r="F246" s="308" t="str">
        <f>"(Line "&amp;A114&amp;")"</f>
        <v>(Line 59)</v>
      </c>
      <c r="G246" s="452"/>
      <c r="H246" s="322">
        <f>SUM(H244:H245)</f>
        <v>701116395.87332904</v>
      </c>
    </row>
    <row r="247" spans="1:8" x14ac:dyDescent="0.3">
      <c r="A247" s="304"/>
      <c r="B247" s="304"/>
      <c r="E247" s="312"/>
      <c r="H247" s="314"/>
    </row>
    <row r="248" spans="1:8" x14ac:dyDescent="0.3">
      <c r="A248" s="304">
        <f>+A246+1</f>
        <v>146</v>
      </c>
      <c r="C248" s="266" t="s">
        <v>175</v>
      </c>
      <c r="F248" s="308" t="str">
        <f>"(Line "&amp;A144&amp;")"</f>
        <v>(Line 78)</v>
      </c>
      <c r="H248" s="314">
        <f>H144</f>
        <v>24457186.177079014</v>
      </c>
    </row>
    <row r="249" spans="1:8" x14ac:dyDescent="0.3">
      <c r="A249" s="304">
        <f>+A248+1</f>
        <v>147</v>
      </c>
      <c r="C249" s="27" t="s">
        <v>103</v>
      </c>
      <c r="F249" s="308" t="str">
        <f>"(Line "&amp;A158&amp;")"</f>
        <v>(Line 86)</v>
      </c>
      <c r="H249" s="314">
        <f>H158</f>
        <v>20958783.905556656</v>
      </c>
    </row>
    <row r="250" spans="1:8" x14ac:dyDescent="0.3">
      <c r="A250" s="304">
        <f>+A249+1</f>
        <v>148</v>
      </c>
      <c r="B250" s="304"/>
      <c r="C250" s="266" t="s">
        <v>176</v>
      </c>
      <c r="E250" s="312"/>
      <c r="F250" s="308" t="str">
        <f>"(Line "&amp;A164&amp;")"</f>
        <v>(Line 88)</v>
      </c>
      <c r="H250" s="314">
        <f>H164</f>
        <v>38976660.76255846</v>
      </c>
    </row>
    <row r="251" spans="1:8" x14ac:dyDescent="0.3">
      <c r="A251" s="304">
        <f>+A250+1</f>
        <v>149</v>
      </c>
      <c r="B251" s="304"/>
      <c r="C251" s="391" t="s">
        <v>177</v>
      </c>
      <c r="E251" s="312"/>
      <c r="F251" s="308" t="str">
        <f>"(Line "&amp;A208&amp;")"</f>
        <v>(Line 119)</v>
      </c>
      <c r="H251" s="314">
        <f>H208</f>
        <v>50998587.069364749</v>
      </c>
    </row>
    <row r="252" spans="1:8" x14ac:dyDescent="0.3">
      <c r="A252" s="304">
        <f>+A251+1</f>
        <v>150</v>
      </c>
      <c r="B252" s="304"/>
      <c r="C252" s="391" t="s">
        <v>178</v>
      </c>
      <c r="E252" s="312"/>
      <c r="F252" s="308" t="str">
        <f>"(Line "&amp;A239&amp;")"</f>
        <v>(Line 142)</v>
      </c>
      <c r="H252" s="314">
        <f>H239</f>
        <v>6729671.0112913288</v>
      </c>
    </row>
    <row r="253" spans="1:8" x14ac:dyDescent="0.3">
      <c r="A253" s="304"/>
      <c r="B253" s="304"/>
      <c r="C253" s="391"/>
      <c r="E253" s="312"/>
      <c r="H253" s="314"/>
    </row>
    <row r="254" spans="1:8" x14ac:dyDescent="0.3">
      <c r="A254" s="396">
        <f>+A252+1</f>
        <v>151</v>
      </c>
      <c r="B254" s="397"/>
      <c r="C254" s="398" t="s">
        <v>179</v>
      </c>
      <c r="D254" s="398"/>
      <c r="E254" s="446" t="str">
        <f>"(Note "&amp;B317&amp;")"</f>
        <v>(Note U)</v>
      </c>
      <c r="F254" s="399" t="str">
        <f>"(Sum Lines "&amp;A248&amp;" to "&amp;A252&amp;")"</f>
        <v>(Sum Lines 146 to 150)</v>
      </c>
      <c r="G254" s="468"/>
      <c r="H254" s="426">
        <f>SUM(H248:H252)</f>
        <v>142120888.92585021</v>
      </c>
    </row>
    <row r="255" spans="1:8" x14ac:dyDescent="0.3">
      <c r="A255" s="302"/>
      <c r="B255" s="304"/>
      <c r="C255" s="198"/>
      <c r="D255" s="198"/>
      <c r="E255" s="400"/>
      <c r="F255" s="385"/>
      <c r="H255" s="319"/>
    </row>
    <row r="256" spans="1:8" x14ac:dyDescent="0.3">
      <c r="A256" s="302"/>
      <c r="B256" s="342" t="s">
        <v>180</v>
      </c>
      <c r="C256" s="198"/>
      <c r="D256" s="198"/>
      <c r="E256" s="400"/>
      <c r="F256" s="385"/>
      <c r="H256" s="319"/>
    </row>
    <row r="257" spans="1:9" x14ac:dyDescent="0.3">
      <c r="A257" s="304">
        <f>+A254+1</f>
        <v>152</v>
      </c>
      <c r="B257" s="304"/>
      <c r="C257" s="266" t="str">
        <f>+C33</f>
        <v>Transmission Plant In Service</v>
      </c>
      <c r="D257" s="198"/>
      <c r="E257" s="400"/>
      <c r="F257" s="308" t="str">
        <f>"(Line "&amp;A33&amp;")"</f>
        <v>(Line 13)</v>
      </c>
      <c r="H257" s="314">
        <f>H33</f>
        <v>946144671.45241082</v>
      </c>
    </row>
    <row r="258" spans="1:9" x14ac:dyDescent="0.3">
      <c r="A258" s="304">
        <f>+A257+1</f>
        <v>153</v>
      </c>
      <c r="B258" s="304"/>
      <c r="C258" s="354" t="s">
        <v>181</v>
      </c>
      <c r="D258" s="401"/>
      <c r="E258" s="355" t="str">
        <f>"(Note "&amp;B$297&amp;" &amp; "&amp;B$305&amp;")"</f>
        <v>(Note A &amp; I)</v>
      </c>
      <c r="F258" s="311" t="str">
        <f>"(Attachment 4, Line "&amp;'4 - Cost Support'!A168&amp;")"</f>
        <v>(Attachment 4, Line 70)</v>
      </c>
      <c r="G258" s="453"/>
      <c r="H258" s="317">
        <f>+'4 - Cost Support'!T168</f>
        <v>3254454.57</v>
      </c>
    </row>
    <row r="259" spans="1:9" x14ac:dyDescent="0.3">
      <c r="A259" s="304">
        <f>+A258+1</f>
        <v>154</v>
      </c>
      <c r="B259" s="304"/>
      <c r="C259" s="266" t="s">
        <v>182</v>
      </c>
      <c r="D259" s="198"/>
      <c r="E259" s="400"/>
      <c r="F259" s="308" t="str">
        <f>"(Line "&amp;A257&amp;" - Line "&amp;A258&amp;")"</f>
        <v>(Line 152 - Line 153)</v>
      </c>
      <c r="H259" s="314">
        <f>H257-H258</f>
        <v>942890216.88241076</v>
      </c>
    </row>
    <row r="260" spans="1:9" x14ac:dyDescent="0.3">
      <c r="A260" s="304">
        <f>+A259+1</f>
        <v>155</v>
      </c>
      <c r="B260" s="304"/>
      <c r="C260" s="266" t="s">
        <v>183</v>
      </c>
      <c r="D260" s="198"/>
      <c r="E260" s="400"/>
      <c r="F260" s="308" t="str">
        <f>"(Line "&amp;A259&amp;" / Line "&amp;A257&amp;")"</f>
        <v>(Line 154 / Line 152)</v>
      </c>
      <c r="H260" s="328">
        <f>H259/H257</f>
        <v>0.99656029921406819</v>
      </c>
      <c r="I260" s="329"/>
    </row>
    <row r="261" spans="1:9" x14ac:dyDescent="0.3">
      <c r="A261" s="304">
        <f>+A260+1</f>
        <v>156</v>
      </c>
      <c r="B261" s="304"/>
      <c r="C261" s="354" t="s">
        <v>184</v>
      </c>
      <c r="D261" s="401"/>
      <c r="E261" s="402"/>
      <c r="F261" s="311" t="str">
        <f>"(Line "&amp;A254&amp;")"</f>
        <v>(Line 151)</v>
      </c>
      <c r="G261" s="453"/>
      <c r="H261" s="317">
        <f>H254</f>
        <v>142120888.92585021</v>
      </c>
    </row>
    <row r="262" spans="1:9" x14ac:dyDescent="0.3">
      <c r="A262" s="304">
        <f>+A261+1</f>
        <v>157</v>
      </c>
      <c r="B262" s="304"/>
      <c r="C262" s="198" t="s">
        <v>185</v>
      </c>
      <c r="D262" s="198"/>
      <c r="E262" s="400"/>
      <c r="F262" s="308" t="str">
        <f>"(Line "&amp;A260&amp;" * Line "&amp;A261&amp;")"</f>
        <v>(Line 155 * Line 156)</v>
      </c>
      <c r="H262" s="319">
        <f>H260*H261</f>
        <v>141632035.59251463</v>
      </c>
    </row>
    <row r="263" spans="1:9" x14ac:dyDescent="0.3">
      <c r="A263" s="364"/>
      <c r="B263" s="304"/>
      <c r="E263" s="312"/>
      <c r="H263" s="422"/>
    </row>
    <row r="264" spans="1:9" x14ac:dyDescent="0.3">
      <c r="A264" s="364"/>
      <c r="B264" s="342" t="s">
        <v>186</v>
      </c>
      <c r="E264" s="312"/>
      <c r="H264" s="422"/>
    </row>
    <row r="265" spans="1:9" x14ac:dyDescent="0.3">
      <c r="A265" s="304">
        <f>+A262+1</f>
        <v>158</v>
      </c>
      <c r="C265" s="342" t="s">
        <v>187</v>
      </c>
      <c r="D265" s="382"/>
      <c r="E265" s="347"/>
      <c r="F265" s="308" t="str">
        <f>"(Attachment 3, Line "&amp;'3 - Revenue Credits'!A34&amp;")"</f>
        <v>(Attachment 3, Line 17)</v>
      </c>
      <c r="H265" s="314">
        <f>+'3 - Revenue Credits'!D34</f>
        <v>-1107176</v>
      </c>
    </row>
    <row r="266" spans="1:9" ht="21" thickBot="1" x14ac:dyDescent="0.35">
      <c r="A266" s="304"/>
      <c r="B266" s="304"/>
      <c r="F266" s="403"/>
      <c r="H266" s="422"/>
    </row>
    <row r="267" spans="1:9" s="198" customFormat="1" ht="21" thickBot="1" x14ac:dyDescent="0.35">
      <c r="A267" s="404">
        <f>+A265+1</f>
        <v>159</v>
      </c>
      <c r="B267" s="405"/>
      <c r="C267" s="406" t="s">
        <v>188</v>
      </c>
      <c r="D267" s="330"/>
      <c r="E267" s="407"/>
      <c r="F267" s="330" t="str">
        <f>"(Line "&amp;A262&amp;" + Line "&amp;A265&amp;")"</f>
        <v>(Line 157 + Line 158)</v>
      </c>
      <c r="G267" s="459"/>
      <c r="H267" s="427">
        <f>H262+H265</f>
        <v>140524859.59251463</v>
      </c>
    </row>
    <row r="268" spans="1:9" s="198" customFormat="1" x14ac:dyDescent="0.3">
      <c r="A268" s="302"/>
      <c r="C268" s="342"/>
      <c r="D268" s="385"/>
      <c r="E268" s="302"/>
      <c r="F268" s="385"/>
      <c r="G268" s="450"/>
      <c r="H268" s="319"/>
    </row>
    <row r="269" spans="1:9" s="198" customFormat="1" x14ac:dyDescent="0.3">
      <c r="A269" s="343" t="s">
        <v>189</v>
      </c>
      <c r="B269" s="344"/>
      <c r="C269" s="378"/>
      <c r="D269" s="313"/>
      <c r="E269" s="345"/>
      <c r="F269" s="313"/>
      <c r="G269" s="461"/>
      <c r="H269" s="306"/>
    </row>
    <row r="270" spans="1:9" x14ac:dyDescent="0.3">
      <c r="A270" s="364"/>
      <c r="B270" s="304"/>
      <c r="H270" s="422"/>
    </row>
    <row r="271" spans="1:9" x14ac:dyDescent="0.3">
      <c r="A271" s="304"/>
      <c r="B271" s="198" t="s">
        <v>190</v>
      </c>
      <c r="H271" s="422"/>
    </row>
    <row r="272" spans="1:9" x14ac:dyDescent="0.3">
      <c r="A272" s="304">
        <f>+A267+1</f>
        <v>160</v>
      </c>
      <c r="B272" s="304"/>
      <c r="C272" s="266" t="str">
        <f>+C261</f>
        <v>Gross Revenue Requirement</v>
      </c>
      <c r="F272" s="266" t="str">
        <f>"(Line "&amp;A254&amp;")"</f>
        <v>(Line 151)</v>
      </c>
      <c r="H272" s="319">
        <f>+H254</f>
        <v>142120888.92585021</v>
      </c>
    </row>
    <row r="273" spans="1:18" x14ac:dyDescent="0.3">
      <c r="A273" s="304">
        <f>+A272+1</f>
        <v>161</v>
      </c>
      <c r="B273" s="304"/>
      <c r="C273" s="266" t="s">
        <v>191</v>
      </c>
      <c r="F273" s="266" t="str">
        <f>"(Line "&amp;A33&amp;" + Line "&amp;A46&amp;" + Line "&amp;A68&amp;")"</f>
        <v>(Line 13 + Line 21 + Line 32)</v>
      </c>
      <c r="H273" s="319">
        <f>+H33+H46+H68</f>
        <v>739695017.25446546</v>
      </c>
    </row>
    <row r="274" spans="1:18" x14ac:dyDescent="0.3">
      <c r="A274" s="304">
        <f>+A273+1</f>
        <v>162</v>
      </c>
      <c r="B274" s="304"/>
      <c r="C274" s="266" t="s">
        <v>192</v>
      </c>
      <c r="F274" s="266" t="str">
        <f>"(Line "&amp;A272&amp;" / Line "&amp;A273&amp;")"</f>
        <v>(Line 160 / Line 161)</v>
      </c>
      <c r="H274" s="428">
        <f>H272/H273</f>
        <v>0.19213444137201566</v>
      </c>
    </row>
    <row r="275" spans="1:18" x14ac:dyDescent="0.3">
      <c r="A275" s="304">
        <f>+A274+1</f>
        <v>163</v>
      </c>
      <c r="B275" s="304"/>
      <c r="C275" s="266" t="s">
        <v>193</v>
      </c>
      <c r="F275" s="266" t="str">
        <f>"(Line "&amp;A272&amp;" - Line "&amp;A149&amp;") / Line "&amp;A273</f>
        <v>(Line 160 - Line 79) / Line 161</v>
      </c>
      <c r="H275" s="428">
        <f>(H272-H149)/H273</f>
        <v>0.16817583897041669</v>
      </c>
    </row>
    <row r="276" spans="1:18" x14ac:dyDescent="0.3">
      <c r="A276" s="304">
        <f>+A275+1</f>
        <v>164</v>
      </c>
      <c r="B276" s="304"/>
      <c r="C276" s="266" t="s">
        <v>194</v>
      </c>
      <c r="F276" s="266" t="str">
        <f>"(Line "&amp;A272&amp;" - Line "&amp;A149&amp;" - Line "&amp;A251&amp;" - Line "&amp;A252&amp;") / Line "&amp;A273</f>
        <v>(Line 160 - Line 79 - Line 149 - Line 150) / Line 161</v>
      </c>
      <c r="H276" s="428">
        <f>(H272-H149-H251-H252)/H273</f>
        <v>9.0132514716419795E-2</v>
      </c>
    </row>
    <row r="277" spans="1:18" x14ac:dyDescent="0.3">
      <c r="A277" s="304"/>
      <c r="B277" s="304"/>
      <c r="H277" s="422"/>
    </row>
    <row r="278" spans="1:18" x14ac:dyDescent="0.3">
      <c r="A278" s="304">
        <f>+A276+1</f>
        <v>165</v>
      </c>
      <c r="B278" s="304"/>
      <c r="C278" s="198" t="s">
        <v>188</v>
      </c>
      <c r="F278" s="266" t="str">
        <f>"(Line "&amp;A267&amp;")"</f>
        <v>(Line 159)</v>
      </c>
      <c r="H278" s="319">
        <f>H267</f>
        <v>140524859.59251463</v>
      </c>
    </row>
    <row r="279" spans="1:18" ht="81" x14ac:dyDescent="0.3">
      <c r="A279" s="304">
        <f t="shared" ref="A279:A284" si="6">+A278+1</f>
        <v>166</v>
      </c>
      <c r="B279" s="304"/>
      <c r="C279" s="266" t="s">
        <v>195</v>
      </c>
      <c r="E279" s="347" t="str">
        <f>"(Note "&amp;B$312&amp;")"</f>
        <v>(Note P)</v>
      </c>
      <c r="F279" s="308" t="str">
        <f>"(Attachment 6A, Line "&amp;'6A - NITS True-Up '!B40&amp;")"</f>
        <v>(Attachment 6A, Line E)</v>
      </c>
      <c r="H279" s="319">
        <f>15231699-95897</f>
        <v>15135802</v>
      </c>
      <c r="K279" s="638" t="s">
        <v>1027</v>
      </c>
    </row>
    <row r="280" spans="1:18" x14ac:dyDescent="0.3">
      <c r="A280" s="304">
        <f t="shared" si="6"/>
        <v>167</v>
      </c>
      <c r="B280" s="304"/>
      <c r="C280" s="266" t="s">
        <v>196</v>
      </c>
      <c r="E280" s="347"/>
      <c r="F280" s="431" t="str">
        <f>"(Attachment 11, Line "&amp;'11 - Corrections'!A29&amp;")"</f>
        <v>(Attachment 11, Line 11)</v>
      </c>
      <c r="H280" s="636">
        <f>+'11 - Corrections'!L29</f>
        <v>-991449.25590000011</v>
      </c>
      <c r="K280" s="637" t="s">
        <v>1047</v>
      </c>
      <c r="L280" s="637"/>
      <c r="M280" s="637"/>
      <c r="N280" s="637"/>
      <c r="O280" s="637"/>
      <c r="P280" s="637"/>
      <c r="Q280" s="637"/>
      <c r="R280" s="637"/>
    </row>
    <row r="281" spans="1:18" x14ac:dyDescent="0.3">
      <c r="A281" s="304">
        <f t="shared" si="6"/>
        <v>168</v>
      </c>
      <c r="B281" s="304"/>
      <c r="C281" s="266" t="s">
        <v>197</v>
      </c>
      <c r="E281" s="347" t="str">
        <f>"(Note "&amp;B$313&amp;")"</f>
        <v>(Note Q)</v>
      </c>
      <c r="F281" s="308" t="str">
        <f>"(Attachment 7A, Line "&amp;'7A - Project ROE Adder'!A18&amp;")"</f>
        <v>(Attachment 7A, Line 9)</v>
      </c>
      <c r="H281" s="319">
        <f>+'7A - Project ROE Adder'!E18</f>
        <v>0</v>
      </c>
    </row>
    <row r="282" spans="1:18" x14ac:dyDescent="0.3">
      <c r="A282" s="304">
        <f t="shared" si="6"/>
        <v>169</v>
      </c>
      <c r="B282" s="304"/>
      <c r="C282" s="266" t="s">
        <v>198</v>
      </c>
      <c r="E282" s="347" t="str">
        <f>"(Note "&amp;B$314&amp;")"</f>
        <v>(Note R)</v>
      </c>
      <c r="F282" s="308" t="str">
        <f>"(Attachment 7B, Line "&amp;'7B - Schedule 12 Projects'!A19&amp;")"</f>
        <v>(Attachment 7B, Line 8)</v>
      </c>
      <c r="H282" s="319">
        <f>+'7B - Schedule 12 Projects'!G19</f>
        <v>3584987.500728427</v>
      </c>
    </row>
    <row r="283" spans="1:18" x14ac:dyDescent="0.3">
      <c r="A283" s="304">
        <f t="shared" si="6"/>
        <v>170</v>
      </c>
      <c r="B283" s="304"/>
      <c r="C283" s="354" t="s">
        <v>199</v>
      </c>
      <c r="D283" s="416"/>
      <c r="E283" s="355" t="str">
        <f>"(Note "&amp;B$315&amp;")"</f>
        <v>(Note S)</v>
      </c>
      <c r="F283" s="311" t="str">
        <f>"(Attachment 4, Line "&amp;'4 - Cost Support'!A175</f>
        <v>(Attachment 4, Line 71</v>
      </c>
      <c r="G283" s="453"/>
      <c r="H283" s="429">
        <f>+'4 - Cost Support'!S175</f>
        <v>0</v>
      </c>
    </row>
    <row r="284" spans="1:18" x14ac:dyDescent="0.3">
      <c r="A284" s="304">
        <f t="shared" si="6"/>
        <v>171</v>
      </c>
      <c r="B284" s="304"/>
      <c r="C284" s="198" t="s">
        <v>200</v>
      </c>
      <c r="F284" s="266" t="str">
        <f>"(Line "&amp;A278&amp;" + "&amp;A279&amp;" + "&amp;A280&amp;"+"&amp;A281&amp;" - "&amp;A282&amp;" + "&amp;A283&amp;")"</f>
        <v>(Line 165 + 166 + 167+168 - 169 + 170)</v>
      </c>
      <c r="H284" s="319">
        <f>(H278+H279+H280 +H281-H282+H283)</f>
        <v>151084224.83588621</v>
      </c>
    </row>
    <row r="285" spans="1:18" x14ac:dyDescent="0.3">
      <c r="A285" s="304"/>
      <c r="B285" s="304"/>
      <c r="H285" s="430"/>
    </row>
    <row r="286" spans="1:18" x14ac:dyDescent="0.3">
      <c r="A286" s="304"/>
      <c r="B286" s="342" t="s">
        <v>201</v>
      </c>
      <c r="H286" s="430"/>
    </row>
    <row r="287" spans="1:18" x14ac:dyDescent="0.3">
      <c r="A287" s="304">
        <f>+A284+1</f>
        <v>172</v>
      </c>
      <c r="B287" s="304"/>
      <c r="C287" s="266" t="s">
        <v>202</v>
      </c>
      <c r="E287" s="347" t="str">
        <f>"(Note "&amp;B$304&amp;")"</f>
        <v>(Note H)</v>
      </c>
      <c r="F287" s="308" t="str">
        <f>"(Attachment 4, Line "&amp;'4 - Cost Support'!A183&amp;")"</f>
        <v>(Attachment 4, Line 72)</v>
      </c>
      <c r="H287" s="471">
        <f>+'4 - Cost Support'!S183</f>
        <v>3365</v>
      </c>
    </row>
    <row r="288" spans="1:18" x14ac:dyDescent="0.3">
      <c r="A288" s="304">
        <f>+A287+1</f>
        <v>173</v>
      </c>
      <c r="B288" s="304"/>
      <c r="C288" s="266" t="s">
        <v>203</v>
      </c>
      <c r="D288" s="333"/>
      <c r="E288" s="408"/>
      <c r="F288" s="308" t="str">
        <f>"(Line "&amp;A284&amp;" / "&amp;A287&amp;")"</f>
        <v>(Line 171 / 172)</v>
      </c>
      <c r="G288" s="469"/>
      <c r="H288" s="432">
        <f>H284/H287</f>
        <v>44898.729520322799</v>
      </c>
    </row>
    <row r="289" spans="1:8" ht="21" thickBot="1" x14ac:dyDescent="0.35">
      <c r="A289" s="304"/>
      <c r="B289" s="304"/>
      <c r="E289" s="408"/>
      <c r="F289" s="332"/>
      <c r="G289" s="469"/>
      <c r="H289" s="331"/>
    </row>
    <row r="290" spans="1:8" x14ac:dyDescent="0.3">
      <c r="A290" s="437">
        <f>+A288+1</f>
        <v>174</v>
      </c>
      <c r="B290" s="438"/>
      <c r="C290" s="439" t="s">
        <v>204</v>
      </c>
      <c r="D290" s="438"/>
      <c r="E290" s="438"/>
      <c r="F290" s="440" t="str">
        <f>"(Line "&amp;A288&amp;")"</f>
        <v>(Line 173)</v>
      </c>
      <c r="G290" s="460"/>
      <c r="H290" s="441">
        <f>H288</f>
        <v>44898.729520322799</v>
      </c>
    </row>
    <row r="291" spans="1:8" x14ac:dyDescent="0.3">
      <c r="A291" s="442">
        <f>+A290+1</f>
        <v>175</v>
      </c>
      <c r="B291" s="302"/>
      <c r="C291" s="342" t="s">
        <v>205</v>
      </c>
      <c r="D291" s="302"/>
      <c r="E291" s="302"/>
      <c r="F291" s="27" t="str">
        <f>"(Line "&amp;A290&amp;" / 12)"</f>
        <v>(Line 174 / 12)</v>
      </c>
      <c r="H291" s="443">
        <f>+H290/12</f>
        <v>3741.5607933602332</v>
      </c>
    </row>
    <row r="292" spans="1:8" x14ac:dyDescent="0.3">
      <c r="A292" s="442">
        <f t="shared" ref="A292:A293" si="7">+A291+1</f>
        <v>176</v>
      </c>
      <c r="B292" s="302"/>
      <c r="C292" s="342" t="s">
        <v>206</v>
      </c>
      <c r="D292" s="302"/>
      <c r="E292" s="302"/>
      <c r="F292" s="27" t="str">
        <f>"(Line "&amp;A290&amp;" / 52)"</f>
        <v>(Line 174 / 52)</v>
      </c>
      <c r="H292" s="443">
        <f>+H290/52</f>
        <v>863.43710616005387</v>
      </c>
    </row>
    <row r="293" spans="1:8" x14ac:dyDescent="0.3">
      <c r="A293" s="442">
        <f t="shared" si="7"/>
        <v>177</v>
      </c>
      <c r="B293" s="302"/>
      <c r="C293" s="342" t="s">
        <v>207</v>
      </c>
      <c r="D293" s="302"/>
      <c r="E293" s="302"/>
      <c r="F293" s="27" t="str">
        <f>"(Line "&amp;A292&amp;" / 5)"</f>
        <v>(Line 176 / 5)</v>
      </c>
      <c r="H293" s="443">
        <f>+H292/5</f>
        <v>172.68742123201076</v>
      </c>
    </row>
    <row r="294" spans="1:8" ht="21" thickBot="1" x14ac:dyDescent="0.35">
      <c r="A294" s="444">
        <f>+A293+1</f>
        <v>178</v>
      </c>
      <c r="B294" s="552"/>
      <c r="C294" s="553" t="s">
        <v>208</v>
      </c>
      <c r="D294" s="552"/>
      <c r="E294" s="552"/>
      <c r="F294" s="554" t="str">
        <f>"(Line "&amp;A292&amp;" / 7)"</f>
        <v>(Line 176 / 7)</v>
      </c>
      <c r="G294" s="555"/>
      <c r="H294" s="445">
        <f>+H292/7</f>
        <v>123.34815802286484</v>
      </c>
    </row>
    <row r="295" spans="1:8" x14ac:dyDescent="0.3">
      <c r="A295" s="302"/>
      <c r="B295" s="302"/>
      <c r="C295" s="342"/>
      <c r="D295" s="302"/>
      <c r="E295" s="302"/>
      <c r="F295" s="302"/>
      <c r="H295" s="432"/>
    </row>
    <row r="296" spans="1:8" x14ac:dyDescent="0.3">
      <c r="A296" s="343" t="s">
        <v>4</v>
      </c>
      <c r="B296" s="344"/>
      <c r="C296" s="378"/>
      <c r="D296" s="313"/>
      <c r="E296" s="345"/>
      <c r="F296" s="313"/>
      <c r="G296" s="461"/>
      <c r="H296" s="306"/>
    </row>
    <row r="297" spans="1:8" ht="46.5" customHeight="1" x14ac:dyDescent="0.3">
      <c r="A297" s="302"/>
      <c r="B297" s="304" t="s">
        <v>209</v>
      </c>
      <c r="C297" s="266" t="s">
        <v>210</v>
      </c>
      <c r="E297" s="408"/>
      <c r="F297" s="332"/>
      <c r="G297" s="469"/>
      <c r="H297" s="435"/>
    </row>
    <row r="298" spans="1:8" ht="38.25" customHeight="1" x14ac:dyDescent="0.3">
      <c r="A298" s="302"/>
      <c r="B298" s="447" t="s">
        <v>211</v>
      </c>
      <c r="C298" s="644" t="s">
        <v>212</v>
      </c>
      <c r="D298" s="644"/>
      <c r="E298" s="644"/>
      <c r="F298" s="644"/>
      <c r="G298" s="644"/>
      <c r="H298" s="644"/>
    </row>
    <row r="299" spans="1:8" ht="28.15" customHeight="1" x14ac:dyDescent="0.3">
      <c r="A299" s="302"/>
      <c r="B299" s="447" t="s">
        <v>213</v>
      </c>
      <c r="C299" s="266" t="s">
        <v>214</v>
      </c>
      <c r="E299" s="408"/>
      <c r="F299" s="332"/>
      <c r="G299" s="469"/>
      <c r="H299" s="331"/>
    </row>
    <row r="300" spans="1:8" ht="28.15" customHeight="1" x14ac:dyDescent="0.3">
      <c r="A300" s="302"/>
      <c r="B300" s="447" t="s">
        <v>215</v>
      </c>
      <c r="C300" s="266" t="s">
        <v>216</v>
      </c>
      <c r="E300" s="408"/>
      <c r="F300" s="332"/>
      <c r="G300" s="469"/>
      <c r="H300" s="331"/>
    </row>
    <row r="301" spans="1:8" ht="38.25" customHeight="1" x14ac:dyDescent="0.3">
      <c r="A301" s="302"/>
      <c r="B301" s="447" t="s">
        <v>217</v>
      </c>
      <c r="C301" s="644" t="s">
        <v>218</v>
      </c>
      <c r="D301" s="644"/>
      <c r="E301" s="644"/>
      <c r="F301" s="644"/>
      <c r="G301" s="644"/>
      <c r="H301" s="644"/>
    </row>
    <row r="302" spans="1:8" ht="28.15" customHeight="1" x14ac:dyDescent="0.3">
      <c r="A302" s="302"/>
      <c r="B302" s="447" t="s">
        <v>219</v>
      </c>
      <c r="C302" s="266" t="s">
        <v>220</v>
      </c>
      <c r="E302" s="408"/>
      <c r="F302" s="332"/>
      <c r="G302" s="469"/>
      <c r="H302" s="332"/>
    </row>
    <row r="303" spans="1:8" ht="192.75" customHeight="1" x14ac:dyDescent="0.3">
      <c r="A303" s="302"/>
      <c r="B303" s="447" t="s">
        <v>221</v>
      </c>
      <c r="C303" s="644" t="s">
        <v>222</v>
      </c>
      <c r="D303" s="644"/>
      <c r="E303" s="644"/>
      <c r="F303" s="644"/>
      <c r="G303" s="644"/>
      <c r="H303" s="644"/>
    </row>
    <row r="304" spans="1:8" ht="65.25" customHeight="1" x14ac:dyDescent="0.3">
      <c r="A304" s="302"/>
      <c r="B304" s="447" t="s">
        <v>223</v>
      </c>
      <c r="C304" s="644" t="s">
        <v>224</v>
      </c>
      <c r="D304" s="644"/>
      <c r="E304" s="644"/>
      <c r="F304" s="644"/>
      <c r="G304" s="644"/>
      <c r="H304" s="644"/>
    </row>
    <row r="305" spans="1:8" ht="28.15" customHeight="1" x14ac:dyDescent="0.3">
      <c r="A305" s="304"/>
      <c r="B305" s="447" t="s">
        <v>225</v>
      </c>
      <c r="C305" s="266" t="s">
        <v>226</v>
      </c>
      <c r="E305" s="408"/>
      <c r="F305" s="332"/>
      <c r="G305" s="469"/>
      <c r="H305" s="331"/>
    </row>
    <row r="306" spans="1:8" ht="150.75" customHeight="1" x14ac:dyDescent="0.3">
      <c r="A306" s="409"/>
      <c r="B306" s="447" t="s">
        <v>227</v>
      </c>
      <c r="C306" s="644" t="s">
        <v>228</v>
      </c>
      <c r="D306" s="644"/>
      <c r="E306" s="644"/>
      <c r="F306" s="644"/>
      <c r="G306" s="644"/>
      <c r="H306" s="644"/>
    </row>
    <row r="307" spans="1:8" ht="47.25" customHeight="1" x14ac:dyDescent="0.3">
      <c r="B307" s="447" t="s">
        <v>229</v>
      </c>
      <c r="C307" s="644" t="s">
        <v>230</v>
      </c>
      <c r="D307" s="644"/>
      <c r="E307" s="644"/>
      <c r="F307" s="644"/>
      <c r="G307" s="644"/>
      <c r="H307" s="644"/>
    </row>
    <row r="308" spans="1:8" ht="28.15" customHeight="1" x14ac:dyDescent="0.3">
      <c r="A308" s="302"/>
      <c r="B308" s="447" t="s">
        <v>231</v>
      </c>
      <c r="C308" s="266" t="s">
        <v>232</v>
      </c>
      <c r="E308" s="408"/>
      <c r="F308" s="332"/>
      <c r="G308" s="469"/>
      <c r="H308" s="331"/>
    </row>
    <row r="309" spans="1:8" ht="28.15" customHeight="1" x14ac:dyDescent="0.3">
      <c r="A309" s="266"/>
      <c r="B309" s="447" t="s">
        <v>233</v>
      </c>
      <c r="C309" s="266" t="s">
        <v>234</v>
      </c>
      <c r="E309" s="408"/>
      <c r="F309" s="332"/>
      <c r="G309" s="469"/>
      <c r="H309" s="332"/>
    </row>
    <row r="310" spans="1:8" ht="72.75" customHeight="1" x14ac:dyDescent="0.3">
      <c r="A310" s="266"/>
      <c r="B310" s="447" t="s">
        <v>235</v>
      </c>
      <c r="C310" s="644" t="s">
        <v>236</v>
      </c>
      <c r="D310" s="644"/>
      <c r="E310" s="644"/>
      <c r="F310" s="644"/>
      <c r="G310" s="644"/>
      <c r="H310" s="644"/>
    </row>
    <row r="311" spans="1:8" ht="113.25" customHeight="1" x14ac:dyDescent="0.3">
      <c r="A311" s="266"/>
      <c r="B311" s="448" t="s">
        <v>237</v>
      </c>
      <c r="C311" s="644" t="s">
        <v>238</v>
      </c>
      <c r="D311" s="644"/>
      <c r="E311" s="644"/>
      <c r="F311" s="644"/>
      <c r="G311" s="644"/>
      <c r="H311" s="644"/>
    </row>
    <row r="312" spans="1:8" ht="52.5" customHeight="1" x14ac:dyDescent="0.3">
      <c r="A312" s="266"/>
      <c r="B312" s="448" t="s">
        <v>239</v>
      </c>
      <c r="C312" s="644" t="s">
        <v>240</v>
      </c>
      <c r="D312" s="644"/>
      <c r="E312" s="644"/>
      <c r="F312" s="644"/>
      <c r="G312" s="644"/>
      <c r="H312" s="644"/>
    </row>
    <row r="313" spans="1:8" ht="30.6" customHeight="1" x14ac:dyDescent="0.3">
      <c r="A313" s="266"/>
      <c r="B313" s="448" t="s">
        <v>241</v>
      </c>
      <c r="C313" s="266" t="s">
        <v>242</v>
      </c>
    </row>
    <row r="314" spans="1:8" ht="45.75" customHeight="1" x14ac:dyDescent="0.3">
      <c r="B314" s="448" t="s">
        <v>243</v>
      </c>
      <c r="C314" s="644" t="s">
        <v>244</v>
      </c>
      <c r="D314" s="644"/>
      <c r="E314" s="644"/>
      <c r="F314" s="644"/>
      <c r="G314" s="644"/>
      <c r="H314" s="644"/>
    </row>
    <row r="315" spans="1:8" ht="23.25" customHeight="1" x14ac:dyDescent="0.3">
      <c r="B315" s="448" t="s">
        <v>245</v>
      </c>
      <c r="C315" s="266" t="s">
        <v>246</v>
      </c>
    </row>
    <row r="316" spans="1:8" ht="44.25" customHeight="1" x14ac:dyDescent="0.3">
      <c r="B316" s="448" t="s">
        <v>247</v>
      </c>
      <c r="C316" s="644" t="s">
        <v>248</v>
      </c>
      <c r="D316" s="644"/>
      <c r="E316" s="644"/>
      <c r="F316" s="644"/>
      <c r="G316" s="644"/>
      <c r="H316" s="644"/>
    </row>
    <row r="317" spans="1:8" ht="29.25" customHeight="1" x14ac:dyDescent="0.3">
      <c r="B317" s="448" t="s">
        <v>249</v>
      </c>
      <c r="C317" s="266" t="s">
        <v>250</v>
      </c>
    </row>
    <row r="318" spans="1:8" ht="35.25" customHeight="1" x14ac:dyDescent="0.3">
      <c r="B318" s="448" t="s">
        <v>251</v>
      </c>
      <c r="C318" s="266" t="s">
        <v>252</v>
      </c>
    </row>
    <row r="319" spans="1:8" ht="48.75" customHeight="1" x14ac:dyDescent="0.3">
      <c r="A319" s="302" t="s">
        <v>253</v>
      </c>
      <c r="B319" s="448" t="s">
        <v>254</v>
      </c>
      <c r="C319" s="644" t="s">
        <v>255</v>
      </c>
      <c r="D319" s="644"/>
      <c r="E319" s="644"/>
      <c r="F319" s="644"/>
      <c r="G319" s="644"/>
      <c r="H319" s="644"/>
    </row>
    <row r="320" spans="1:8" x14ac:dyDescent="0.3">
      <c r="B320" s="448"/>
    </row>
  </sheetData>
  <customSheetViews>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1"/>
      <headerFooter alignWithMargins="0"/>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2"/>
      <headerFooter alignWithMargins="0">
        <oddHeader>&amp;R&amp;12Page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3"/>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4"/>
      <headerFooter alignWithMargins="0">
        <oddHeader>&amp;R&amp;16Page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6"/>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7"/>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8"/>
      <headerFooter alignWithMargins="0">
        <oddHeader>&amp;R&amp;12Page &amp;P of &amp;N</oddHeader>
      </headerFooter>
    </customSheetView>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9"/>
      <headerFooter alignWithMargins="0">
        <oddHeader>&amp;R&amp;12Page &amp;P of &amp;N</oddHeader>
      </headerFooter>
    </customSheetView>
  </customSheetViews>
  <mergeCells count="14">
    <mergeCell ref="C310:H310"/>
    <mergeCell ref="C314:H314"/>
    <mergeCell ref="C306:H306"/>
    <mergeCell ref="C319:H319"/>
    <mergeCell ref="C301:H301"/>
    <mergeCell ref="C307:H307"/>
    <mergeCell ref="C312:H312"/>
    <mergeCell ref="C316:H316"/>
    <mergeCell ref="C311:H311"/>
    <mergeCell ref="D2:F2"/>
    <mergeCell ref="D3:F3"/>
    <mergeCell ref="C298:H298"/>
    <mergeCell ref="C303:H303"/>
    <mergeCell ref="C304:H304"/>
  </mergeCells>
  <phoneticPr fontId="0" type="noConversion"/>
  <printOptions horizontalCentered="1"/>
  <pageMargins left="0.17" right="0.17" top="1.56" bottom="1.24" header="0.5" footer="0.17"/>
  <pageSetup scale="36" fitToHeight="0" orientation="portrait" r:id="rId10"/>
  <headerFooter alignWithMargins="0"/>
  <rowBreaks count="5" manualBreakCount="5">
    <brk id="57" max="7" man="1"/>
    <brk id="114" max="7" man="1"/>
    <brk id="164" max="16383" man="1"/>
    <brk id="239" max="7" man="1"/>
    <brk id="295" max="7" man="1"/>
  </rowBreaks>
  <customProperties>
    <customPr name="_pios_id" r:id="rId11"/>
    <customPr name="EpmWorksheetKeyString_GUID" r:id="rId12"/>
  </customProperties>
  <ignoredErrors>
    <ignoredError sqref="H21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M76"/>
  <sheetViews>
    <sheetView showGridLines="0" topLeftCell="A52" zoomScale="75" zoomScaleNormal="75" workbookViewId="0">
      <selection activeCell="B43" sqref="B43"/>
    </sheetView>
  </sheetViews>
  <sheetFormatPr defaultColWidth="9.28515625" defaultRowHeight="20.25" x14ac:dyDescent="0.3"/>
  <cols>
    <col min="1" max="1" width="5.7109375" style="266" customWidth="1"/>
    <col min="2" max="2" width="13.28515625" style="304" customWidth="1"/>
    <col min="3" max="3" width="39.28515625" style="266" customWidth="1"/>
    <col min="4" max="4" width="16.7109375" style="266" customWidth="1"/>
    <col min="5" max="5" width="17.7109375" style="266" customWidth="1"/>
    <col min="6" max="6" width="15.140625" style="266" customWidth="1"/>
    <col min="7" max="7" width="34.42578125" style="266" customWidth="1"/>
    <col min="8" max="8" width="19.42578125" style="266" customWidth="1"/>
    <col min="9" max="9" width="14.28515625" style="266" bestFit="1" customWidth="1"/>
    <col min="10" max="10" width="15.42578125" style="266" customWidth="1"/>
    <col min="11" max="11" width="19.28515625" style="266" customWidth="1"/>
    <col min="12" max="12" width="9.28515625" style="266"/>
    <col min="13" max="13" width="10.28515625" style="266" customWidth="1"/>
    <col min="14" max="16384" width="9.28515625" style="266"/>
  </cols>
  <sheetData>
    <row r="2" spans="2:12" x14ac:dyDescent="0.3">
      <c r="B2" s="645" t="str">
        <f>+'Appendix A'!A3</f>
        <v>Dayton Power and Light</v>
      </c>
      <c r="C2" s="645"/>
      <c r="D2" s="645"/>
      <c r="E2" s="645"/>
      <c r="F2" s="645"/>
      <c r="G2" s="645"/>
      <c r="H2" s="645"/>
      <c r="I2" s="645"/>
      <c r="J2" s="645"/>
      <c r="K2" s="645"/>
      <c r="L2" s="645"/>
    </row>
    <row r="3" spans="2:12" x14ac:dyDescent="0.3">
      <c r="B3" s="645" t="str">
        <f>+'Appendix A'!A4</f>
        <v>ATTACHMENT H-15A, Effective April 17, 2024; Docket No. ER24-1268</v>
      </c>
      <c r="C3" s="645"/>
      <c r="D3" s="645"/>
      <c r="E3" s="645"/>
      <c r="F3" s="645"/>
      <c r="G3" s="645"/>
      <c r="H3" s="645"/>
      <c r="I3" s="645"/>
      <c r="J3" s="645"/>
      <c r="K3" s="299"/>
      <c r="L3" s="302"/>
    </row>
    <row r="4" spans="2:12" x14ac:dyDescent="0.3">
      <c r="B4" s="648" t="s">
        <v>734</v>
      </c>
      <c r="C4" s="648"/>
      <c r="D4" s="648"/>
      <c r="E4" s="648"/>
      <c r="F4" s="648"/>
      <c r="G4" s="648"/>
      <c r="H4" s="648"/>
      <c r="I4" s="648"/>
      <c r="J4" s="648"/>
      <c r="K4" s="645"/>
      <c r="L4" s="645"/>
    </row>
    <row r="5" spans="2:12" x14ac:dyDescent="0.3">
      <c r="B5" s="302"/>
      <c r="C5" s="302"/>
      <c r="D5" s="302"/>
      <c r="E5" s="302"/>
      <c r="F5" s="302"/>
      <c r="G5" s="302"/>
      <c r="H5" s="302"/>
      <c r="I5" s="302"/>
      <c r="J5" s="302"/>
      <c r="K5" s="302"/>
      <c r="L5" s="302"/>
    </row>
    <row r="6" spans="2:12" x14ac:dyDescent="0.3">
      <c r="B6" s="266" t="s">
        <v>411</v>
      </c>
    </row>
    <row r="7" spans="2:12" x14ac:dyDescent="0.3">
      <c r="B7" s="27" t="s">
        <v>735</v>
      </c>
    </row>
    <row r="9" spans="2:12" x14ac:dyDescent="0.3">
      <c r="B9" s="304" t="s">
        <v>352</v>
      </c>
      <c r="C9" s="266" t="s">
        <v>736</v>
      </c>
    </row>
    <row r="10" spans="2:12" x14ac:dyDescent="0.3">
      <c r="C10" s="266" t="s">
        <v>737</v>
      </c>
    </row>
    <row r="11" spans="2:12" x14ac:dyDescent="0.3">
      <c r="C11" s="266" t="s">
        <v>738</v>
      </c>
      <c r="H11" s="71"/>
    </row>
    <row r="12" spans="2:12" x14ac:dyDescent="0.3">
      <c r="H12" s="71"/>
    </row>
    <row r="13" spans="2:12" x14ac:dyDescent="0.3">
      <c r="B13" s="304" t="s">
        <v>739</v>
      </c>
      <c r="C13" s="266" t="s">
        <v>740</v>
      </c>
      <c r="H13" s="71"/>
    </row>
    <row r="14" spans="2:12" x14ac:dyDescent="0.3">
      <c r="C14" s="266" t="s">
        <v>741</v>
      </c>
    </row>
    <row r="16" spans="2:12" x14ac:dyDescent="0.3">
      <c r="B16" s="304" t="s">
        <v>742</v>
      </c>
      <c r="C16" s="266" t="s">
        <v>743</v>
      </c>
    </row>
    <row r="17" spans="2:13" x14ac:dyDescent="0.3">
      <c r="C17" s="266" t="s">
        <v>744</v>
      </c>
    </row>
    <row r="19" spans="2:13" x14ac:dyDescent="0.3">
      <c r="B19" s="304" t="s">
        <v>745</v>
      </c>
      <c r="C19" s="266" t="s">
        <v>746</v>
      </c>
    </row>
    <row r="20" spans="2:13" x14ac:dyDescent="0.3">
      <c r="K20" s="52"/>
    </row>
    <row r="21" spans="2:13" x14ac:dyDescent="0.3">
      <c r="C21" s="266" t="s">
        <v>747</v>
      </c>
      <c r="D21" s="304" t="s">
        <v>748</v>
      </c>
      <c r="E21" s="266" t="s">
        <v>749</v>
      </c>
    </row>
    <row r="22" spans="2:13" x14ac:dyDescent="0.3">
      <c r="E22" s="266" t="s">
        <v>750</v>
      </c>
    </row>
    <row r="23" spans="2:13" x14ac:dyDescent="0.3">
      <c r="E23" s="266" t="s">
        <v>751</v>
      </c>
      <c r="K23" s="91"/>
    </row>
    <row r="26" spans="2:13" ht="23.25" x14ac:dyDescent="0.3">
      <c r="B26" s="51"/>
      <c r="C26" s="266" t="s">
        <v>752</v>
      </c>
    </row>
    <row r="27" spans="2:13" ht="23.25" x14ac:dyDescent="0.3">
      <c r="B27" s="50"/>
      <c r="C27" s="266" t="s">
        <v>753</v>
      </c>
    </row>
    <row r="28" spans="2:13" x14ac:dyDescent="0.3">
      <c r="C28" s="266" t="s">
        <v>754</v>
      </c>
    </row>
    <row r="29" spans="2:13" x14ac:dyDescent="0.3">
      <c r="C29" s="266" t="s">
        <v>755</v>
      </c>
      <c r="M29" s="198"/>
    </row>
    <row r="30" spans="2:13" x14ac:dyDescent="0.3">
      <c r="C30" s="266" t="s">
        <v>756</v>
      </c>
    </row>
    <row r="31" spans="2:13" x14ac:dyDescent="0.3">
      <c r="C31" s="266" t="s">
        <v>757</v>
      </c>
    </row>
    <row r="34" spans="1:13" x14ac:dyDescent="0.3">
      <c r="A34" s="201" t="s">
        <v>758</v>
      </c>
      <c r="D34" s="304"/>
      <c r="I34" s="304" t="s">
        <v>759</v>
      </c>
      <c r="J34" s="304" t="s">
        <v>760</v>
      </c>
    </row>
    <row r="35" spans="1:13" x14ac:dyDescent="0.3">
      <c r="D35" s="304"/>
      <c r="I35" s="200" t="s">
        <v>761</v>
      </c>
      <c r="J35" s="200" t="s">
        <v>761</v>
      </c>
      <c r="K35" s="201" t="s">
        <v>762</v>
      </c>
    </row>
    <row r="36" spans="1:13" x14ac:dyDescent="0.3">
      <c r="A36" s="304">
        <v>1</v>
      </c>
      <c r="B36" s="304" t="s">
        <v>209</v>
      </c>
      <c r="C36" s="266" t="s">
        <v>763</v>
      </c>
      <c r="D36" s="304"/>
      <c r="I36" s="244">
        <v>0</v>
      </c>
      <c r="J36" s="308"/>
      <c r="M36" s="49"/>
    </row>
    <row r="37" spans="1:13" x14ac:dyDescent="0.3">
      <c r="A37" s="304">
        <f>+A36+1</f>
        <v>2</v>
      </c>
      <c r="B37" s="304" t="s">
        <v>211</v>
      </c>
      <c r="C37" s="266" t="s">
        <v>764</v>
      </c>
      <c r="D37" s="304"/>
      <c r="I37" s="48">
        <v>0</v>
      </c>
      <c r="J37" s="168"/>
      <c r="M37" s="198"/>
    </row>
    <row r="38" spans="1:13" x14ac:dyDescent="0.3">
      <c r="A38" s="304">
        <f t="shared" ref="A38:A40" si="0">+A37+1</f>
        <v>3</v>
      </c>
      <c r="B38" s="304" t="s">
        <v>213</v>
      </c>
      <c r="C38" s="266" t="s">
        <v>765</v>
      </c>
      <c r="D38" s="304"/>
      <c r="I38" s="308">
        <f>I36-I37</f>
        <v>0</v>
      </c>
      <c r="J38" s="308">
        <f>+I38</f>
        <v>0</v>
      </c>
    </row>
    <row r="39" spans="1:13" x14ac:dyDescent="0.3">
      <c r="A39" s="304">
        <f t="shared" si="0"/>
        <v>4</v>
      </c>
      <c r="B39" s="304" t="s">
        <v>215</v>
      </c>
      <c r="C39" s="266" t="s">
        <v>766</v>
      </c>
      <c r="D39" s="304"/>
      <c r="I39" s="47">
        <f>(1+E74)^24</f>
        <v>1</v>
      </c>
      <c r="J39" s="47">
        <f>(1+F74)^24</f>
        <v>1</v>
      </c>
    </row>
    <row r="40" spans="1:13" x14ac:dyDescent="0.3">
      <c r="A40" s="304">
        <f t="shared" si="0"/>
        <v>5</v>
      </c>
      <c r="B40" s="304" t="s">
        <v>217</v>
      </c>
      <c r="C40" s="266" t="s">
        <v>767</v>
      </c>
      <c r="D40" s="304"/>
      <c r="I40" s="308">
        <f>+I38*I39</f>
        <v>0</v>
      </c>
      <c r="J40" s="308">
        <f>+J38*J39</f>
        <v>0</v>
      </c>
      <c r="K40" s="308">
        <f>+J40-I40</f>
        <v>0</v>
      </c>
    </row>
    <row r="41" spans="1:13" x14ac:dyDescent="0.3">
      <c r="A41" s="304">
        <f>+A40+1</f>
        <v>6</v>
      </c>
      <c r="B41" s="304" t="s">
        <v>219</v>
      </c>
      <c r="C41" s="266" t="s">
        <v>768</v>
      </c>
      <c r="D41" s="304"/>
      <c r="H41" s="308"/>
      <c r="I41" s="308">
        <f>+K40</f>
        <v>0</v>
      </c>
    </row>
    <row r="42" spans="1:13" x14ac:dyDescent="0.3">
      <c r="A42" s="304"/>
      <c r="D42" s="304"/>
    </row>
    <row r="43" spans="1:13" x14ac:dyDescent="0.3">
      <c r="A43" s="304"/>
      <c r="C43" s="266" t="s">
        <v>769</v>
      </c>
      <c r="H43" s="413"/>
    </row>
    <row r="44" spans="1:13" x14ac:dyDescent="0.3">
      <c r="A44" s="304"/>
      <c r="C44" s="266" t="s">
        <v>770</v>
      </c>
      <c r="H44" s="403"/>
      <c r="I44" s="403"/>
      <c r="J44" s="263"/>
    </row>
    <row r="45" spans="1:13" x14ac:dyDescent="0.3">
      <c r="A45" s="304"/>
      <c r="H45" s="263"/>
      <c r="I45" s="304"/>
      <c r="J45" s="304"/>
      <c r="K45" s="304"/>
    </row>
    <row r="46" spans="1:13" x14ac:dyDescent="0.3">
      <c r="A46" s="304"/>
      <c r="B46" s="27" t="s">
        <v>771</v>
      </c>
      <c r="E46" s="304" t="s">
        <v>759</v>
      </c>
      <c r="F46" s="304" t="s">
        <v>772</v>
      </c>
      <c r="H46" s="263"/>
      <c r="I46" s="304"/>
      <c r="J46" s="304"/>
      <c r="K46" s="304"/>
    </row>
    <row r="47" spans="1:13" x14ac:dyDescent="0.3">
      <c r="A47" s="304"/>
      <c r="B47" s="266"/>
      <c r="C47" s="304"/>
      <c r="E47" s="304" t="s">
        <v>773</v>
      </c>
      <c r="F47" s="304" t="s">
        <v>773</v>
      </c>
      <c r="H47" s="305"/>
      <c r="I47" s="263"/>
      <c r="J47" s="413"/>
    </row>
    <row r="48" spans="1:13" ht="24.75" x14ac:dyDescent="0.6">
      <c r="A48" s="304"/>
      <c r="B48" s="46" t="s">
        <v>416</v>
      </c>
      <c r="C48" s="200" t="s">
        <v>363</v>
      </c>
      <c r="E48" s="200" t="s">
        <v>761</v>
      </c>
      <c r="F48" s="200" t="s">
        <v>761</v>
      </c>
      <c r="H48" s="158"/>
      <c r="I48" s="263"/>
      <c r="J48" s="413"/>
    </row>
    <row r="49" spans="1:10" x14ac:dyDescent="0.3">
      <c r="A49" s="304">
        <f>+A41+1</f>
        <v>7</v>
      </c>
      <c r="B49" s="27" t="s">
        <v>384</v>
      </c>
      <c r="C49" s="304" t="s">
        <v>774</v>
      </c>
      <c r="E49" s="45">
        <v>0</v>
      </c>
      <c r="F49" s="45">
        <v>0</v>
      </c>
      <c r="G49" s="27"/>
      <c r="H49" s="312"/>
      <c r="I49" s="44"/>
      <c r="J49" s="43"/>
    </row>
    <row r="50" spans="1:10" x14ac:dyDescent="0.3">
      <c r="A50" s="304">
        <f>+A49+1</f>
        <v>8</v>
      </c>
      <c r="B50" s="27" t="s">
        <v>385</v>
      </c>
      <c r="C50" s="304" t="s">
        <v>774</v>
      </c>
      <c r="E50" s="45">
        <v>0</v>
      </c>
      <c r="F50" s="45">
        <v>0</v>
      </c>
      <c r="G50" s="42"/>
      <c r="H50" s="304"/>
      <c r="J50" s="312"/>
    </row>
    <row r="51" spans="1:10" x14ac:dyDescent="0.3">
      <c r="A51" s="304">
        <f t="shared" ref="A51:A72" si="1">+A50+1</f>
        <v>9</v>
      </c>
      <c r="B51" s="27" t="s">
        <v>386</v>
      </c>
      <c r="C51" s="304" t="s">
        <v>774</v>
      </c>
      <c r="E51" s="45">
        <v>0</v>
      </c>
      <c r="F51" s="45">
        <v>0</v>
      </c>
      <c r="H51" s="304"/>
      <c r="J51" s="304"/>
    </row>
    <row r="52" spans="1:10" x14ac:dyDescent="0.3">
      <c r="A52" s="304">
        <f t="shared" si="1"/>
        <v>10</v>
      </c>
      <c r="B52" s="27" t="s">
        <v>387</v>
      </c>
      <c r="C52" s="304" t="s">
        <v>774</v>
      </c>
      <c r="E52" s="45">
        <v>0</v>
      </c>
      <c r="F52" s="45">
        <v>0</v>
      </c>
      <c r="H52" s="304"/>
      <c r="J52" s="304"/>
    </row>
    <row r="53" spans="1:10" x14ac:dyDescent="0.3">
      <c r="A53" s="304">
        <f t="shared" si="1"/>
        <v>11</v>
      </c>
      <c r="B53" s="27" t="s">
        <v>388</v>
      </c>
      <c r="C53" s="304" t="s">
        <v>774</v>
      </c>
      <c r="E53" s="45">
        <v>0</v>
      </c>
      <c r="F53" s="45">
        <v>0</v>
      </c>
      <c r="H53" s="312"/>
      <c r="J53" s="304"/>
    </row>
    <row r="54" spans="1:10" x14ac:dyDescent="0.3">
      <c r="A54" s="304">
        <f t="shared" si="1"/>
        <v>12</v>
      </c>
      <c r="B54" s="27" t="s">
        <v>389</v>
      </c>
      <c r="C54" s="304" t="s">
        <v>774</v>
      </c>
      <c r="E54" s="45">
        <v>0</v>
      </c>
      <c r="F54" s="45">
        <v>0</v>
      </c>
      <c r="H54" s="304"/>
      <c r="J54" s="304"/>
    </row>
    <row r="55" spans="1:10" x14ac:dyDescent="0.3">
      <c r="A55" s="304">
        <f t="shared" si="1"/>
        <v>13</v>
      </c>
      <c r="B55" s="27" t="s">
        <v>378</v>
      </c>
      <c r="C55" s="304" t="s">
        <v>775</v>
      </c>
      <c r="E55" s="45">
        <v>0</v>
      </c>
      <c r="F55" s="45">
        <v>0</v>
      </c>
      <c r="H55" s="304"/>
      <c r="J55" s="304"/>
    </row>
    <row r="56" spans="1:10" x14ac:dyDescent="0.3">
      <c r="A56" s="304">
        <f t="shared" si="1"/>
        <v>14</v>
      </c>
      <c r="B56" s="27" t="s">
        <v>379</v>
      </c>
      <c r="C56" s="304" t="s">
        <v>775</v>
      </c>
      <c r="E56" s="45">
        <v>0</v>
      </c>
      <c r="F56" s="45">
        <v>0</v>
      </c>
      <c r="H56" s="304"/>
      <c r="J56" s="304"/>
    </row>
    <row r="57" spans="1:10" x14ac:dyDescent="0.3">
      <c r="A57" s="304">
        <f t="shared" si="1"/>
        <v>15</v>
      </c>
      <c r="B57" s="27" t="s">
        <v>380</v>
      </c>
      <c r="C57" s="304" t="s">
        <v>775</v>
      </c>
      <c r="E57" s="45">
        <v>0</v>
      </c>
      <c r="F57" s="45">
        <v>0</v>
      </c>
      <c r="H57" s="304"/>
      <c r="J57" s="304"/>
    </row>
    <row r="58" spans="1:10" x14ac:dyDescent="0.3">
      <c r="A58" s="304">
        <f t="shared" si="1"/>
        <v>16</v>
      </c>
      <c r="B58" s="27" t="s">
        <v>381</v>
      </c>
      <c r="C58" s="304" t="s">
        <v>775</v>
      </c>
      <c r="E58" s="45">
        <v>0</v>
      </c>
      <c r="F58" s="45">
        <v>0</v>
      </c>
      <c r="H58" s="304"/>
      <c r="J58" s="304"/>
    </row>
    <row r="59" spans="1:10" x14ac:dyDescent="0.3">
      <c r="A59" s="304">
        <f t="shared" si="1"/>
        <v>17</v>
      </c>
      <c r="B59" s="27" t="s">
        <v>382</v>
      </c>
      <c r="C59" s="304" t="s">
        <v>775</v>
      </c>
      <c r="E59" s="45">
        <v>0</v>
      </c>
      <c r="F59" s="45">
        <v>0</v>
      </c>
      <c r="H59" s="304"/>
      <c r="J59" s="304"/>
    </row>
    <row r="60" spans="1:10" x14ac:dyDescent="0.3">
      <c r="A60" s="304">
        <f t="shared" si="1"/>
        <v>18</v>
      </c>
      <c r="B60" s="27" t="s">
        <v>383</v>
      </c>
      <c r="C60" s="304" t="s">
        <v>775</v>
      </c>
      <c r="E60" s="45">
        <v>0</v>
      </c>
      <c r="F60" s="45">
        <v>0</v>
      </c>
      <c r="H60" s="304"/>
      <c r="J60" s="304"/>
    </row>
    <row r="61" spans="1:10" x14ac:dyDescent="0.3">
      <c r="A61" s="304">
        <f t="shared" si="1"/>
        <v>19</v>
      </c>
      <c r="B61" s="27" t="s">
        <v>384</v>
      </c>
      <c r="C61" s="304" t="s">
        <v>775</v>
      </c>
      <c r="E61" s="45">
        <v>0</v>
      </c>
      <c r="F61" s="45">
        <v>0</v>
      </c>
      <c r="H61" s="304"/>
      <c r="J61" s="304"/>
    </row>
    <row r="62" spans="1:10" x14ac:dyDescent="0.3">
      <c r="A62" s="304">
        <f t="shared" si="1"/>
        <v>20</v>
      </c>
      <c r="B62" s="27" t="s">
        <v>385</v>
      </c>
      <c r="C62" s="304" t="s">
        <v>775</v>
      </c>
      <c r="E62" s="45">
        <v>0</v>
      </c>
      <c r="F62" s="45">
        <v>0</v>
      </c>
      <c r="H62" s="304"/>
      <c r="J62" s="304"/>
    </row>
    <row r="63" spans="1:10" x14ac:dyDescent="0.3">
      <c r="A63" s="304">
        <f t="shared" si="1"/>
        <v>21</v>
      </c>
      <c r="B63" s="27" t="s">
        <v>386</v>
      </c>
      <c r="C63" s="304" t="s">
        <v>775</v>
      </c>
      <c r="E63" s="45">
        <v>0</v>
      </c>
      <c r="F63" s="45">
        <v>0</v>
      </c>
      <c r="H63" s="304"/>
      <c r="J63" s="304"/>
    </row>
    <row r="64" spans="1:10" x14ac:dyDescent="0.3">
      <c r="A64" s="304">
        <f t="shared" si="1"/>
        <v>22</v>
      </c>
      <c r="B64" s="27" t="s">
        <v>387</v>
      </c>
      <c r="C64" s="304" t="s">
        <v>775</v>
      </c>
      <c r="E64" s="45">
        <v>0</v>
      </c>
      <c r="F64" s="45">
        <v>0</v>
      </c>
      <c r="H64" s="304"/>
      <c r="J64" s="304"/>
    </row>
    <row r="65" spans="1:10" x14ac:dyDescent="0.3">
      <c r="A65" s="304">
        <f t="shared" si="1"/>
        <v>23</v>
      </c>
      <c r="B65" s="27" t="s">
        <v>388</v>
      </c>
      <c r="C65" s="304" t="s">
        <v>775</v>
      </c>
      <c r="E65" s="45">
        <v>0</v>
      </c>
      <c r="F65" s="45">
        <v>0</v>
      </c>
      <c r="H65" s="304"/>
      <c r="J65" s="304"/>
    </row>
    <row r="66" spans="1:10" x14ac:dyDescent="0.3">
      <c r="A66" s="304">
        <f t="shared" si="1"/>
        <v>24</v>
      </c>
      <c r="B66" s="27" t="s">
        <v>389</v>
      </c>
      <c r="C66" s="304" t="s">
        <v>775</v>
      </c>
      <c r="E66" s="45">
        <v>0</v>
      </c>
      <c r="F66" s="45">
        <v>0</v>
      </c>
      <c r="H66" s="304"/>
      <c r="J66" s="304"/>
    </row>
    <row r="67" spans="1:10" x14ac:dyDescent="0.3">
      <c r="A67" s="304">
        <f t="shared" si="1"/>
        <v>25</v>
      </c>
      <c r="B67" s="27" t="s">
        <v>378</v>
      </c>
      <c r="C67" s="304" t="s">
        <v>776</v>
      </c>
      <c r="E67" s="45">
        <v>0</v>
      </c>
      <c r="F67" s="45">
        <v>0</v>
      </c>
      <c r="H67" s="304"/>
      <c r="J67" s="304"/>
    </row>
    <row r="68" spans="1:10" x14ac:dyDescent="0.3">
      <c r="A68" s="304">
        <f t="shared" si="1"/>
        <v>26</v>
      </c>
      <c r="B68" s="27" t="s">
        <v>379</v>
      </c>
      <c r="C68" s="304" t="s">
        <v>776</v>
      </c>
      <c r="E68" s="45">
        <v>0</v>
      </c>
      <c r="F68" s="45">
        <v>0</v>
      </c>
      <c r="H68" s="304"/>
      <c r="J68" s="304"/>
    </row>
    <row r="69" spans="1:10" x14ac:dyDescent="0.3">
      <c r="A69" s="304">
        <f t="shared" si="1"/>
        <v>27</v>
      </c>
      <c r="B69" s="27" t="s">
        <v>380</v>
      </c>
      <c r="C69" s="304" t="s">
        <v>776</v>
      </c>
      <c r="E69" s="45">
        <v>0</v>
      </c>
      <c r="F69" s="45">
        <v>0</v>
      </c>
      <c r="H69" s="304"/>
      <c r="J69" s="304"/>
    </row>
    <row r="70" spans="1:10" x14ac:dyDescent="0.3">
      <c r="A70" s="304">
        <f t="shared" si="1"/>
        <v>28</v>
      </c>
      <c r="B70" s="27" t="s">
        <v>381</v>
      </c>
      <c r="C70" s="304" t="s">
        <v>776</v>
      </c>
      <c r="E70" s="45">
        <v>0</v>
      </c>
      <c r="F70" s="45">
        <v>0</v>
      </c>
      <c r="H70" s="304"/>
      <c r="J70" s="304"/>
    </row>
    <row r="71" spans="1:10" x14ac:dyDescent="0.3">
      <c r="A71" s="304">
        <f t="shared" si="1"/>
        <v>29</v>
      </c>
      <c r="B71" s="27" t="s">
        <v>382</v>
      </c>
      <c r="C71" s="304" t="s">
        <v>776</v>
      </c>
      <c r="E71" s="45">
        <v>0</v>
      </c>
      <c r="F71" s="45">
        <v>0</v>
      </c>
      <c r="H71" s="304"/>
      <c r="J71" s="304"/>
    </row>
    <row r="72" spans="1:10" x14ac:dyDescent="0.3">
      <c r="A72" s="304">
        <f t="shared" si="1"/>
        <v>30</v>
      </c>
      <c r="B72" s="27" t="s">
        <v>383</v>
      </c>
      <c r="C72" s="304" t="s">
        <v>776</v>
      </c>
      <c r="E72" s="45">
        <v>0</v>
      </c>
      <c r="F72" s="45">
        <v>0</v>
      </c>
      <c r="J72" s="413"/>
    </row>
    <row r="73" spans="1:10" x14ac:dyDescent="0.3">
      <c r="A73" s="304"/>
      <c r="B73" s="27"/>
    </row>
    <row r="74" spans="1:10" x14ac:dyDescent="0.3">
      <c r="A74" s="304">
        <f>+A72+1</f>
        <v>31</v>
      </c>
      <c r="B74" s="27" t="s">
        <v>528</v>
      </c>
      <c r="E74" s="41">
        <f>+SUM(E49:E72)/24</f>
        <v>0</v>
      </c>
      <c r="F74" s="41">
        <f>+SUM(F49:F72)/24</f>
        <v>0</v>
      </c>
    </row>
    <row r="76" spans="1:10" x14ac:dyDescent="0.3">
      <c r="B76" s="266" t="s">
        <v>777</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5"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pageSetUpPr fitToPage="1"/>
  </sheetPr>
  <dimension ref="A2:M76"/>
  <sheetViews>
    <sheetView showGridLines="0" topLeftCell="A27" zoomScale="75" zoomScaleNormal="75" workbookViewId="0">
      <selection activeCell="A33" sqref="A33"/>
    </sheetView>
  </sheetViews>
  <sheetFormatPr defaultColWidth="9.28515625" defaultRowHeight="20.25" x14ac:dyDescent="0.3"/>
  <cols>
    <col min="1" max="1" width="5.140625" style="266" customWidth="1"/>
    <col min="2" max="2" width="14.140625" style="304" customWidth="1"/>
    <col min="3" max="3" width="45.85546875" style="266" customWidth="1"/>
    <col min="4" max="4" width="16.7109375" style="266" customWidth="1"/>
    <col min="5" max="5" width="17.7109375" style="266" customWidth="1"/>
    <col min="6" max="6" width="15.140625" style="266" customWidth="1"/>
    <col min="7" max="7" width="34.42578125" style="266" customWidth="1"/>
    <col min="8" max="8" width="19.42578125" style="266" customWidth="1"/>
    <col min="9" max="9" width="14.28515625" style="266" bestFit="1" customWidth="1"/>
    <col min="10" max="10" width="15.42578125" style="266" customWidth="1"/>
    <col min="11" max="11" width="19.28515625" style="266" customWidth="1"/>
    <col min="12" max="12" width="9.28515625" style="266"/>
    <col min="13" max="13" width="10.28515625" style="266" customWidth="1"/>
    <col min="14" max="16384" width="9.28515625" style="266"/>
  </cols>
  <sheetData>
    <row r="2" spans="2:12" x14ac:dyDescent="0.3">
      <c r="B2" s="645" t="str">
        <f>+'Appendix A'!A3</f>
        <v>Dayton Power and Light</v>
      </c>
      <c r="C2" s="645"/>
      <c r="D2" s="645"/>
      <c r="E2" s="645"/>
      <c r="F2" s="645"/>
      <c r="G2" s="645"/>
      <c r="H2" s="645"/>
      <c r="I2" s="645"/>
      <c r="J2" s="645"/>
      <c r="K2" s="645"/>
      <c r="L2" s="645"/>
    </row>
    <row r="3" spans="2:12" x14ac:dyDescent="0.3">
      <c r="B3" s="645" t="str">
        <f>+'Appendix A'!A4</f>
        <v>ATTACHMENT H-15A, Effective April 17, 2024; Docket No. ER24-1268</v>
      </c>
      <c r="C3" s="645"/>
      <c r="D3" s="645"/>
      <c r="E3" s="645"/>
      <c r="F3" s="645"/>
      <c r="G3" s="645"/>
      <c r="H3" s="645"/>
      <c r="I3" s="645"/>
      <c r="J3" s="645"/>
      <c r="K3" s="299"/>
      <c r="L3" s="302"/>
    </row>
    <row r="4" spans="2:12" x14ac:dyDescent="0.3">
      <c r="B4" s="648" t="s">
        <v>778</v>
      </c>
      <c r="C4" s="648"/>
      <c r="D4" s="648"/>
      <c r="E4" s="648"/>
      <c r="F4" s="648"/>
      <c r="G4" s="648"/>
      <c r="H4" s="648"/>
      <c r="I4" s="648"/>
      <c r="J4" s="648"/>
      <c r="K4" s="645"/>
      <c r="L4" s="645"/>
    </row>
    <row r="5" spans="2:12" x14ac:dyDescent="0.3">
      <c r="B5" s="302"/>
      <c r="C5" s="302"/>
      <c r="D5" s="302"/>
      <c r="E5" s="302"/>
      <c r="F5" s="302"/>
      <c r="G5" s="302"/>
      <c r="H5" s="302"/>
      <c r="I5" s="302"/>
      <c r="J5" s="302"/>
      <c r="K5" s="302"/>
      <c r="L5" s="302"/>
    </row>
    <row r="6" spans="2:12" x14ac:dyDescent="0.3">
      <c r="B6" s="266" t="s">
        <v>411</v>
      </c>
    </row>
    <row r="7" spans="2:12" x14ac:dyDescent="0.3">
      <c r="B7" s="27" t="s">
        <v>779</v>
      </c>
    </row>
    <row r="9" spans="2:12" x14ac:dyDescent="0.3">
      <c r="B9" s="304" t="s">
        <v>352</v>
      </c>
      <c r="C9" s="266" t="s">
        <v>736</v>
      </c>
    </row>
    <row r="10" spans="2:12" x14ac:dyDescent="0.3">
      <c r="C10" s="266" t="s">
        <v>737</v>
      </c>
    </row>
    <row r="11" spans="2:12" x14ac:dyDescent="0.3">
      <c r="C11" s="266" t="s">
        <v>738</v>
      </c>
      <c r="H11" s="71"/>
    </row>
    <row r="12" spans="2:12" x14ac:dyDescent="0.3">
      <c r="H12" s="71"/>
    </row>
    <row r="13" spans="2:12" x14ac:dyDescent="0.3">
      <c r="B13" s="304" t="s">
        <v>739</v>
      </c>
      <c r="C13" s="266" t="s">
        <v>740</v>
      </c>
      <c r="H13" s="71"/>
    </row>
    <row r="14" spans="2:12" x14ac:dyDescent="0.3">
      <c r="C14" s="266" t="s">
        <v>741</v>
      </c>
    </row>
    <row r="16" spans="2:12" x14ac:dyDescent="0.3">
      <c r="B16" s="304" t="s">
        <v>742</v>
      </c>
      <c r="C16" s="266" t="s">
        <v>743</v>
      </c>
    </row>
    <row r="17" spans="2:13" x14ac:dyDescent="0.3">
      <c r="C17" s="266" t="s">
        <v>744</v>
      </c>
    </row>
    <row r="19" spans="2:13" x14ac:dyDescent="0.3">
      <c r="B19" s="304" t="s">
        <v>745</v>
      </c>
      <c r="C19" s="266" t="s">
        <v>746</v>
      </c>
    </row>
    <row r="20" spans="2:13" x14ac:dyDescent="0.3">
      <c r="K20" s="52"/>
    </row>
    <row r="21" spans="2:13" x14ac:dyDescent="0.3">
      <c r="C21" s="266" t="s">
        <v>747</v>
      </c>
      <c r="D21" s="304" t="s">
        <v>748</v>
      </c>
      <c r="E21" s="266" t="s">
        <v>749</v>
      </c>
    </row>
    <row r="22" spans="2:13" x14ac:dyDescent="0.3">
      <c r="E22" s="266" t="s">
        <v>750</v>
      </c>
    </row>
    <row r="23" spans="2:13" x14ac:dyDescent="0.3">
      <c r="E23" s="266" t="s">
        <v>751</v>
      </c>
      <c r="K23" s="91"/>
    </row>
    <row r="26" spans="2:13" ht="23.25" x14ac:dyDescent="0.3">
      <c r="B26" s="51"/>
      <c r="C26" s="266" t="s">
        <v>752</v>
      </c>
    </row>
    <row r="27" spans="2:13" ht="23.25" x14ac:dyDescent="0.3">
      <c r="B27" s="50"/>
      <c r="C27" s="266" t="s">
        <v>753</v>
      </c>
    </row>
    <row r="28" spans="2:13" x14ac:dyDescent="0.3">
      <c r="C28" s="266" t="s">
        <v>754</v>
      </c>
    </row>
    <row r="29" spans="2:13" x14ac:dyDescent="0.3">
      <c r="C29" s="266" t="s">
        <v>755</v>
      </c>
      <c r="M29" s="198"/>
    </row>
    <row r="30" spans="2:13" x14ac:dyDescent="0.3">
      <c r="C30" s="266" t="s">
        <v>756</v>
      </c>
    </row>
    <row r="31" spans="2:13" x14ac:dyDescent="0.3">
      <c r="C31" s="266" t="s">
        <v>757</v>
      </c>
    </row>
    <row r="34" spans="1:13" x14ac:dyDescent="0.3">
      <c r="D34" s="304"/>
      <c r="I34" s="304" t="s">
        <v>759</v>
      </c>
      <c r="J34" s="304" t="s">
        <v>760</v>
      </c>
    </row>
    <row r="35" spans="1:13" x14ac:dyDescent="0.3">
      <c r="A35" s="201" t="s">
        <v>780</v>
      </c>
      <c r="D35" s="304"/>
      <c r="I35" s="200" t="s">
        <v>761</v>
      </c>
      <c r="J35" s="200" t="s">
        <v>761</v>
      </c>
      <c r="K35" s="201" t="s">
        <v>762</v>
      </c>
    </row>
    <row r="36" spans="1:13" x14ac:dyDescent="0.3">
      <c r="A36" s="266">
        <v>1</v>
      </c>
      <c r="B36" s="304" t="s">
        <v>209</v>
      </c>
      <c r="C36" s="266" t="s">
        <v>781</v>
      </c>
      <c r="D36" s="304"/>
      <c r="I36" s="244">
        <v>0</v>
      </c>
      <c r="J36" s="308"/>
      <c r="M36" s="49"/>
    </row>
    <row r="37" spans="1:13" x14ac:dyDescent="0.3">
      <c r="A37" s="266">
        <f>+A36+1</f>
        <v>2</v>
      </c>
      <c r="B37" s="304" t="s">
        <v>211</v>
      </c>
      <c r="C37" s="266" t="s">
        <v>782</v>
      </c>
      <c r="D37" s="304"/>
      <c r="I37" s="48">
        <v>0</v>
      </c>
      <c r="J37" s="168"/>
      <c r="M37" s="198"/>
    </row>
    <row r="38" spans="1:13" x14ac:dyDescent="0.3">
      <c r="A38" s="266">
        <f t="shared" ref="A38:A40" si="0">+A37+1</f>
        <v>3</v>
      </c>
      <c r="B38" s="304" t="s">
        <v>213</v>
      </c>
      <c r="C38" s="266" t="s">
        <v>765</v>
      </c>
      <c r="D38" s="304"/>
      <c r="I38" s="308">
        <f>I36-I37</f>
        <v>0</v>
      </c>
      <c r="J38" s="308">
        <f>+I38</f>
        <v>0</v>
      </c>
    </row>
    <row r="39" spans="1:13" x14ac:dyDescent="0.3">
      <c r="A39" s="266">
        <f t="shared" si="0"/>
        <v>4</v>
      </c>
      <c r="B39" s="304" t="s">
        <v>215</v>
      </c>
      <c r="C39" s="266" t="s">
        <v>766</v>
      </c>
      <c r="D39" s="304"/>
      <c r="I39" s="47">
        <f>(1+E74)^24</f>
        <v>1</v>
      </c>
      <c r="J39" s="47">
        <f>(1+F74)^24</f>
        <v>1</v>
      </c>
    </row>
    <row r="40" spans="1:13" x14ac:dyDescent="0.3">
      <c r="A40" s="266">
        <f t="shared" si="0"/>
        <v>5</v>
      </c>
      <c r="B40" s="304" t="s">
        <v>217</v>
      </c>
      <c r="C40" s="266" t="s">
        <v>767</v>
      </c>
      <c r="D40" s="304"/>
      <c r="I40" s="308">
        <f>+I38*I39</f>
        <v>0</v>
      </c>
      <c r="J40" s="308">
        <f>+J38*J39</f>
        <v>0</v>
      </c>
      <c r="K40" s="308">
        <f>+J40-I40</f>
        <v>0</v>
      </c>
    </row>
    <row r="41" spans="1:13" x14ac:dyDescent="0.3">
      <c r="A41" s="266">
        <f>+A40+1</f>
        <v>6</v>
      </c>
      <c r="B41" s="304" t="s">
        <v>219</v>
      </c>
      <c r="C41" s="266" t="s">
        <v>768</v>
      </c>
      <c r="D41" s="304"/>
      <c r="H41" s="308"/>
      <c r="I41" s="308">
        <f>+K40</f>
        <v>0</v>
      </c>
    </row>
    <row r="42" spans="1:13" x14ac:dyDescent="0.3">
      <c r="D42" s="304"/>
    </row>
    <row r="43" spans="1:13" x14ac:dyDescent="0.3">
      <c r="C43" s="266" t="s">
        <v>769</v>
      </c>
      <c r="H43" s="413"/>
    </row>
    <row r="44" spans="1:13" x14ac:dyDescent="0.3">
      <c r="C44" s="266" t="s">
        <v>770</v>
      </c>
      <c r="H44" s="403"/>
      <c r="I44" s="403"/>
      <c r="J44" s="263"/>
    </row>
    <row r="45" spans="1:13" x14ac:dyDescent="0.3">
      <c r="H45" s="263"/>
      <c r="I45" s="304"/>
      <c r="J45" s="304"/>
      <c r="K45" s="304"/>
    </row>
    <row r="46" spans="1:13" x14ac:dyDescent="0.3">
      <c r="B46" s="27" t="s">
        <v>771</v>
      </c>
      <c r="E46" s="304" t="s">
        <v>759</v>
      </c>
      <c r="F46" s="304" t="s">
        <v>772</v>
      </c>
      <c r="H46" s="263"/>
      <c r="I46" s="304"/>
      <c r="J46" s="304"/>
      <c r="K46" s="304"/>
    </row>
    <row r="47" spans="1:13" x14ac:dyDescent="0.3">
      <c r="B47" s="266"/>
      <c r="C47" s="304"/>
      <c r="E47" s="304" t="s">
        <v>773</v>
      </c>
      <c r="F47" s="304" t="s">
        <v>773</v>
      </c>
      <c r="H47" s="305"/>
      <c r="I47" s="263"/>
      <c r="J47" s="413"/>
    </row>
    <row r="48" spans="1:13" ht="24.75" x14ac:dyDescent="0.6">
      <c r="B48" s="46" t="s">
        <v>416</v>
      </c>
      <c r="C48" s="200" t="s">
        <v>363</v>
      </c>
      <c r="E48" s="200" t="s">
        <v>761</v>
      </c>
      <c r="F48" s="200" t="s">
        <v>761</v>
      </c>
      <c r="H48" s="158"/>
      <c r="I48" s="263"/>
      <c r="J48" s="413"/>
    </row>
    <row r="49" spans="1:10" x14ac:dyDescent="0.3">
      <c r="A49" s="266">
        <f>+A41+1</f>
        <v>7</v>
      </c>
      <c r="B49" s="27" t="s">
        <v>384</v>
      </c>
      <c r="C49" s="304" t="s">
        <v>774</v>
      </c>
      <c r="E49" s="45">
        <v>0</v>
      </c>
      <c r="F49" s="45">
        <v>0</v>
      </c>
      <c r="G49" s="27"/>
      <c r="H49" s="312"/>
      <c r="I49" s="44"/>
      <c r="J49" s="43"/>
    </row>
    <row r="50" spans="1:10" x14ac:dyDescent="0.3">
      <c r="A50" s="266">
        <f>+A49+1</f>
        <v>8</v>
      </c>
      <c r="B50" s="27" t="s">
        <v>385</v>
      </c>
      <c r="C50" s="304" t="s">
        <v>774</v>
      </c>
      <c r="E50" s="45">
        <v>0</v>
      </c>
      <c r="F50" s="45">
        <v>0</v>
      </c>
      <c r="G50" s="42"/>
      <c r="H50" s="304"/>
      <c r="J50" s="312"/>
    </row>
    <row r="51" spans="1:10" x14ac:dyDescent="0.3">
      <c r="A51" s="266">
        <f t="shared" ref="A51:A72" si="1">+A50+1</f>
        <v>9</v>
      </c>
      <c r="B51" s="27" t="s">
        <v>386</v>
      </c>
      <c r="C51" s="304" t="s">
        <v>774</v>
      </c>
      <c r="E51" s="45">
        <v>0</v>
      </c>
      <c r="F51" s="45">
        <v>0</v>
      </c>
      <c r="H51" s="304"/>
      <c r="J51" s="304"/>
    </row>
    <row r="52" spans="1:10" x14ac:dyDescent="0.3">
      <c r="A52" s="266">
        <f t="shared" si="1"/>
        <v>10</v>
      </c>
      <c r="B52" s="27" t="s">
        <v>387</v>
      </c>
      <c r="C52" s="304" t="s">
        <v>774</v>
      </c>
      <c r="E52" s="45">
        <v>0</v>
      </c>
      <c r="F52" s="45">
        <v>0</v>
      </c>
      <c r="H52" s="304"/>
      <c r="J52" s="304"/>
    </row>
    <row r="53" spans="1:10" x14ac:dyDescent="0.3">
      <c r="A53" s="266">
        <f t="shared" si="1"/>
        <v>11</v>
      </c>
      <c r="B53" s="27" t="s">
        <v>388</v>
      </c>
      <c r="C53" s="304" t="s">
        <v>774</v>
      </c>
      <c r="E53" s="45">
        <v>0</v>
      </c>
      <c r="F53" s="45">
        <v>0</v>
      </c>
      <c r="H53" s="312"/>
      <c r="J53" s="304"/>
    </row>
    <row r="54" spans="1:10" x14ac:dyDescent="0.3">
      <c r="A54" s="266">
        <f t="shared" si="1"/>
        <v>12</v>
      </c>
      <c r="B54" s="27" t="s">
        <v>389</v>
      </c>
      <c r="C54" s="304" t="s">
        <v>774</v>
      </c>
      <c r="E54" s="45">
        <v>0</v>
      </c>
      <c r="F54" s="45">
        <v>0</v>
      </c>
      <c r="H54" s="304"/>
      <c r="J54" s="304"/>
    </row>
    <row r="55" spans="1:10" x14ac:dyDescent="0.3">
      <c r="A55" s="266">
        <f t="shared" si="1"/>
        <v>13</v>
      </c>
      <c r="B55" s="27" t="s">
        <v>378</v>
      </c>
      <c r="C55" s="304" t="s">
        <v>775</v>
      </c>
      <c r="E55" s="45">
        <v>0</v>
      </c>
      <c r="F55" s="45">
        <v>0</v>
      </c>
      <c r="H55" s="304"/>
      <c r="J55" s="304"/>
    </row>
    <row r="56" spans="1:10" x14ac:dyDescent="0.3">
      <c r="A56" s="266">
        <f t="shared" si="1"/>
        <v>14</v>
      </c>
      <c r="B56" s="27" t="s">
        <v>379</v>
      </c>
      <c r="C56" s="304" t="s">
        <v>775</v>
      </c>
      <c r="E56" s="45">
        <v>0</v>
      </c>
      <c r="F56" s="45">
        <v>0</v>
      </c>
      <c r="H56" s="304"/>
      <c r="J56" s="304"/>
    </row>
    <row r="57" spans="1:10" x14ac:dyDescent="0.3">
      <c r="A57" s="266">
        <f t="shared" si="1"/>
        <v>15</v>
      </c>
      <c r="B57" s="27" t="s">
        <v>380</v>
      </c>
      <c r="C57" s="304" t="s">
        <v>775</v>
      </c>
      <c r="E57" s="45">
        <v>0</v>
      </c>
      <c r="F57" s="45">
        <v>0</v>
      </c>
      <c r="H57" s="304"/>
      <c r="J57" s="304"/>
    </row>
    <row r="58" spans="1:10" x14ac:dyDescent="0.3">
      <c r="A58" s="266">
        <f t="shared" si="1"/>
        <v>16</v>
      </c>
      <c r="B58" s="27" t="s">
        <v>381</v>
      </c>
      <c r="C58" s="304" t="s">
        <v>775</v>
      </c>
      <c r="E58" s="45">
        <v>0</v>
      </c>
      <c r="F58" s="45">
        <v>0</v>
      </c>
      <c r="H58" s="304"/>
      <c r="J58" s="304"/>
    </row>
    <row r="59" spans="1:10" x14ac:dyDescent="0.3">
      <c r="A59" s="266">
        <f t="shared" si="1"/>
        <v>17</v>
      </c>
      <c r="B59" s="27" t="s">
        <v>382</v>
      </c>
      <c r="C59" s="304" t="s">
        <v>775</v>
      </c>
      <c r="E59" s="45">
        <v>0</v>
      </c>
      <c r="F59" s="45">
        <v>0</v>
      </c>
      <c r="H59" s="304"/>
      <c r="J59" s="304"/>
    </row>
    <row r="60" spans="1:10" x14ac:dyDescent="0.3">
      <c r="A60" s="266">
        <f t="shared" si="1"/>
        <v>18</v>
      </c>
      <c r="B60" s="27" t="s">
        <v>383</v>
      </c>
      <c r="C60" s="304" t="s">
        <v>775</v>
      </c>
      <c r="E60" s="45">
        <v>0</v>
      </c>
      <c r="F60" s="45">
        <v>0</v>
      </c>
      <c r="H60" s="304"/>
      <c r="J60" s="304"/>
    </row>
    <row r="61" spans="1:10" x14ac:dyDescent="0.3">
      <c r="A61" s="266">
        <f t="shared" si="1"/>
        <v>19</v>
      </c>
      <c r="B61" s="27" t="s">
        <v>384</v>
      </c>
      <c r="C61" s="304" t="s">
        <v>775</v>
      </c>
      <c r="E61" s="45">
        <v>0</v>
      </c>
      <c r="F61" s="45">
        <v>0</v>
      </c>
      <c r="H61" s="304"/>
      <c r="J61" s="304"/>
    </row>
    <row r="62" spans="1:10" x14ac:dyDescent="0.3">
      <c r="A62" s="266">
        <f t="shared" si="1"/>
        <v>20</v>
      </c>
      <c r="B62" s="27" t="s">
        <v>385</v>
      </c>
      <c r="C62" s="304" t="s">
        <v>775</v>
      </c>
      <c r="E62" s="45">
        <v>0</v>
      </c>
      <c r="F62" s="45">
        <v>0</v>
      </c>
      <c r="H62" s="304"/>
      <c r="J62" s="304"/>
    </row>
    <row r="63" spans="1:10" x14ac:dyDescent="0.3">
      <c r="A63" s="266">
        <f t="shared" si="1"/>
        <v>21</v>
      </c>
      <c r="B63" s="27" t="s">
        <v>386</v>
      </c>
      <c r="C63" s="304" t="s">
        <v>775</v>
      </c>
      <c r="E63" s="45">
        <v>0</v>
      </c>
      <c r="F63" s="45">
        <v>0</v>
      </c>
      <c r="H63" s="304"/>
      <c r="J63" s="304"/>
    </row>
    <row r="64" spans="1:10" x14ac:dyDescent="0.3">
      <c r="A64" s="266">
        <f t="shared" si="1"/>
        <v>22</v>
      </c>
      <c r="B64" s="27" t="s">
        <v>387</v>
      </c>
      <c r="C64" s="304" t="s">
        <v>775</v>
      </c>
      <c r="E64" s="45">
        <v>0</v>
      </c>
      <c r="F64" s="45">
        <v>0</v>
      </c>
      <c r="H64" s="304"/>
      <c r="J64" s="304"/>
    </row>
    <row r="65" spans="1:10" x14ac:dyDescent="0.3">
      <c r="A65" s="266">
        <f t="shared" si="1"/>
        <v>23</v>
      </c>
      <c r="B65" s="27" t="s">
        <v>388</v>
      </c>
      <c r="C65" s="304" t="s">
        <v>775</v>
      </c>
      <c r="E65" s="45">
        <v>0</v>
      </c>
      <c r="F65" s="45">
        <v>0</v>
      </c>
      <c r="H65" s="304"/>
      <c r="J65" s="304"/>
    </row>
    <row r="66" spans="1:10" x14ac:dyDescent="0.3">
      <c r="A66" s="266">
        <f t="shared" si="1"/>
        <v>24</v>
      </c>
      <c r="B66" s="27" t="s">
        <v>389</v>
      </c>
      <c r="C66" s="304" t="s">
        <v>775</v>
      </c>
      <c r="E66" s="45">
        <v>0</v>
      </c>
      <c r="F66" s="45">
        <v>0</v>
      </c>
      <c r="H66" s="304"/>
      <c r="J66" s="304"/>
    </row>
    <row r="67" spans="1:10" x14ac:dyDescent="0.3">
      <c r="A67" s="266">
        <f t="shared" si="1"/>
        <v>25</v>
      </c>
      <c r="B67" s="27" t="s">
        <v>378</v>
      </c>
      <c r="C67" s="304" t="s">
        <v>776</v>
      </c>
      <c r="E67" s="45">
        <v>0</v>
      </c>
      <c r="F67" s="45">
        <v>0</v>
      </c>
      <c r="H67" s="304"/>
      <c r="J67" s="304"/>
    </row>
    <row r="68" spans="1:10" x14ac:dyDescent="0.3">
      <c r="A68" s="266">
        <f t="shared" si="1"/>
        <v>26</v>
      </c>
      <c r="B68" s="27" t="s">
        <v>379</v>
      </c>
      <c r="C68" s="304" t="s">
        <v>776</v>
      </c>
      <c r="E68" s="45">
        <v>0</v>
      </c>
      <c r="F68" s="45">
        <v>0</v>
      </c>
      <c r="H68" s="304"/>
      <c r="J68" s="304"/>
    </row>
    <row r="69" spans="1:10" x14ac:dyDescent="0.3">
      <c r="A69" s="266">
        <f t="shared" si="1"/>
        <v>27</v>
      </c>
      <c r="B69" s="27" t="s">
        <v>380</v>
      </c>
      <c r="C69" s="304" t="s">
        <v>776</v>
      </c>
      <c r="E69" s="45">
        <v>0</v>
      </c>
      <c r="F69" s="45">
        <v>0</v>
      </c>
      <c r="H69" s="304"/>
      <c r="J69" s="304"/>
    </row>
    <row r="70" spans="1:10" x14ac:dyDescent="0.3">
      <c r="A70" s="266">
        <f t="shared" si="1"/>
        <v>28</v>
      </c>
      <c r="B70" s="27" t="s">
        <v>381</v>
      </c>
      <c r="C70" s="304" t="s">
        <v>776</v>
      </c>
      <c r="E70" s="45">
        <v>0</v>
      </c>
      <c r="F70" s="45">
        <v>0</v>
      </c>
      <c r="H70" s="304"/>
      <c r="J70" s="304"/>
    </row>
    <row r="71" spans="1:10" x14ac:dyDescent="0.3">
      <c r="A71" s="266">
        <f t="shared" si="1"/>
        <v>29</v>
      </c>
      <c r="B71" s="27" t="s">
        <v>382</v>
      </c>
      <c r="C71" s="304" t="s">
        <v>776</v>
      </c>
      <c r="E71" s="45">
        <v>0</v>
      </c>
      <c r="F71" s="45">
        <v>0</v>
      </c>
      <c r="H71" s="304"/>
      <c r="J71" s="304"/>
    </row>
    <row r="72" spans="1:10" x14ac:dyDescent="0.3">
      <c r="A72" s="266">
        <f t="shared" si="1"/>
        <v>30</v>
      </c>
      <c r="B72" s="27" t="s">
        <v>383</v>
      </c>
      <c r="C72" s="304" t="s">
        <v>776</v>
      </c>
      <c r="E72" s="45">
        <v>0</v>
      </c>
      <c r="F72" s="45">
        <v>0</v>
      </c>
      <c r="J72" s="413"/>
    </row>
    <row r="73" spans="1:10" x14ac:dyDescent="0.3">
      <c r="B73" s="27"/>
    </row>
    <row r="74" spans="1:10" x14ac:dyDescent="0.3">
      <c r="A74" s="266">
        <f>+A72+1</f>
        <v>31</v>
      </c>
      <c r="B74" s="27" t="s">
        <v>528</v>
      </c>
      <c r="E74" s="41">
        <f>+SUM(E49:E72)/24</f>
        <v>0</v>
      </c>
      <c r="F74" s="41">
        <f>+SUM(F49:F72)/24</f>
        <v>0</v>
      </c>
    </row>
    <row r="76" spans="1:10" x14ac:dyDescent="0.3">
      <c r="B76" s="266" t="s">
        <v>783</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pageSetUpPr fitToPage="1"/>
  </sheetPr>
  <dimension ref="A1:Y20"/>
  <sheetViews>
    <sheetView topLeftCell="B1" zoomScaleNormal="100" zoomScaleSheetLayoutView="90" workbookViewId="0">
      <selection activeCell="S21" sqref="S21"/>
    </sheetView>
  </sheetViews>
  <sheetFormatPr defaultColWidth="9.140625" defaultRowHeight="20.25" x14ac:dyDescent="0.3"/>
  <cols>
    <col min="1" max="1" width="5.28515625" style="266" customWidth="1"/>
    <col min="2" max="2" width="31.140625" style="266" customWidth="1"/>
    <col min="3" max="3" width="24.7109375" style="266" customWidth="1"/>
    <col min="4" max="4" width="5.5703125" style="266" customWidth="1"/>
    <col min="5" max="5" width="13.28515625" style="266" customWidth="1"/>
    <col min="6" max="6" width="6" style="266" customWidth="1"/>
    <col min="7" max="7" width="13.28515625" style="266" customWidth="1"/>
    <col min="8" max="8" width="4.7109375" style="266" customWidth="1"/>
    <col min="9" max="9" width="13.5703125" style="266" bestFit="1" customWidth="1"/>
    <col min="10" max="10" width="4.85546875" style="266" customWidth="1"/>
    <col min="11" max="11" width="13.5703125" style="266" bestFit="1" customWidth="1"/>
    <col min="12" max="12" width="4.85546875" style="266" customWidth="1"/>
    <col min="13" max="13" width="13.5703125" style="266" bestFit="1" customWidth="1"/>
    <col min="14" max="14" width="4.5703125" style="266" customWidth="1"/>
    <col min="15" max="15" width="13.5703125" style="266" bestFit="1" customWidth="1"/>
    <col min="16" max="16" width="4.28515625" style="266" customWidth="1"/>
    <col min="17" max="17" width="13.5703125" style="266" bestFit="1" customWidth="1"/>
    <col min="18" max="18" width="3.7109375" style="266" customWidth="1"/>
    <col min="19" max="19" width="13.5703125" style="266" bestFit="1" customWidth="1"/>
    <col min="20" max="20" width="4.7109375" style="266" customWidth="1"/>
    <col min="21" max="21" width="13.5703125" style="266" bestFit="1" customWidth="1"/>
    <col min="22" max="22" width="4.7109375" style="266" customWidth="1"/>
    <col min="23" max="23" width="13.5703125" style="266" bestFit="1" customWidth="1"/>
    <col min="24" max="24" width="4.5703125" style="266" customWidth="1"/>
    <col min="25" max="25" width="15.140625" style="266" bestFit="1" customWidth="1"/>
    <col min="26" max="26" width="5.42578125" style="266" customWidth="1"/>
    <col min="27" max="16384" width="9.140625" style="266"/>
  </cols>
  <sheetData>
    <row r="1" spans="1:25" x14ac:dyDescent="0.3">
      <c r="A1" s="302"/>
      <c r="B1" s="302"/>
      <c r="C1" s="302"/>
      <c r="D1" s="302"/>
      <c r="E1" s="302"/>
      <c r="F1" s="302"/>
      <c r="G1" s="302"/>
      <c r="J1" s="302" t="str">
        <f>+'Appendix A'!A3</f>
        <v>Dayton Power and Light</v>
      </c>
      <c r="K1" s="302"/>
      <c r="L1" s="302"/>
      <c r="M1" s="302"/>
      <c r="N1" s="302"/>
      <c r="O1" s="263"/>
      <c r="P1" s="263"/>
    </row>
    <row r="2" spans="1:25" x14ac:dyDescent="0.3">
      <c r="A2" s="304"/>
      <c r="B2" s="302"/>
      <c r="C2" s="302"/>
      <c r="D2" s="302"/>
      <c r="E2" s="302"/>
      <c r="F2" s="302"/>
      <c r="G2" s="302"/>
      <c r="J2" s="302" t="str">
        <f>+'Appendix A'!A4</f>
        <v>ATTACHMENT H-15A, Effective April 17, 2024; Docket No. ER24-1268</v>
      </c>
      <c r="K2" s="302"/>
      <c r="L2" s="302"/>
      <c r="M2" s="302"/>
      <c r="N2" s="302"/>
      <c r="O2" s="263"/>
      <c r="P2" s="263"/>
    </row>
    <row r="3" spans="1:25" x14ac:dyDescent="0.3">
      <c r="A3" s="304"/>
      <c r="B3" s="302"/>
      <c r="C3" s="302"/>
      <c r="D3" s="302"/>
      <c r="E3" s="301"/>
      <c r="F3" s="301"/>
      <c r="G3" s="301"/>
      <c r="H3" s="230"/>
      <c r="I3" s="230"/>
      <c r="J3" s="301" t="s">
        <v>784</v>
      </c>
      <c r="K3" s="301"/>
      <c r="L3" s="301"/>
      <c r="M3" s="301"/>
      <c r="N3" s="301"/>
      <c r="O3" s="199"/>
      <c r="P3" s="263"/>
      <c r="Y3" s="299"/>
    </row>
    <row r="4" spans="1:25" x14ac:dyDescent="0.3">
      <c r="A4" s="304"/>
      <c r="B4" s="266" t="s">
        <v>411</v>
      </c>
      <c r="C4" s="198"/>
      <c r="D4" s="302"/>
      <c r="E4" s="302"/>
      <c r="F4" s="302"/>
      <c r="G4" s="302"/>
      <c r="H4" s="302"/>
      <c r="I4" s="302"/>
      <c r="J4" s="302"/>
      <c r="K4" s="302"/>
      <c r="L4" s="302"/>
      <c r="M4" s="302"/>
      <c r="N4" s="302"/>
      <c r="O4" s="302"/>
      <c r="P4" s="302"/>
    </row>
    <row r="5" spans="1:25" x14ac:dyDescent="0.3">
      <c r="A5" s="304"/>
      <c r="B5" s="27"/>
      <c r="C5" s="198"/>
      <c r="D5" s="304"/>
      <c r="E5" s="304"/>
      <c r="J5" s="263"/>
      <c r="K5" s="263"/>
      <c r="L5" s="263"/>
      <c r="M5" s="263"/>
      <c r="N5" s="263"/>
      <c r="O5" s="263"/>
      <c r="P5" s="263"/>
    </row>
    <row r="6" spans="1:25" x14ac:dyDescent="0.3">
      <c r="A6" s="304"/>
      <c r="B6" s="342" t="s">
        <v>785</v>
      </c>
      <c r="D6" s="304"/>
      <c r="J6" s="263"/>
      <c r="K6" s="238"/>
      <c r="N6" s="263"/>
      <c r="O6" s="263"/>
      <c r="P6" s="263"/>
    </row>
    <row r="7" spans="1:25" x14ac:dyDescent="0.3">
      <c r="G7" s="304" t="s">
        <v>786</v>
      </c>
      <c r="I7" s="304" t="s">
        <v>787</v>
      </c>
      <c r="K7" s="304" t="s">
        <v>788</v>
      </c>
      <c r="M7" s="304" t="s">
        <v>789</v>
      </c>
      <c r="O7" s="304" t="s">
        <v>790</v>
      </c>
      <c r="Q7" s="304" t="s">
        <v>791</v>
      </c>
      <c r="S7" s="304" t="s">
        <v>792</v>
      </c>
      <c r="U7" s="304" t="s">
        <v>793</v>
      </c>
      <c r="W7" s="304" t="s">
        <v>794</v>
      </c>
      <c r="Y7" s="304" t="s">
        <v>795</v>
      </c>
    </row>
    <row r="8" spans="1:25" x14ac:dyDescent="0.3">
      <c r="A8" s="201" t="s">
        <v>780</v>
      </c>
      <c r="E8" s="200" t="s">
        <v>69</v>
      </c>
      <c r="G8" s="40" t="s">
        <v>796</v>
      </c>
      <c r="I8" s="40" t="s">
        <v>796</v>
      </c>
      <c r="K8" s="40" t="s">
        <v>796</v>
      </c>
      <c r="M8" s="40" t="s">
        <v>796</v>
      </c>
      <c r="O8" s="40" t="s">
        <v>796</v>
      </c>
      <c r="Q8" s="40" t="s">
        <v>796</v>
      </c>
      <c r="S8" s="40" t="s">
        <v>796</v>
      </c>
      <c r="U8" s="40" t="s">
        <v>796</v>
      </c>
      <c r="W8" s="40" t="s">
        <v>796</v>
      </c>
      <c r="Y8" s="40" t="s">
        <v>796</v>
      </c>
    </row>
    <row r="10" spans="1:25" x14ac:dyDescent="0.3">
      <c r="A10" s="266">
        <v>1</v>
      </c>
      <c r="B10" s="266" t="s">
        <v>24</v>
      </c>
      <c r="C10" s="308" t="str">
        <f>"(Attachment 4, Line "&amp;'4 - Cost Support'!A243&amp;" etc.)"</f>
        <v>(Attachment 4, Line 88 etc.)</v>
      </c>
      <c r="E10" s="97"/>
      <c r="F10" s="97"/>
      <c r="G10" s="308">
        <f>+'4 - Cost Support'!T243</f>
        <v>0</v>
      </c>
      <c r="H10" s="308"/>
      <c r="I10" s="308">
        <f>+'4 - Cost Support'!T248</f>
        <v>0</v>
      </c>
      <c r="J10" s="308"/>
      <c r="K10" s="308">
        <f>+'4 - Cost Support'!T253</f>
        <v>0</v>
      </c>
      <c r="L10" s="308"/>
      <c r="M10" s="308">
        <f>+'4 - Cost Support'!T258</f>
        <v>0</v>
      </c>
      <c r="N10" s="308"/>
      <c r="O10" s="308">
        <f>+'4 - Cost Support'!T263</f>
        <v>0</v>
      </c>
      <c r="P10" s="308"/>
      <c r="Q10" s="308">
        <f>+'4 - Cost Support'!T268</f>
        <v>0</v>
      </c>
      <c r="R10" s="308"/>
      <c r="S10" s="308">
        <f>+'4 - Cost Support'!T273</f>
        <v>0</v>
      </c>
      <c r="T10" s="308"/>
      <c r="U10" s="308">
        <f>+'4 - Cost Support'!T278</f>
        <v>0</v>
      </c>
      <c r="V10" s="308"/>
      <c r="W10" s="308">
        <f>+'4 - Cost Support'!T283</f>
        <v>0</v>
      </c>
      <c r="X10" s="308"/>
      <c r="Y10" s="308">
        <f>+'4 - Cost Support'!T288</f>
        <v>0</v>
      </c>
    </row>
    <row r="11" spans="1:25" x14ac:dyDescent="0.3">
      <c r="A11" s="266">
        <f>+A10+1</f>
        <v>2</v>
      </c>
      <c r="B11" s="266" t="s">
        <v>33</v>
      </c>
      <c r="C11" s="308" t="str">
        <f>"(Attachment 4, Line "&amp;'4 - Cost Support'!A244&amp;" etc.)"</f>
        <v>(Attachment 4, Line 89 etc.)</v>
      </c>
      <c r="E11" s="97"/>
      <c r="F11" s="97"/>
      <c r="G11" s="311">
        <f>+'4 - Cost Support'!T244</f>
        <v>0</v>
      </c>
      <c r="H11" s="311"/>
      <c r="I11" s="311">
        <f>+'4 - Cost Support'!T249</f>
        <v>0</v>
      </c>
      <c r="J11" s="311"/>
      <c r="K11" s="311">
        <f>+'4 - Cost Support'!T254</f>
        <v>0</v>
      </c>
      <c r="L11" s="311"/>
      <c r="M11" s="311">
        <f>+'4 - Cost Support'!T259</f>
        <v>0</v>
      </c>
      <c r="N11" s="311"/>
      <c r="O11" s="311">
        <f>+'4 - Cost Support'!T264</f>
        <v>0</v>
      </c>
      <c r="P11" s="311"/>
      <c r="Q11" s="311">
        <f>+'4 - Cost Support'!T269</f>
        <v>0</v>
      </c>
      <c r="R11" s="311"/>
      <c r="S11" s="311">
        <f>+'4 - Cost Support'!T274</f>
        <v>0</v>
      </c>
      <c r="T11" s="311"/>
      <c r="U11" s="311">
        <f>+'4 - Cost Support'!T279</f>
        <v>0</v>
      </c>
      <c r="V11" s="311"/>
      <c r="W11" s="311">
        <f>+'4 - Cost Support'!T284</f>
        <v>0</v>
      </c>
      <c r="X11" s="311"/>
      <c r="Y11" s="311">
        <f>+'4 - Cost Support'!T289</f>
        <v>0</v>
      </c>
    </row>
    <row r="12" spans="1:25" x14ac:dyDescent="0.3">
      <c r="A12" s="266">
        <f>+A11+1</f>
        <v>3</v>
      </c>
      <c r="B12" s="266" t="s">
        <v>18</v>
      </c>
      <c r="C12" s="266" t="str">
        <f>"(Line "&amp;A10&amp;" + Line "&amp;A11&amp;")"</f>
        <v>(Line 1 + Line 2)</v>
      </c>
      <c r="E12" s="97"/>
      <c r="F12" s="97"/>
      <c r="G12" s="308">
        <f>+G10-G11</f>
        <v>0</v>
      </c>
      <c r="H12" s="308"/>
      <c r="I12" s="308">
        <f>+I10-I11</f>
        <v>0</v>
      </c>
      <c r="J12" s="308"/>
      <c r="K12" s="308">
        <f>+K10-K11</f>
        <v>0</v>
      </c>
      <c r="L12" s="308"/>
      <c r="M12" s="308">
        <f>+M10-M11</f>
        <v>0</v>
      </c>
      <c r="N12" s="308"/>
      <c r="O12" s="308">
        <f>+O10-O11</f>
        <v>0</v>
      </c>
      <c r="P12" s="308"/>
      <c r="Q12" s="308">
        <f>+Q10-Q11</f>
        <v>0</v>
      </c>
      <c r="R12" s="308"/>
      <c r="S12" s="308">
        <f>+S10-S11</f>
        <v>0</v>
      </c>
      <c r="T12" s="308"/>
      <c r="U12" s="308">
        <f>+U10-U11</f>
        <v>0</v>
      </c>
      <c r="V12" s="308"/>
      <c r="W12" s="308">
        <f>+W10-W11</f>
        <v>0</v>
      </c>
      <c r="X12" s="308"/>
      <c r="Y12" s="308">
        <f>+Y10-Y11</f>
        <v>0</v>
      </c>
    </row>
    <row r="13" spans="1:25" x14ac:dyDescent="0.3">
      <c r="A13" s="266">
        <f t="shared" ref="A13:A18" si="0">+A12+1</f>
        <v>4</v>
      </c>
      <c r="B13" s="266" t="s">
        <v>43</v>
      </c>
      <c r="C13" s="308" t="str">
        <f>"(Attachment 4, Line "&amp;'4 - Cost Support'!A245&amp;" etc.)"</f>
        <v>(Attachment 4, Line 90 etc.)</v>
      </c>
      <c r="E13" s="97"/>
      <c r="F13" s="97"/>
      <c r="G13" s="311">
        <f>+'4 - Cost Support'!T245</f>
        <v>0</v>
      </c>
      <c r="H13" s="311"/>
      <c r="I13" s="311">
        <f>+'4 - Cost Support'!T250</f>
        <v>0</v>
      </c>
      <c r="J13" s="311"/>
      <c r="K13" s="311">
        <f>+'4 - Cost Support'!T255</f>
        <v>0</v>
      </c>
      <c r="L13" s="311"/>
      <c r="M13" s="311">
        <f>+'4 - Cost Support'!T260</f>
        <v>0</v>
      </c>
      <c r="N13" s="311"/>
      <c r="O13" s="311">
        <f>+'4 - Cost Support'!T265</f>
        <v>0</v>
      </c>
      <c r="P13" s="311"/>
      <c r="Q13" s="311">
        <f>+'4 - Cost Support'!T270</f>
        <v>0</v>
      </c>
      <c r="R13" s="311"/>
      <c r="S13" s="311">
        <f>+'4 - Cost Support'!T275</f>
        <v>0</v>
      </c>
      <c r="T13" s="311"/>
      <c r="U13" s="311">
        <f>+'4 - Cost Support'!T280</f>
        <v>0</v>
      </c>
      <c r="V13" s="311"/>
      <c r="W13" s="311">
        <f>+'4 - Cost Support'!T285</f>
        <v>0</v>
      </c>
      <c r="X13" s="311"/>
      <c r="Y13" s="311">
        <f>+'4 - Cost Support'!T290</f>
        <v>0</v>
      </c>
    </row>
    <row r="14" spans="1:25" x14ac:dyDescent="0.3">
      <c r="A14" s="266">
        <f t="shared" si="0"/>
        <v>5</v>
      </c>
      <c r="B14" s="266" t="s">
        <v>77</v>
      </c>
      <c r="C14" s="266" t="str">
        <f>"(Line "&amp;A12&amp;" + Line "&amp;A13&amp;")"</f>
        <v>(Line 3 + Line 4)</v>
      </c>
      <c r="E14" s="97"/>
      <c r="F14" s="97"/>
      <c r="G14" s="308">
        <f>+G12-G13</f>
        <v>0</v>
      </c>
      <c r="H14" s="308"/>
      <c r="I14" s="308">
        <f>+I12-I13</f>
        <v>0</v>
      </c>
      <c r="J14" s="308"/>
      <c r="K14" s="308">
        <f>+K12-K13</f>
        <v>0</v>
      </c>
      <c r="L14" s="308"/>
      <c r="M14" s="308">
        <f>+M12-M13</f>
        <v>0</v>
      </c>
      <c r="N14" s="308"/>
      <c r="O14" s="308">
        <f>+O12-O13</f>
        <v>0</v>
      </c>
      <c r="P14" s="308"/>
      <c r="Q14" s="308">
        <f>+Q12-Q13</f>
        <v>0</v>
      </c>
      <c r="R14" s="308"/>
      <c r="S14" s="308">
        <f>+S12-S13</f>
        <v>0</v>
      </c>
      <c r="T14" s="308"/>
      <c r="U14" s="308">
        <f>+U12-U13</f>
        <v>0</v>
      </c>
      <c r="V14" s="308"/>
      <c r="W14" s="308">
        <f>+W12-W13</f>
        <v>0</v>
      </c>
      <c r="X14" s="308"/>
      <c r="Y14" s="308">
        <f>+Y12-Y13</f>
        <v>0</v>
      </c>
    </row>
    <row r="15" spans="1:25" x14ac:dyDescent="0.3">
      <c r="A15" s="266">
        <f t="shared" si="0"/>
        <v>6</v>
      </c>
      <c r="B15" s="266" t="s">
        <v>785</v>
      </c>
      <c r="C15" s="266" t="s">
        <v>797</v>
      </c>
      <c r="G15" s="86">
        <v>0</v>
      </c>
      <c r="H15" s="329"/>
      <c r="I15" s="86">
        <v>0</v>
      </c>
      <c r="J15" s="329"/>
      <c r="K15" s="86">
        <v>0</v>
      </c>
      <c r="L15" s="329"/>
      <c r="M15" s="86">
        <v>0</v>
      </c>
      <c r="N15" s="329"/>
      <c r="O15" s="86">
        <v>0</v>
      </c>
      <c r="P15" s="329"/>
      <c r="Q15" s="86">
        <v>0</v>
      </c>
      <c r="R15" s="329"/>
      <c r="S15" s="86">
        <v>0</v>
      </c>
      <c r="T15" s="329"/>
      <c r="U15" s="86">
        <v>0</v>
      </c>
      <c r="V15" s="329"/>
      <c r="W15" s="86">
        <v>0</v>
      </c>
      <c r="X15" s="329"/>
      <c r="Y15" s="86">
        <v>0</v>
      </c>
    </row>
    <row r="16" spans="1:25" x14ac:dyDescent="0.3">
      <c r="A16" s="266">
        <f t="shared" si="0"/>
        <v>7</v>
      </c>
      <c r="B16" s="266" t="s">
        <v>798</v>
      </c>
      <c r="C16" s="308" t="str">
        <f>"(Appendix A, Line "&amp;'Appendix A'!A197&amp;")"</f>
        <v>(Appendix A, Line 111)</v>
      </c>
      <c r="G16" s="329">
        <f>+'Appendix A'!$H$197</f>
        <v>0.52189969617783949</v>
      </c>
      <c r="H16" s="329"/>
      <c r="I16" s="329">
        <f>+'Appendix A'!$H$197</f>
        <v>0.52189969617783949</v>
      </c>
      <c r="J16" s="329"/>
      <c r="K16" s="329">
        <f>+'Appendix A'!$H$197</f>
        <v>0.52189969617783949</v>
      </c>
      <c r="L16" s="329"/>
      <c r="M16" s="329">
        <f>+'Appendix A'!$H$197</f>
        <v>0.52189969617783949</v>
      </c>
      <c r="N16" s="329"/>
      <c r="O16" s="329">
        <f>+'Appendix A'!$H$197</f>
        <v>0.52189969617783949</v>
      </c>
      <c r="P16" s="329"/>
      <c r="Q16" s="329">
        <f>+'Appendix A'!$H$197</f>
        <v>0.52189969617783949</v>
      </c>
      <c r="R16" s="329"/>
      <c r="S16" s="329">
        <f>+'Appendix A'!$H$197</f>
        <v>0.52189969617783949</v>
      </c>
      <c r="T16" s="329"/>
      <c r="U16" s="329">
        <f>+'Appendix A'!$H$197</f>
        <v>0.52189969617783949</v>
      </c>
      <c r="V16" s="329"/>
      <c r="W16" s="329">
        <f>+'Appendix A'!$H$197</f>
        <v>0.52189969617783949</v>
      </c>
      <c r="X16" s="329"/>
      <c r="Y16" s="329">
        <f>+'Appendix A'!$H$197</f>
        <v>0.52189969617783949</v>
      </c>
    </row>
    <row r="17" spans="1:25" x14ac:dyDescent="0.3">
      <c r="A17" s="266">
        <f t="shared" si="0"/>
        <v>8</v>
      </c>
      <c r="B17" s="266" t="s">
        <v>156</v>
      </c>
      <c r="C17" s="308" t="str">
        <f>"(Appendix A, Line "&amp;'Appendix A'!A217&amp;")"</f>
        <v>(Appendix A, Line 126)</v>
      </c>
      <c r="E17" s="354"/>
      <c r="F17" s="354"/>
      <c r="G17" s="414">
        <f>+'Appendix A'!$H$217</f>
        <v>1.2886315634837897</v>
      </c>
      <c r="H17" s="414"/>
      <c r="I17" s="414">
        <f>+'Appendix A'!$H$217</f>
        <v>1.2886315634837897</v>
      </c>
      <c r="J17" s="414"/>
      <c r="K17" s="414">
        <f>+'Appendix A'!$H$217</f>
        <v>1.2886315634837897</v>
      </c>
      <c r="L17" s="414"/>
      <c r="M17" s="414">
        <f>+'Appendix A'!$H$217</f>
        <v>1.2886315634837897</v>
      </c>
      <c r="N17" s="414"/>
      <c r="O17" s="414">
        <f>+'Appendix A'!$H$217</f>
        <v>1.2886315634837897</v>
      </c>
      <c r="P17" s="414"/>
      <c r="Q17" s="414">
        <f>+'Appendix A'!$H$217</f>
        <v>1.2886315634837897</v>
      </c>
      <c r="R17" s="414"/>
      <c r="S17" s="414">
        <f>+'Appendix A'!$H$217</f>
        <v>1.2886315634837897</v>
      </c>
      <c r="T17" s="414"/>
      <c r="U17" s="414">
        <f>+'Appendix A'!$H$217</f>
        <v>1.2886315634837897</v>
      </c>
      <c r="V17" s="414"/>
      <c r="W17" s="414">
        <f>+'Appendix A'!$H$217</f>
        <v>1.2886315634837897</v>
      </c>
      <c r="X17" s="414"/>
      <c r="Y17" s="414">
        <f>+'Appendix A'!$H$217</f>
        <v>1.2886315634837897</v>
      </c>
    </row>
    <row r="18" spans="1:25" ht="40.5" x14ac:dyDescent="0.3">
      <c r="A18" s="266">
        <f t="shared" si="0"/>
        <v>9</v>
      </c>
      <c r="B18" s="266" t="s">
        <v>799</v>
      </c>
      <c r="C18" s="268" t="str">
        <f>"(Line "&amp;A14&amp;" * Line "&amp;A15&amp;" * Line "&amp;A16&amp;" * Line "&amp;A17&amp;" )"</f>
        <v>(Line 5 * Line 6 * Line 7 * Line 8 )</v>
      </c>
      <c r="E18" s="308">
        <f>+SUM(G18:Y18)</f>
        <v>0</v>
      </c>
      <c r="F18" s="308"/>
      <c r="G18" s="308">
        <f>+G14*G15*G16*G17</f>
        <v>0</v>
      </c>
      <c r="H18" s="308"/>
      <c r="I18" s="308">
        <f>+I14*I15*I16*I17</f>
        <v>0</v>
      </c>
      <c r="J18" s="308"/>
      <c r="K18" s="308">
        <f>+K14*K15*K16*K17</f>
        <v>0</v>
      </c>
      <c r="L18" s="308"/>
      <c r="M18" s="308">
        <f>+M14*M15*M16*M17</f>
        <v>0</v>
      </c>
      <c r="N18" s="308"/>
      <c r="O18" s="308">
        <f>+O14*O15*O16*O17</f>
        <v>0</v>
      </c>
      <c r="P18" s="308"/>
      <c r="Q18" s="308">
        <f>+Q14*Q15*Q16*Q17</f>
        <v>0</v>
      </c>
      <c r="R18" s="308"/>
      <c r="S18" s="308">
        <f>+S14*S15*S16*S17</f>
        <v>0</v>
      </c>
      <c r="T18" s="308"/>
      <c r="U18" s="308">
        <f>+U14*U15*U16*U17</f>
        <v>0</v>
      </c>
      <c r="V18" s="308"/>
      <c r="W18" s="308">
        <f>+W14*W15*W16*W17</f>
        <v>0</v>
      </c>
      <c r="X18" s="308"/>
      <c r="Y18" s="308">
        <f>+Y14*Y15*Y16*Y17</f>
        <v>0</v>
      </c>
    </row>
    <row r="19" spans="1:25" x14ac:dyDescent="0.3">
      <c r="G19" s="329"/>
      <c r="H19" s="329"/>
      <c r="I19" s="329"/>
      <c r="J19" s="329"/>
      <c r="K19" s="329"/>
      <c r="L19" s="329"/>
      <c r="M19" s="329"/>
      <c r="N19" s="329"/>
      <c r="O19" s="329"/>
      <c r="P19" s="329"/>
      <c r="Q19" s="329"/>
      <c r="R19" s="329"/>
      <c r="S19" s="329"/>
      <c r="T19" s="329"/>
      <c r="U19" s="329"/>
      <c r="V19" s="329"/>
      <c r="W19" s="329"/>
      <c r="X19" s="329"/>
      <c r="Y19" s="329"/>
    </row>
    <row r="20" spans="1:25" ht="60.75" x14ac:dyDescent="0.3">
      <c r="B20" s="39" t="s">
        <v>800</v>
      </c>
    </row>
  </sheetData>
  <pageMargins left="0.7" right="0.7" top="0.75" bottom="0.75" header="0.3" footer="0.3"/>
  <pageSetup scale="50" orientation="landscape" verticalDpi="0"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pageSetUpPr fitToPage="1"/>
  </sheetPr>
  <dimension ref="A1:Y101"/>
  <sheetViews>
    <sheetView topLeftCell="A18" zoomScaleNormal="100" zoomScaleSheetLayoutView="80" workbookViewId="0">
      <selection activeCell="I30" sqref="I30"/>
    </sheetView>
  </sheetViews>
  <sheetFormatPr defaultColWidth="9.140625" defaultRowHeight="15" x14ac:dyDescent="0.2"/>
  <cols>
    <col min="1" max="1" width="5.5703125" style="475" customWidth="1"/>
    <col min="2" max="2" width="35.5703125" style="475" customWidth="1"/>
    <col min="3" max="3" width="17.140625" style="475" customWidth="1"/>
    <col min="4" max="4" width="11.7109375" style="475" customWidth="1"/>
    <col min="5" max="5" width="15.140625" style="475" bestFit="1" customWidth="1"/>
    <col min="6" max="6" width="6" style="475" customWidth="1"/>
    <col min="7" max="7" width="23.42578125" style="475" customWidth="1"/>
    <col min="8" max="8" width="11.42578125" style="475" customWidth="1"/>
    <col min="9" max="9" width="22.140625" style="475" bestFit="1" customWidth="1"/>
    <col min="10" max="10" width="4.85546875" style="475" customWidth="1"/>
    <col min="11" max="11" width="14" style="475" customWidth="1"/>
    <col min="12" max="12" width="4.85546875" style="475" customWidth="1"/>
    <col min="13" max="13" width="13.42578125" style="475" bestFit="1" customWidth="1"/>
    <col min="14" max="14" width="4.5703125" style="475" customWidth="1"/>
    <col min="15" max="15" width="14.28515625" style="475" customWidth="1"/>
    <col min="16" max="16" width="4.28515625" style="475" customWidth="1"/>
    <col min="17" max="17" width="13.140625" style="475" customWidth="1"/>
    <col min="18" max="18" width="3.7109375" style="475" customWidth="1"/>
    <col min="19" max="19" width="15.28515625" style="475" customWidth="1"/>
    <col min="20" max="20" width="4.7109375" style="475" customWidth="1"/>
    <col min="21" max="21" width="13.140625" style="475" customWidth="1"/>
    <col min="22" max="22" width="4.7109375" style="475" customWidth="1"/>
    <col min="23" max="23" width="13.28515625" style="475" customWidth="1"/>
    <col min="24" max="24" width="4.5703125" style="475" customWidth="1"/>
    <col min="25" max="25" width="14.28515625" style="475" customWidth="1"/>
    <col min="26" max="16384" width="9.140625" style="475"/>
  </cols>
  <sheetData>
    <row r="1" spans="1:25" ht="15.75" x14ac:dyDescent="0.25">
      <c r="K1" s="594" t="str">
        <f>+'7A - Project ROE Adder'!J1</f>
        <v>Dayton Power and Light</v>
      </c>
    </row>
    <row r="2" spans="1:25" ht="15.75" x14ac:dyDescent="0.25">
      <c r="K2" s="594" t="str">
        <f>+'7A - Project ROE Adder'!J2</f>
        <v>ATTACHMENT H-15A, Effective April 17, 2024; Docket No. ER24-1268</v>
      </c>
    </row>
    <row r="3" spans="1:25" ht="15.75" x14ac:dyDescent="0.25">
      <c r="E3" s="595"/>
      <c r="F3" s="595"/>
      <c r="G3" s="595"/>
      <c r="H3" s="595"/>
      <c r="I3" s="595"/>
      <c r="J3" s="595"/>
      <c r="K3" s="596" t="s">
        <v>801</v>
      </c>
      <c r="L3" s="595"/>
      <c r="M3" s="595"/>
      <c r="N3" s="595"/>
      <c r="O3" s="595"/>
      <c r="P3" s="595"/>
      <c r="Q3" s="595"/>
      <c r="R3" s="595"/>
      <c r="S3" s="595"/>
      <c r="Y3" s="597"/>
    </row>
    <row r="5" spans="1:25" x14ac:dyDescent="0.2">
      <c r="B5" s="475" t="s">
        <v>411</v>
      </c>
    </row>
    <row r="6" spans="1:25" ht="15.75" x14ac:dyDescent="0.25">
      <c r="A6" s="598"/>
      <c r="B6" s="599" t="s">
        <v>802</v>
      </c>
      <c r="D6" s="598"/>
      <c r="J6" s="600"/>
      <c r="K6" s="601"/>
      <c r="N6" s="600"/>
      <c r="O6" s="600"/>
      <c r="P6" s="600"/>
    </row>
    <row r="7" spans="1:25" x14ac:dyDescent="0.2">
      <c r="G7" s="598" t="s">
        <v>786</v>
      </c>
      <c r="I7" s="598" t="s">
        <v>787</v>
      </c>
      <c r="K7" s="598" t="s">
        <v>788</v>
      </c>
      <c r="M7" s="598" t="s">
        <v>789</v>
      </c>
      <c r="O7" s="598" t="s">
        <v>790</v>
      </c>
      <c r="Q7" s="598" t="s">
        <v>791</v>
      </c>
      <c r="S7" s="598" t="s">
        <v>792</v>
      </c>
      <c r="U7" s="598" t="s">
        <v>793</v>
      </c>
      <c r="W7" s="598" t="s">
        <v>794</v>
      </c>
      <c r="Y7" s="598" t="s">
        <v>795</v>
      </c>
    </row>
    <row r="8" spans="1:25" ht="83.25" customHeight="1" x14ac:dyDescent="0.2">
      <c r="A8" s="602" t="s">
        <v>780</v>
      </c>
      <c r="E8" s="603" t="s">
        <v>69</v>
      </c>
      <c r="G8" s="604" t="s">
        <v>803</v>
      </c>
      <c r="I8" s="605" t="s">
        <v>796</v>
      </c>
      <c r="K8" s="605" t="s">
        <v>796</v>
      </c>
      <c r="M8" s="605" t="s">
        <v>796</v>
      </c>
      <c r="O8" s="605" t="s">
        <v>796</v>
      </c>
      <c r="Q8" s="605" t="s">
        <v>796</v>
      </c>
      <c r="S8" s="605" t="s">
        <v>796</v>
      </c>
      <c r="U8" s="605" t="s">
        <v>796</v>
      </c>
      <c r="W8" s="605" t="s">
        <v>796</v>
      </c>
      <c r="Y8" s="605" t="s">
        <v>796</v>
      </c>
    </row>
    <row r="9" spans="1:25" x14ac:dyDescent="0.2">
      <c r="B9" s="475" t="s">
        <v>804</v>
      </c>
      <c r="G9" s="606" t="s">
        <v>805</v>
      </c>
      <c r="I9" s="595"/>
      <c r="K9" s="595"/>
      <c r="M9" s="595"/>
      <c r="O9" s="595"/>
      <c r="Q9" s="595"/>
      <c r="S9" s="595"/>
      <c r="U9" s="595"/>
      <c r="W9" s="595"/>
      <c r="Y9" s="595"/>
    </row>
    <row r="10" spans="1:25" x14ac:dyDescent="0.2">
      <c r="A10" s="475">
        <v>1</v>
      </c>
      <c r="B10" s="475" t="s">
        <v>24</v>
      </c>
      <c r="C10" s="485" t="str">
        <f>"(Attachment 4, Line "&amp;'4 - Cost Support'!A296&amp;" etc.)"</f>
        <v>(Attachment 4, Line 118 etc.)</v>
      </c>
      <c r="E10" s="607"/>
      <c r="F10" s="607"/>
      <c r="G10" s="497">
        <f>+'4 - Cost Support'!T296</f>
        <v>20192146.349999998</v>
      </c>
      <c r="H10" s="485"/>
      <c r="I10" s="485">
        <f>+'4 - Cost Support'!T301</f>
        <v>0</v>
      </c>
      <c r="J10" s="485"/>
      <c r="K10" s="485">
        <f>+'4 - Cost Support'!T306</f>
        <v>0</v>
      </c>
      <c r="L10" s="485"/>
      <c r="M10" s="485">
        <f>+'4 - Cost Support'!T311</f>
        <v>0</v>
      </c>
      <c r="N10" s="485"/>
      <c r="O10" s="485">
        <f>+'4 - Cost Support'!T316</f>
        <v>0</v>
      </c>
      <c r="P10" s="485"/>
      <c r="Q10" s="485">
        <f>+'4 - Cost Support'!T321</f>
        <v>0</v>
      </c>
      <c r="R10" s="485"/>
      <c r="S10" s="485">
        <f>+'4 - Cost Support'!T326</f>
        <v>0</v>
      </c>
      <c r="T10" s="485"/>
      <c r="U10" s="485">
        <f>+'4 - Cost Support'!T331</f>
        <v>0</v>
      </c>
      <c r="V10" s="485"/>
      <c r="W10" s="485">
        <f>+'4 - Cost Support'!T336</f>
        <v>0</v>
      </c>
      <c r="X10" s="485"/>
      <c r="Y10" s="485">
        <f>+'4 - Cost Support'!T341</f>
        <v>0</v>
      </c>
    </row>
    <row r="11" spans="1:25" x14ac:dyDescent="0.2">
      <c r="A11" s="475">
        <f>+A10+1</f>
        <v>2</v>
      </c>
      <c r="B11" s="608" t="s">
        <v>33</v>
      </c>
      <c r="C11" s="609" t="str">
        <f>"(Attachment 4, Line "&amp;'4 - Cost Support'!A297&amp;" etc.)"</f>
        <v>(Attachment 4, Line 119 etc.)</v>
      </c>
      <c r="D11" s="608"/>
      <c r="E11" s="610"/>
      <c r="F11" s="610"/>
      <c r="G11" s="611">
        <f>+'4 - Cost Support'!T297</f>
        <v>1033943.7110476394</v>
      </c>
      <c r="H11" s="609"/>
      <c r="I11" s="609">
        <f>+'4 - Cost Support'!T302</f>
        <v>0</v>
      </c>
      <c r="J11" s="609"/>
      <c r="K11" s="609">
        <f>+'4 - Cost Support'!T307</f>
        <v>0</v>
      </c>
      <c r="L11" s="609"/>
      <c r="M11" s="609">
        <f>+'4 - Cost Support'!T312</f>
        <v>0</v>
      </c>
      <c r="N11" s="609"/>
      <c r="O11" s="609">
        <f>+'4 - Cost Support'!T317</f>
        <v>0</v>
      </c>
      <c r="P11" s="609"/>
      <c r="Q11" s="609">
        <f>+'4 - Cost Support'!T322</f>
        <v>0</v>
      </c>
      <c r="R11" s="609"/>
      <c r="S11" s="609">
        <f>+'4 - Cost Support'!T327</f>
        <v>0</v>
      </c>
      <c r="T11" s="609"/>
      <c r="U11" s="609">
        <f>+'4 - Cost Support'!T332</f>
        <v>0</v>
      </c>
      <c r="V11" s="609"/>
      <c r="W11" s="609">
        <f>+'4 - Cost Support'!T337</f>
        <v>0</v>
      </c>
      <c r="X11" s="609"/>
      <c r="Y11" s="609">
        <f>+'4 - Cost Support'!T342</f>
        <v>0</v>
      </c>
    </row>
    <row r="12" spans="1:25" x14ac:dyDescent="0.2">
      <c r="A12" s="475">
        <f>+A11+1</f>
        <v>3</v>
      </c>
      <c r="B12" s="475" t="s">
        <v>18</v>
      </c>
      <c r="C12" s="475" t="str">
        <f>"(Line "&amp;A10&amp;" + "&amp;A11&amp;")"</f>
        <v>(Line 1 + 2)</v>
      </c>
      <c r="E12" s="607"/>
      <c r="F12" s="607"/>
      <c r="G12" s="485">
        <f>+G10-G11</f>
        <v>19158202.63895236</v>
      </c>
      <c r="H12" s="485"/>
      <c r="I12" s="485">
        <f>+I10-I11</f>
        <v>0</v>
      </c>
      <c r="J12" s="485"/>
      <c r="K12" s="485">
        <f>+K10-K11</f>
        <v>0</v>
      </c>
      <c r="L12" s="485"/>
      <c r="M12" s="485">
        <f>+M10-M11</f>
        <v>0</v>
      </c>
      <c r="N12" s="485"/>
      <c r="O12" s="485">
        <f>+O10-O11</f>
        <v>0</v>
      </c>
      <c r="P12" s="485"/>
      <c r="Q12" s="485">
        <f>+Q10-Q11</f>
        <v>0</v>
      </c>
      <c r="R12" s="485"/>
      <c r="S12" s="485">
        <f>+S10-S11</f>
        <v>0</v>
      </c>
      <c r="T12" s="485"/>
      <c r="U12" s="485">
        <f>+U10-U11</f>
        <v>0</v>
      </c>
      <c r="V12" s="485"/>
      <c r="W12" s="485">
        <f>+W10-W11</f>
        <v>0</v>
      </c>
      <c r="X12" s="485"/>
      <c r="Y12" s="485">
        <f>+Y10-Y11</f>
        <v>0</v>
      </c>
    </row>
    <row r="14" spans="1:25" ht="30" x14ac:dyDescent="0.2">
      <c r="A14" s="475">
        <f>+A12+1</f>
        <v>4</v>
      </c>
      <c r="B14" s="612" t="s">
        <v>806</v>
      </c>
      <c r="C14" s="609" t="str">
        <f>"(Appendix A, Line "&amp;'Appendix A'!A275&amp;")"</f>
        <v>(Appendix A, Line 163)</v>
      </c>
      <c r="D14" s="608"/>
      <c r="E14" s="608"/>
      <c r="F14" s="608"/>
      <c r="G14" s="613">
        <f>+'Appendix A'!$H$275</f>
        <v>0.16817583897041669</v>
      </c>
      <c r="H14" s="613"/>
      <c r="I14" s="613">
        <f>+'Appendix A'!$H$275</f>
        <v>0.16817583897041669</v>
      </c>
      <c r="J14" s="613"/>
      <c r="K14" s="613">
        <f>+'Appendix A'!$H$275</f>
        <v>0.16817583897041669</v>
      </c>
      <c r="L14" s="613"/>
      <c r="M14" s="613">
        <f>+'Appendix A'!$H$275</f>
        <v>0.16817583897041669</v>
      </c>
      <c r="N14" s="613"/>
      <c r="O14" s="613">
        <f>+'Appendix A'!$H$275</f>
        <v>0.16817583897041669</v>
      </c>
      <c r="P14" s="613"/>
      <c r="Q14" s="613">
        <f>+'Appendix A'!$H$275</f>
        <v>0.16817583897041669</v>
      </c>
      <c r="R14" s="613"/>
      <c r="S14" s="613">
        <f>+'Appendix A'!$H$275</f>
        <v>0.16817583897041669</v>
      </c>
      <c r="T14" s="613"/>
      <c r="U14" s="613">
        <f>+'Appendix A'!$H$275</f>
        <v>0.16817583897041669</v>
      </c>
      <c r="V14" s="613"/>
      <c r="W14" s="613">
        <f>+'Appendix A'!$H$275</f>
        <v>0.16817583897041669</v>
      </c>
      <c r="X14" s="613"/>
      <c r="Y14" s="613">
        <f>+'Appendix A'!$H$275</f>
        <v>0.16817583897041669</v>
      </c>
    </row>
    <row r="15" spans="1:25" ht="30" x14ac:dyDescent="0.2">
      <c r="A15" s="475">
        <f>+A14+1</f>
        <v>5</v>
      </c>
      <c r="B15" s="501" t="s">
        <v>807</v>
      </c>
      <c r="C15" s="475" t="str">
        <f>"(Line "&amp;A12&amp;" * Line "&amp;A14&amp;")"</f>
        <v>(Line 3 * Line 4)</v>
      </c>
      <c r="E15" s="485"/>
      <c r="F15" s="485"/>
      <c r="G15" s="485">
        <f>+G12*G14</f>
        <v>3221946.8019710639</v>
      </c>
      <c r="H15" s="485"/>
      <c r="I15" s="485">
        <f>+I12*I14</f>
        <v>0</v>
      </c>
      <c r="J15" s="485"/>
      <c r="K15" s="485">
        <f>+K12*K14</f>
        <v>0</v>
      </c>
      <c r="L15" s="485"/>
      <c r="M15" s="485">
        <f>+M12*M14</f>
        <v>0</v>
      </c>
      <c r="N15" s="485"/>
      <c r="O15" s="485">
        <f>+O12*O14</f>
        <v>0</v>
      </c>
      <c r="P15" s="485"/>
      <c r="Q15" s="485">
        <f>+Q12*Q14</f>
        <v>0</v>
      </c>
      <c r="R15" s="485"/>
      <c r="S15" s="485">
        <f>+S12*S14</f>
        <v>0</v>
      </c>
      <c r="T15" s="485"/>
      <c r="U15" s="485">
        <f>+U12*U14</f>
        <v>0</v>
      </c>
      <c r="V15" s="485"/>
      <c r="W15" s="485">
        <f>+W12*W14</f>
        <v>0</v>
      </c>
      <c r="X15" s="485"/>
      <c r="Y15" s="485">
        <f>+Y12*Y14</f>
        <v>0</v>
      </c>
    </row>
    <row r="16" spans="1:25" x14ac:dyDescent="0.2">
      <c r="A16" s="475">
        <f>+A15+1</f>
        <v>6</v>
      </c>
      <c r="B16" s="475" t="s">
        <v>718</v>
      </c>
      <c r="C16" s="485" t="str">
        <f>"(Attachment 4, Line "&amp;'4 - Cost Support'!A298&amp;" etc.)"</f>
        <v>(Attachment 4, Line 120 etc.)</v>
      </c>
      <c r="E16" s="485"/>
      <c r="F16" s="485"/>
      <c r="G16" s="497">
        <f>+'4 - Cost Support'!T298</f>
        <v>363040.69875736319</v>
      </c>
      <c r="H16" s="485"/>
      <c r="I16" s="485">
        <f>+'4 - Cost Support'!T303</f>
        <v>0</v>
      </c>
      <c r="J16" s="485"/>
      <c r="K16" s="485">
        <f>+'4 - Cost Support'!T308</f>
        <v>0</v>
      </c>
      <c r="L16" s="485"/>
      <c r="M16" s="485">
        <f>+'4 - Cost Support'!T313</f>
        <v>0</v>
      </c>
      <c r="N16" s="485"/>
      <c r="O16" s="485">
        <f>+'4 - Cost Support'!T318</f>
        <v>0</v>
      </c>
      <c r="P16" s="485"/>
      <c r="Q16" s="485">
        <f>+'4 - Cost Support'!T323</f>
        <v>0</v>
      </c>
      <c r="R16" s="485"/>
      <c r="S16" s="485">
        <f>+'4 - Cost Support'!T328</f>
        <v>0</v>
      </c>
      <c r="T16" s="485"/>
      <c r="U16" s="485">
        <f>+'4 - Cost Support'!T333</f>
        <v>0</v>
      </c>
      <c r="V16" s="485"/>
      <c r="W16" s="485">
        <f>+'4 - Cost Support'!T338</f>
        <v>0</v>
      </c>
      <c r="X16" s="485"/>
      <c r="Y16" s="485">
        <f>+'4 - Cost Support'!T343</f>
        <v>0</v>
      </c>
    </row>
    <row r="17" spans="1:25" x14ac:dyDescent="0.2">
      <c r="A17" s="475">
        <f>+A16+1</f>
        <v>7</v>
      </c>
      <c r="B17" s="608" t="s">
        <v>808</v>
      </c>
      <c r="C17" s="608" t="s">
        <v>809</v>
      </c>
      <c r="D17" s="608"/>
      <c r="E17" s="609"/>
      <c r="F17" s="609"/>
      <c r="G17" s="611">
        <v>0</v>
      </c>
      <c r="H17" s="609"/>
      <c r="I17" s="611">
        <v>0</v>
      </c>
      <c r="J17" s="609"/>
      <c r="K17" s="611">
        <v>0</v>
      </c>
      <c r="L17" s="609"/>
      <c r="M17" s="611">
        <v>0</v>
      </c>
      <c r="N17" s="609"/>
      <c r="O17" s="611">
        <v>0</v>
      </c>
      <c r="P17" s="609"/>
      <c r="Q17" s="611">
        <v>0</v>
      </c>
      <c r="R17" s="609"/>
      <c r="S17" s="611">
        <v>0</v>
      </c>
      <c r="T17" s="609"/>
      <c r="U17" s="611">
        <v>0</v>
      </c>
      <c r="V17" s="609"/>
      <c r="W17" s="611">
        <v>0</v>
      </c>
      <c r="X17" s="609"/>
      <c r="Y17" s="611">
        <v>0</v>
      </c>
    </row>
    <row r="18" spans="1:25" x14ac:dyDescent="0.2">
      <c r="E18" s="485"/>
      <c r="F18" s="485"/>
      <c r="G18" s="485"/>
      <c r="H18" s="485"/>
      <c r="I18" s="485"/>
      <c r="J18" s="485"/>
      <c r="K18" s="485"/>
      <c r="L18" s="485"/>
      <c r="M18" s="485"/>
      <c r="N18" s="485"/>
      <c r="O18" s="485"/>
      <c r="P18" s="485"/>
      <c r="Q18" s="485"/>
      <c r="R18" s="485"/>
      <c r="S18" s="485"/>
      <c r="T18" s="485"/>
      <c r="U18" s="485"/>
      <c r="V18" s="485"/>
      <c r="W18" s="485"/>
      <c r="X18" s="485"/>
      <c r="Y18" s="485"/>
    </row>
    <row r="19" spans="1:25" ht="15.75" x14ac:dyDescent="0.25">
      <c r="A19" s="475">
        <f>+A17+1</f>
        <v>8</v>
      </c>
      <c r="B19" s="475" t="s">
        <v>810</v>
      </c>
      <c r="C19" s="475" t="str">
        <f>"(Line "&amp;A15&amp;" + Line "&amp;A16&amp;" + Line "&amp;A17&amp;")"</f>
        <v>(Line 5 + Line 6 + Line 7)</v>
      </c>
      <c r="E19" s="614">
        <f>+SUM(G19:Y19)</f>
        <v>3584987.500728427</v>
      </c>
      <c r="F19" s="485"/>
      <c r="G19" s="485">
        <f>+G15+G16+ G17</f>
        <v>3584987.500728427</v>
      </c>
      <c r="H19" s="485"/>
      <c r="I19" s="485">
        <f>+I15+I16+ I17</f>
        <v>0</v>
      </c>
      <c r="J19" s="485"/>
      <c r="K19" s="485">
        <f>+K15+K16+ K17</f>
        <v>0</v>
      </c>
      <c r="L19" s="485"/>
      <c r="M19" s="485">
        <f>+M15+M16+ M17</f>
        <v>0</v>
      </c>
      <c r="N19" s="485"/>
      <c r="O19" s="485">
        <f>+O15+O16+ O17</f>
        <v>0</v>
      </c>
      <c r="P19" s="485"/>
      <c r="Q19" s="485">
        <f>+Q15+Q16+ Q17</f>
        <v>0</v>
      </c>
      <c r="R19" s="485"/>
      <c r="S19" s="485">
        <f>+S15+S16+ S17</f>
        <v>0</v>
      </c>
      <c r="T19" s="485"/>
      <c r="U19" s="485">
        <f>+U15+U16+ U17</f>
        <v>0</v>
      </c>
      <c r="V19" s="485"/>
      <c r="W19" s="485">
        <f>+W15+W16+ W17</f>
        <v>0</v>
      </c>
      <c r="X19" s="485"/>
      <c r="Y19" s="485">
        <f>+Y15+Y16+ Y17</f>
        <v>0</v>
      </c>
    </row>
    <row r="20" spans="1:25" x14ac:dyDescent="0.2">
      <c r="E20" s="485"/>
      <c r="F20" s="485"/>
      <c r="G20" s="485"/>
      <c r="H20" s="485"/>
      <c r="I20" s="485"/>
      <c r="J20" s="485"/>
      <c r="K20" s="485"/>
      <c r="L20" s="485"/>
      <c r="M20" s="485"/>
      <c r="N20" s="485"/>
      <c r="O20" s="485"/>
      <c r="P20" s="485"/>
      <c r="Q20" s="485"/>
      <c r="R20" s="485"/>
      <c r="S20" s="485"/>
      <c r="T20" s="485"/>
      <c r="U20" s="485"/>
      <c r="V20" s="485"/>
      <c r="W20" s="485"/>
      <c r="X20" s="485"/>
      <c r="Y20" s="485"/>
    </row>
    <row r="21" spans="1:25" ht="89.25" x14ac:dyDescent="0.2">
      <c r="A21" s="475">
        <f>+A19+1</f>
        <v>9</v>
      </c>
      <c r="B21" s="501" t="s">
        <v>811</v>
      </c>
      <c r="C21" s="615" t="str">
        <f>"(Attachment 6B, Line "&amp;'6B - Schedule 12 True-Up'!B40&amp;") and below"</f>
        <v>(Attachment 6B, Line E) and below</v>
      </c>
      <c r="E21" s="609">
        <f>+G21+I21</f>
        <v>-878748.41520000005</v>
      </c>
      <c r="F21" s="485"/>
      <c r="G21" s="611">
        <f>+-902129+M39+8628</f>
        <v>-878748.41520000005</v>
      </c>
      <c r="H21" s="633" t="s">
        <v>1027</v>
      </c>
      <c r="I21" s="611">
        <v>0</v>
      </c>
      <c r="J21" s="485"/>
      <c r="K21" s="609">
        <f>+K19/$E$19*$E$21</f>
        <v>0</v>
      </c>
      <c r="L21" s="485"/>
      <c r="M21" s="609">
        <f>+M19/$E$19*$E$21</f>
        <v>0</v>
      </c>
      <c r="N21" s="485"/>
      <c r="O21" s="609">
        <f>+O19/$E$19*$E$21</f>
        <v>0</v>
      </c>
      <c r="P21" s="485"/>
      <c r="Q21" s="609">
        <f>+Q19/$E$19*$E$21</f>
        <v>0</v>
      </c>
      <c r="R21" s="485"/>
      <c r="S21" s="609">
        <f>+S19/$E$19*$E$21</f>
        <v>0</v>
      </c>
      <c r="T21" s="485"/>
      <c r="U21" s="609">
        <f>+U19/$E$19*$E$21</f>
        <v>0</v>
      </c>
      <c r="V21" s="485"/>
      <c r="W21" s="609">
        <f>+W19/$E$19*$E$21</f>
        <v>0</v>
      </c>
      <c r="X21" s="485"/>
      <c r="Y21" s="609">
        <f>+Y19/$E$19*$E$21</f>
        <v>0</v>
      </c>
    </row>
    <row r="22" spans="1:25" ht="15.75" thickBot="1" x14ac:dyDescent="0.25">
      <c r="B22" s="475" t="s">
        <v>812</v>
      </c>
      <c r="E22" s="485"/>
      <c r="F22" s="485"/>
      <c r="G22" s="485"/>
      <c r="H22" s="485"/>
      <c r="I22" s="485"/>
      <c r="J22" s="485"/>
      <c r="K22" s="485"/>
      <c r="L22" s="485"/>
      <c r="M22" s="485"/>
      <c r="N22" s="485"/>
      <c r="O22" s="485"/>
      <c r="P22" s="485"/>
      <c r="Q22" s="485"/>
      <c r="R22" s="485"/>
      <c r="S22" s="485"/>
      <c r="T22" s="485"/>
      <c r="U22" s="485"/>
      <c r="V22" s="485"/>
      <c r="W22" s="485"/>
      <c r="X22" s="485"/>
      <c r="Y22" s="485"/>
    </row>
    <row r="23" spans="1:25" ht="16.5" thickBot="1" x14ac:dyDescent="0.3">
      <c r="A23" s="475">
        <f>+A21+1</f>
        <v>10</v>
      </c>
      <c r="B23" s="475" t="s">
        <v>813</v>
      </c>
      <c r="C23" s="475" t="str">
        <f>"(Line "&amp;A19&amp;" + Line "&amp;A21&amp;")"</f>
        <v>(Line 8 + Line 9)</v>
      </c>
      <c r="E23" s="614">
        <f>+E19+E21</f>
        <v>2706239.0855284268</v>
      </c>
      <c r="F23" s="485"/>
      <c r="G23" s="616">
        <f>+G19+G21</f>
        <v>2706239.0855284268</v>
      </c>
      <c r="H23" s="617"/>
      <c r="I23" s="618">
        <f>+I19+I21</f>
        <v>0</v>
      </c>
      <c r="J23" s="485"/>
      <c r="K23" s="485">
        <f>+K19+K21</f>
        <v>0</v>
      </c>
      <c r="L23" s="485"/>
      <c r="M23" s="485">
        <f>+M19+M21</f>
        <v>0</v>
      </c>
      <c r="N23" s="485"/>
      <c r="O23" s="485">
        <f>+O19+O21</f>
        <v>0</v>
      </c>
      <c r="P23" s="485"/>
      <c r="Q23" s="485">
        <f>+Q19+Q21</f>
        <v>0</v>
      </c>
      <c r="R23" s="485"/>
      <c r="S23" s="485">
        <f>+S19+S21</f>
        <v>0</v>
      </c>
      <c r="T23" s="485"/>
      <c r="U23" s="485">
        <f>+U19+U21</f>
        <v>0</v>
      </c>
      <c r="V23" s="485"/>
      <c r="W23" s="485">
        <f>+W19+W21</f>
        <v>0</v>
      </c>
      <c r="X23" s="485"/>
      <c r="Y23" s="485">
        <f>+Y19+Y21</f>
        <v>0</v>
      </c>
    </row>
    <row r="24" spans="1:25" x14ac:dyDescent="0.2">
      <c r="B24" s="475" t="s">
        <v>814</v>
      </c>
    </row>
    <row r="26" spans="1:25" x14ac:dyDescent="0.2">
      <c r="A26" s="475">
        <f>+A23+1</f>
        <v>11</v>
      </c>
      <c r="B26" s="475" t="s">
        <v>815</v>
      </c>
      <c r="G26" s="619">
        <v>0</v>
      </c>
      <c r="H26" s="620"/>
      <c r="I26" s="619">
        <v>1</v>
      </c>
      <c r="J26" s="620"/>
      <c r="K26" s="619">
        <v>0</v>
      </c>
      <c r="L26" s="620"/>
      <c r="M26" s="619">
        <v>0</v>
      </c>
      <c r="N26" s="620"/>
      <c r="O26" s="619">
        <v>0</v>
      </c>
      <c r="P26" s="620"/>
      <c r="Q26" s="619">
        <v>0</v>
      </c>
      <c r="R26" s="620"/>
      <c r="S26" s="619">
        <v>0</v>
      </c>
      <c r="T26" s="620"/>
      <c r="U26" s="619">
        <v>0</v>
      </c>
      <c r="V26" s="620"/>
      <c r="W26" s="619">
        <v>0</v>
      </c>
      <c r="X26" s="620"/>
      <c r="Y26" s="619">
        <v>0</v>
      </c>
    </row>
    <row r="28" spans="1:25" ht="15.75" x14ac:dyDescent="0.25">
      <c r="A28" s="475">
        <f>+A26+1</f>
        <v>12</v>
      </c>
      <c r="B28" s="475" t="s">
        <v>816</v>
      </c>
      <c r="C28" s="475" t="str">
        <f>"(Line "&amp;A23&amp;" * Line "&amp;A26&amp;")"</f>
        <v>(Line 10 * Line 11)</v>
      </c>
      <c r="E28" s="614">
        <f>+SUM(G28:Y28)</f>
        <v>0</v>
      </c>
      <c r="G28" s="600">
        <f>+G23*G26</f>
        <v>0</v>
      </c>
      <c r="H28" s="600"/>
      <c r="I28" s="600">
        <f>+I23*I26</f>
        <v>0</v>
      </c>
      <c r="J28" s="600"/>
      <c r="K28" s="600">
        <f>+K23*K26</f>
        <v>0</v>
      </c>
      <c r="L28" s="600"/>
      <c r="M28" s="600">
        <f>+M23*M26</f>
        <v>0</v>
      </c>
      <c r="N28" s="600"/>
      <c r="O28" s="600">
        <f>+O23*O26</f>
        <v>0</v>
      </c>
      <c r="P28" s="600"/>
      <c r="Q28" s="600">
        <f>+Q23*Q26</f>
        <v>0</v>
      </c>
      <c r="R28" s="600"/>
      <c r="S28" s="600">
        <f>+S23*S26</f>
        <v>0</v>
      </c>
      <c r="T28" s="600"/>
      <c r="U28" s="600">
        <f>+U23*U26</f>
        <v>0</v>
      </c>
      <c r="V28" s="600"/>
      <c r="W28" s="600">
        <f>+W23*W26</f>
        <v>0</v>
      </c>
      <c r="X28" s="600"/>
      <c r="Y28" s="600">
        <f>+Y23*Y26</f>
        <v>0</v>
      </c>
    </row>
    <row r="29" spans="1:25" x14ac:dyDescent="0.2">
      <c r="G29" s="501"/>
      <c r="I29" s="501"/>
    </row>
    <row r="32" spans="1:25" x14ac:dyDescent="0.2">
      <c r="B32" s="475" t="s">
        <v>817</v>
      </c>
    </row>
    <row r="33" spans="1:15" x14ac:dyDescent="0.2">
      <c r="G33" s="595"/>
      <c r="H33" s="595"/>
      <c r="I33" s="621">
        <v>2022</v>
      </c>
      <c r="J33" s="621"/>
      <c r="K33" s="621">
        <v>2023</v>
      </c>
      <c r="L33" s="595"/>
      <c r="M33" s="621" t="s">
        <v>69</v>
      </c>
      <c r="N33" s="595"/>
      <c r="O33" s="595"/>
    </row>
    <row r="34" spans="1:15" x14ac:dyDescent="0.2">
      <c r="A34" s="475">
        <f>+A28+1</f>
        <v>13</v>
      </c>
      <c r="G34" s="595" t="s">
        <v>196</v>
      </c>
      <c r="H34" s="595"/>
      <c r="I34" s="622">
        <v>-12305</v>
      </c>
      <c r="J34" s="595"/>
      <c r="K34" s="622">
        <v>25529</v>
      </c>
      <c r="L34" s="595"/>
      <c r="M34" s="622">
        <f>+I34+K34</f>
        <v>13224</v>
      </c>
      <c r="N34" s="595"/>
      <c r="O34" s="595"/>
    </row>
    <row r="35" spans="1:15" x14ac:dyDescent="0.2">
      <c r="A35" s="475">
        <f>+A34+1</f>
        <v>14</v>
      </c>
      <c r="G35" s="595"/>
      <c r="H35" s="595"/>
      <c r="I35" s="595"/>
      <c r="J35" s="595"/>
      <c r="K35" s="623">
        <v>1</v>
      </c>
      <c r="L35" s="595"/>
      <c r="M35" s="623"/>
      <c r="N35" s="595"/>
      <c r="O35" s="595"/>
    </row>
    <row r="36" spans="1:15" x14ac:dyDescent="0.2">
      <c r="A36" s="475">
        <f t="shared" ref="A36:A39" si="0">+A35+1</f>
        <v>15</v>
      </c>
      <c r="G36" s="595" t="s">
        <v>761</v>
      </c>
      <c r="H36" s="595"/>
      <c r="I36" s="624">
        <f>+I99</f>
        <v>6.2138888888888903E-3</v>
      </c>
      <c r="J36" s="595"/>
      <c r="K36" s="624">
        <f>+I100</f>
        <v>6.9875000000000033E-3</v>
      </c>
      <c r="L36" s="595"/>
      <c r="M36" s="595"/>
      <c r="N36" s="595"/>
      <c r="O36" s="595"/>
    </row>
    <row r="37" spans="1:15" ht="30" x14ac:dyDescent="0.2">
      <c r="A37" s="475">
        <f t="shared" si="0"/>
        <v>16</v>
      </c>
      <c r="G37" s="496" t="s">
        <v>818</v>
      </c>
      <c r="H37" s="595"/>
      <c r="I37" s="497">
        <v>36</v>
      </c>
      <c r="J37" s="595"/>
      <c r="K37" s="497">
        <v>24</v>
      </c>
      <c r="L37" s="595"/>
      <c r="M37" s="595"/>
      <c r="N37" s="595"/>
      <c r="O37" s="595"/>
    </row>
    <row r="38" spans="1:15" x14ac:dyDescent="0.2">
      <c r="A38" s="475">
        <f t="shared" si="0"/>
        <v>17</v>
      </c>
      <c r="G38" s="595" t="s">
        <v>819</v>
      </c>
      <c r="H38" s="595"/>
      <c r="I38" s="625">
        <f>+I34*I36*I37</f>
        <v>-2752.6285000000007</v>
      </c>
      <c r="J38" s="595"/>
      <c r="K38" s="625">
        <f>+K34*K36*K37</f>
        <v>4281.2133000000013</v>
      </c>
      <c r="L38" s="595"/>
      <c r="M38" s="625">
        <f>+I38+K38</f>
        <v>1528.5848000000005</v>
      </c>
      <c r="N38" s="595"/>
      <c r="O38" s="595"/>
    </row>
    <row r="39" spans="1:15" ht="30" x14ac:dyDescent="0.2">
      <c r="A39" s="475">
        <f t="shared" si="0"/>
        <v>18</v>
      </c>
      <c r="G39" s="496" t="s">
        <v>820</v>
      </c>
      <c r="H39" s="595"/>
      <c r="I39" s="622">
        <f>+I34+I38</f>
        <v>-15057.628500000001</v>
      </c>
      <c r="J39" s="595"/>
      <c r="K39" s="622">
        <f>+K34+K38</f>
        <v>29810.213300000003</v>
      </c>
      <c r="L39" s="595"/>
      <c r="M39" s="622">
        <f>+I39+K39</f>
        <v>14752.584800000002</v>
      </c>
      <c r="N39" s="595"/>
      <c r="O39" s="595"/>
    </row>
    <row r="42" spans="1:15" x14ac:dyDescent="0.2">
      <c r="G42" s="595" t="s">
        <v>821</v>
      </c>
      <c r="H42" s="595"/>
      <c r="I42" s="595"/>
    </row>
    <row r="43" spans="1:15" x14ac:dyDescent="0.2">
      <c r="G43" s="626">
        <v>44743</v>
      </c>
      <c r="H43" s="628"/>
      <c r="I43" s="624">
        <v>3.0999999999999999E-3</v>
      </c>
    </row>
    <row r="44" spans="1:15" x14ac:dyDescent="0.2">
      <c r="G44" s="626">
        <v>44774</v>
      </c>
      <c r="H44" s="628"/>
      <c r="I44" s="624">
        <v>3.0999999999999999E-3</v>
      </c>
    </row>
    <row r="45" spans="1:15" x14ac:dyDescent="0.2">
      <c r="G45" s="626">
        <v>44805</v>
      </c>
      <c r="H45" s="628"/>
      <c r="I45" s="624">
        <v>3.0000000000000001E-3</v>
      </c>
    </row>
    <row r="46" spans="1:15" x14ac:dyDescent="0.2">
      <c r="G46" s="626">
        <v>44836</v>
      </c>
      <c r="H46" s="628"/>
      <c r="I46" s="624">
        <v>4.1999999999999997E-3</v>
      </c>
    </row>
    <row r="47" spans="1:15" x14ac:dyDescent="0.2">
      <c r="G47" s="626">
        <v>44867</v>
      </c>
      <c r="H47" s="628"/>
      <c r="I47" s="624">
        <v>4.0000000000000001E-3</v>
      </c>
    </row>
    <row r="48" spans="1:15" x14ac:dyDescent="0.2">
      <c r="G48" s="626">
        <v>44898</v>
      </c>
      <c r="H48" s="628"/>
      <c r="I48" s="624">
        <v>4.1999999999999997E-3</v>
      </c>
    </row>
    <row r="49" spans="7:9" x14ac:dyDescent="0.2">
      <c r="G49" s="626">
        <v>44929</v>
      </c>
      <c r="H49" s="628"/>
      <c r="I49" s="624">
        <v>5.4000000000000003E-3</v>
      </c>
    </row>
    <row r="50" spans="7:9" x14ac:dyDescent="0.2">
      <c r="G50" s="626">
        <v>44960</v>
      </c>
      <c r="H50" s="628"/>
      <c r="I50" s="624">
        <v>4.7999999999999996E-3</v>
      </c>
    </row>
    <row r="51" spans="7:9" x14ac:dyDescent="0.2">
      <c r="G51" s="626">
        <v>44991</v>
      </c>
      <c r="H51" s="628"/>
      <c r="I51" s="624">
        <v>5.4000000000000003E-3</v>
      </c>
    </row>
    <row r="52" spans="7:9" x14ac:dyDescent="0.2">
      <c r="G52" s="626">
        <v>45022</v>
      </c>
      <c r="H52" s="628"/>
      <c r="I52" s="624">
        <v>6.1999999999999998E-3</v>
      </c>
    </row>
    <row r="53" spans="7:9" x14ac:dyDescent="0.2">
      <c r="G53" s="626">
        <v>45053</v>
      </c>
      <c r="H53" s="628"/>
      <c r="I53" s="624">
        <v>6.4000000000000003E-3</v>
      </c>
    </row>
    <row r="54" spans="7:9" x14ac:dyDescent="0.2">
      <c r="G54" s="626">
        <v>45084</v>
      </c>
      <c r="H54" s="628"/>
      <c r="I54" s="624">
        <v>6.1999999999999998E-3</v>
      </c>
    </row>
    <row r="55" spans="7:9" x14ac:dyDescent="0.2">
      <c r="G55" s="626">
        <v>45115</v>
      </c>
      <c r="H55" s="628"/>
      <c r="I55" s="624">
        <v>6.7999999999999996E-3</v>
      </c>
    </row>
    <row r="56" spans="7:9" x14ac:dyDescent="0.2">
      <c r="G56" s="626">
        <v>45146</v>
      </c>
      <c r="H56" s="628"/>
      <c r="I56" s="624">
        <v>6.7999999999999996E-3</v>
      </c>
    </row>
    <row r="57" spans="7:9" x14ac:dyDescent="0.2">
      <c r="G57" s="626">
        <v>45177</v>
      </c>
      <c r="H57" s="628"/>
      <c r="I57" s="624">
        <v>6.6E-3</v>
      </c>
    </row>
    <row r="58" spans="7:9" x14ac:dyDescent="0.2">
      <c r="G58" s="626">
        <v>45208</v>
      </c>
      <c r="H58" s="628"/>
      <c r="I58" s="624">
        <v>7.1000000000000004E-3</v>
      </c>
    </row>
    <row r="59" spans="7:9" x14ac:dyDescent="0.2">
      <c r="G59" s="626">
        <v>45239</v>
      </c>
      <c r="H59" s="628"/>
      <c r="I59" s="624">
        <v>6.8999999999999999E-3</v>
      </c>
    </row>
    <row r="60" spans="7:9" x14ac:dyDescent="0.2">
      <c r="G60" s="626">
        <v>45270</v>
      </c>
      <c r="H60" s="628"/>
      <c r="I60" s="624">
        <v>7.1000000000000004E-3</v>
      </c>
    </row>
    <row r="61" spans="7:9" x14ac:dyDescent="0.2">
      <c r="G61" s="626">
        <v>45301</v>
      </c>
      <c r="H61" s="628"/>
      <c r="I61" s="624">
        <v>7.1999999999999998E-3</v>
      </c>
    </row>
    <row r="62" spans="7:9" x14ac:dyDescent="0.2">
      <c r="G62" s="626">
        <v>45332</v>
      </c>
      <c r="H62" s="628"/>
      <c r="I62" s="624">
        <v>6.7999999999999996E-3</v>
      </c>
    </row>
    <row r="63" spans="7:9" x14ac:dyDescent="0.2">
      <c r="G63" s="626">
        <v>45363</v>
      </c>
      <c r="H63" s="628"/>
      <c r="I63" s="624">
        <v>7.1999999999999998E-3</v>
      </c>
    </row>
    <row r="64" spans="7:9" x14ac:dyDescent="0.2">
      <c r="G64" s="626">
        <v>45394</v>
      </c>
      <c r="H64" s="628"/>
      <c r="I64" s="624">
        <v>7.0000000000000001E-3</v>
      </c>
    </row>
    <row r="65" spans="7:9" x14ac:dyDescent="0.2">
      <c r="G65" s="626">
        <v>45425</v>
      </c>
      <c r="H65" s="628"/>
      <c r="I65" s="624">
        <v>7.1999999999999998E-3</v>
      </c>
    </row>
    <row r="66" spans="7:9" x14ac:dyDescent="0.2">
      <c r="G66" s="626">
        <v>45456</v>
      </c>
      <c r="H66" s="628"/>
      <c r="I66" s="624">
        <v>7.0000000000000001E-3</v>
      </c>
    </row>
    <row r="67" spans="7:9" x14ac:dyDescent="0.2">
      <c r="G67" s="626">
        <v>45487</v>
      </c>
      <c r="H67" s="628"/>
      <c r="I67" s="624">
        <v>7.0000000000000001E-3</v>
      </c>
    </row>
    <row r="68" spans="7:9" x14ac:dyDescent="0.2">
      <c r="G68" s="626">
        <v>45518</v>
      </c>
      <c r="H68" s="628"/>
      <c r="I68" s="624">
        <v>7.0000000000000001E-3</v>
      </c>
    </row>
    <row r="69" spans="7:9" x14ac:dyDescent="0.2">
      <c r="G69" s="626">
        <v>45549</v>
      </c>
      <c r="H69" s="628"/>
      <c r="I69" s="624">
        <v>7.0000000000000001E-3</v>
      </c>
    </row>
    <row r="70" spans="7:9" x14ac:dyDescent="0.2">
      <c r="G70" s="626">
        <v>45580</v>
      </c>
      <c r="H70" s="628"/>
      <c r="I70" s="624">
        <v>7.0000000000000001E-3</v>
      </c>
    </row>
    <row r="71" spans="7:9" x14ac:dyDescent="0.2">
      <c r="G71" s="626">
        <v>45611</v>
      </c>
      <c r="H71" s="628"/>
      <c r="I71" s="624">
        <v>7.0000000000000001E-3</v>
      </c>
    </row>
    <row r="72" spans="7:9" x14ac:dyDescent="0.2">
      <c r="G72" s="626">
        <v>45642</v>
      </c>
      <c r="H72" s="628"/>
      <c r="I72" s="624">
        <v>7.0000000000000001E-3</v>
      </c>
    </row>
    <row r="73" spans="7:9" x14ac:dyDescent="0.2">
      <c r="G73" s="626">
        <v>45673</v>
      </c>
      <c r="H73" s="628"/>
      <c r="I73" s="624">
        <v>7.0000000000000001E-3</v>
      </c>
    </row>
    <row r="74" spans="7:9" x14ac:dyDescent="0.2">
      <c r="G74" s="626">
        <v>45704</v>
      </c>
      <c r="H74" s="628"/>
      <c r="I74" s="624">
        <v>7.0000000000000001E-3</v>
      </c>
    </row>
    <row r="75" spans="7:9" x14ac:dyDescent="0.2">
      <c r="G75" s="626">
        <v>45735</v>
      </c>
      <c r="H75" s="628"/>
      <c r="I75" s="624">
        <v>7.0000000000000001E-3</v>
      </c>
    </row>
    <row r="76" spans="7:9" x14ac:dyDescent="0.2">
      <c r="G76" s="626">
        <v>45766</v>
      </c>
      <c r="H76" s="628"/>
      <c r="I76" s="624">
        <v>7.0000000000000001E-3</v>
      </c>
    </row>
    <row r="77" spans="7:9" x14ac:dyDescent="0.2">
      <c r="G77" s="626">
        <v>45797</v>
      </c>
      <c r="H77" s="628"/>
      <c r="I77" s="624">
        <v>7.0000000000000001E-3</v>
      </c>
    </row>
    <row r="78" spans="7:9" x14ac:dyDescent="0.2">
      <c r="G78" s="626">
        <v>45828</v>
      </c>
      <c r="H78" s="628"/>
      <c r="I78" s="624">
        <v>7.0000000000000001E-3</v>
      </c>
    </row>
    <row r="79" spans="7:9" x14ac:dyDescent="0.2">
      <c r="G79" s="626"/>
      <c r="H79" s="595"/>
      <c r="I79" s="624"/>
    </row>
    <row r="80" spans="7:9" x14ac:dyDescent="0.2">
      <c r="G80" s="626"/>
      <c r="H80" s="595"/>
      <c r="I80" s="624"/>
    </row>
    <row r="81" spans="7:9" x14ac:dyDescent="0.2">
      <c r="G81" s="626"/>
      <c r="H81" s="595"/>
      <c r="I81" s="624"/>
    </row>
    <row r="82" spans="7:9" x14ac:dyDescent="0.2">
      <c r="G82" s="626"/>
      <c r="H82" s="595"/>
      <c r="I82" s="624"/>
    </row>
    <row r="83" spans="7:9" x14ac:dyDescent="0.2">
      <c r="G83" s="626"/>
      <c r="H83" s="595"/>
      <c r="I83" s="624"/>
    </row>
    <row r="84" spans="7:9" x14ac:dyDescent="0.2">
      <c r="G84" s="626"/>
      <c r="H84" s="595"/>
      <c r="I84" s="624"/>
    </row>
    <row r="85" spans="7:9" x14ac:dyDescent="0.2">
      <c r="G85" s="626"/>
      <c r="H85" s="595"/>
      <c r="I85" s="624"/>
    </row>
    <row r="86" spans="7:9" x14ac:dyDescent="0.2">
      <c r="G86" s="626"/>
      <c r="H86" s="595"/>
      <c r="I86" s="624"/>
    </row>
    <row r="87" spans="7:9" x14ac:dyDescent="0.2">
      <c r="G87" s="626"/>
      <c r="H87" s="595"/>
      <c r="I87" s="624"/>
    </row>
    <row r="88" spans="7:9" x14ac:dyDescent="0.2">
      <c r="G88" s="626"/>
      <c r="H88" s="595"/>
      <c r="I88" s="624"/>
    </row>
    <row r="89" spans="7:9" x14ac:dyDescent="0.2">
      <c r="G89" s="626"/>
      <c r="H89" s="595"/>
      <c r="I89" s="624"/>
    </row>
    <row r="90" spans="7:9" x14ac:dyDescent="0.2">
      <c r="G90" s="626"/>
      <c r="H90" s="595"/>
      <c r="I90" s="624"/>
    </row>
    <row r="91" spans="7:9" x14ac:dyDescent="0.2">
      <c r="G91" s="626"/>
      <c r="H91" s="595"/>
      <c r="I91" s="624"/>
    </row>
    <row r="92" spans="7:9" x14ac:dyDescent="0.2">
      <c r="G92" s="626"/>
      <c r="H92" s="595"/>
      <c r="I92" s="624"/>
    </row>
    <row r="93" spans="7:9" x14ac:dyDescent="0.2">
      <c r="G93" s="626"/>
      <c r="H93" s="595"/>
      <c r="I93" s="624"/>
    </row>
    <row r="94" spans="7:9" x14ac:dyDescent="0.2">
      <c r="G94" s="626"/>
      <c r="H94" s="595"/>
      <c r="I94" s="624"/>
    </row>
    <row r="95" spans="7:9" x14ac:dyDescent="0.2">
      <c r="G95" s="626"/>
      <c r="H95" s="595"/>
      <c r="I95" s="624"/>
    </row>
    <row r="96" spans="7:9" x14ac:dyDescent="0.2">
      <c r="G96" s="626"/>
      <c r="H96" s="595"/>
      <c r="I96" s="624"/>
    </row>
    <row r="97" spans="1:23" x14ac:dyDescent="0.2">
      <c r="G97" s="626"/>
      <c r="H97" s="595"/>
      <c r="I97" s="624"/>
    </row>
    <row r="98" spans="1:23" x14ac:dyDescent="0.2">
      <c r="G98" s="626"/>
      <c r="H98" s="595"/>
      <c r="I98" s="624"/>
    </row>
    <row r="99" spans="1:23" x14ac:dyDescent="0.2">
      <c r="G99" s="595" t="s">
        <v>528</v>
      </c>
      <c r="H99" s="595"/>
      <c r="I99" s="624">
        <f>+AVERAGE(I43:I78)</f>
        <v>6.2138888888888903E-3</v>
      </c>
    </row>
    <row r="100" spans="1:23" x14ac:dyDescent="0.2">
      <c r="G100" s="595" t="s">
        <v>1043</v>
      </c>
      <c r="H100" s="595"/>
      <c r="I100" s="624">
        <f>+AVERAGE(I55:I78)</f>
        <v>6.9875000000000033E-3</v>
      </c>
    </row>
    <row r="101" spans="1:23" x14ac:dyDescent="0.2">
      <c r="A101" s="595"/>
      <c r="B101" s="595"/>
      <c r="C101" s="595"/>
      <c r="D101" s="595"/>
      <c r="E101" s="595"/>
      <c r="F101" s="595"/>
      <c r="G101" s="595"/>
      <c r="H101" s="595"/>
      <c r="I101" s="595"/>
      <c r="J101" s="595"/>
      <c r="K101" s="595"/>
      <c r="L101" s="595"/>
      <c r="M101" s="595"/>
      <c r="N101" s="595"/>
      <c r="O101" s="595"/>
      <c r="P101" s="595"/>
      <c r="Q101" s="595"/>
      <c r="R101" s="595"/>
      <c r="S101" s="595"/>
      <c r="T101" s="595"/>
      <c r="U101" s="595"/>
      <c r="V101" s="595"/>
      <c r="W101" s="595"/>
    </row>
  </sheetData>
  <pageMargins left="0.7" right="0.7" top="0.75" bottom="0.75" header="0.3" footer="0.3"/>
  <pageSetup scale="49" orientation="landscape" verticalDpi="0"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pageSetUpPr fitToPage="1"/>
  </sheetPr>
  <dimension ref="A1:G46"/>
  <sheetViews>
    <sheetView zoomScaleNormal="100" zoomScaleSheetLayoutView="80" workbookViewId="0">
      <selection activeCell="H11" sqref="H11"/>
    </sheetView>
  </sheetViews>
  <sheetFormatPr defaultColWidth="9.140625" defaultRowHeight="20.25" x14ac:dyDescent="0.3"/>
  <cols>
    <col min="1" max="1" width="40.140625" style="266" customWidth="1"/>
    <col min="2" max="2" width="57.42578125" style="266" customWidth="1"/>
    <col min="3" max="3" width="21.5703125" style="266" customWidth="1"/>
    <col min="4" max="4" width="9" style="329" bestFit="1" customWidth="1"/>
    <col min="5" max="5" width="7.140625" style="266" bestFit="1" customWidth="1"/>
    <col min="6" max="6" width="19.42578125" style="266" customWidth="1"/>
    <col min="7" max="16384" width="9.140625" style="266"/>
  </cols>
  <sheetData>
    <row r="1" spans="1:7" x14ac:dyDescent="0.3">
      <c r="B1" s="302" t="s">
        <v>0</v>
      </c>
    </row>
    <row r="2" spans="1:7" x14ac:dyDescent="0.3">
      <c r="B2" s="302" t="str">
        <f>+'Appendix A'!A4</f>
        <v>ATTACHMENT H-15A, Effective April 17, 2024; Docket No. ER24-1268</v>
      </c>
    </row>
    <row r="3" spans="1:7" x14ac:dyDescent="0.3">
      <c r="B3" s="302" t="s">
        <v>822</v>
      </c>
    </row>
    <row r="4" spans="1:7" ht="21.75" customHeight="1" x14ac:dyDescent="0.3">
      <c r="B4" s="36">
        <v>46022</v>
      </c>
      <c r="F4" s="299"/>
    </row>
    <row r="6" spans="1:7" x14ac:dyDescent="0.3">
      <c r="A6" s="641"/>
      <c r="B6" s="641"/>
      <c r="C6" s="641"/>
      <c r="D6" s="641"/>
      <c r="E6" s="641"/>
      <c r="F6" s="641"/>
      <c r="G6" s="641"/>
    </row>
    <row r="7" spans="1:7" x14ac:dyDescent="0.3">
      <c r="A7" s="681"/>
      <c r="B7" s="681"/>
      <c r="C7" s="681"/>
      <c r="D7" s="681"/>
      <c r="E7" s="681"/>
      <c r="F7" s="681"/>
      <c r="G7" s="681"/>
    </row>
    <row r="8" spans="1:7" x14ac:dyDescent="0.3">
      <c r="C8" s="329"/>
    </row>
    <row r="9" spans="1:7" x14ac:dyDescent="0.3">
      <c r="A9" s="201" t="s">
        <v>515</v>
      </c>
      <c r="B9" s="200" t="s">
        <v>823</v>
      </c>
      <c r="C9" s="200" t="s">
        <v>824</v>
      </c>
    </row>
    <row r="10" spans="1:7" x14ac:dyDescent="0.3">
      <c r="A10" s="304"/>
      <c r="B10" s="304"/>
      <c r="C10" s="304"/>
    </row>
    <row r="11" spans="1:7" x14ac:dyDescent="0.3">
      <c r="A11" s="201" t="s">
        <v>825</v>
      </c>
      <c r="C11" s="35"/>
    </row>
    <row r="12" spans="1:7" x14ac:dyDescent="0.3">
      <c r="A12" s="34">
        <v>350</v>
      </c>
      <c r="B12" s="266" t="s">
        <v>826</v>
      </c>
      <c r="C12" s="33" t="s">
        <v>827</v>
      </c>
    </row>
    <row r="13" spans="1:7" x14ac:dyDescent="0.3">
      <c r="A13" s="34">
        <v>352</v>
      </c>
      <c r="B13" s="266" t="s">
        <v>828</v>
      </c>
      <c r="C13" s="32">
        <v>1.9199999999999998E-2</v>
      </c>
    </row>
    <row r="14" spans="1:7" x14ac:dyDescent="0.3">
      <c r="A14" s="34">
        <v>353</v>
      </c>
      <c r="B14" s="266" t="s">
        <v>829</v>
      </c>
      <c r="C14" s="32">
        <v>2.0899999999999998E-2</v>
      </c>
      <c r="E14" s="31"/>
    </row>
    <row r="15" spans="1:7" x14ac:dyDescent="0.3">
      <c r="A15" s="34">
        <v>354</v>
      </c>
      <c r="B15" s="266" t="s">
        <v>830</v>
      </c>
      <c r="C15" s="32">
        <v>1.9199999999999998E-2</v>
      </c>
      <c r="E15" s="31"/>
    </row>
    <row r="16" spans="1:7" x14ac:dyDescent="0.3">
      <c r="A16" s="34">
        <v>355</v>
      </c>
      <c r="B16" s="266" t="s">
        <v>831</v>
      </c>
      <c r="C16" s="32">
        <v>2.4500000000000001E-2</v>
      </c>
      <c r="E16" s="31"/>
    </row>
    <row r="17" spans="1:5" x14ac:dyDescent="0.3">
      <c r="A17" s="34">
        <v>356</v>
      </c>
      <c r="B17" s="266" t="s">
        <v>832</v>
      </c>
      <c r="C17" s="32">
        <v>2.4500000000000001E-2</v>
      </c>
      <c r="E17" s="31"/>
    </row>
    <row r="18" spans="1:5" x14ac:dyDescent="0.3">
      <c r="A18" s="34">
        <v>357</v>
      </c>
      <c r="B18" s="266" t="s">
        <v>833</v>
      </c>
      <c r="C18" s="32">
        <v>1.3299999999999999E-2</v>
      </c>
      <c r="E18" s="31"/>
    </row>
    <row r="19" spans="1:5" x14ac:dyDescent="0.3">
      <c r="A19" s="34">
        <v>358</v>
      </c>
      <c r="B19" s="266" t="s">
        <v>834</v>
      </c>
      <c r="C19" s="32">
        <v>1.8200000000000001E-2</v>
      </c>
      <c r="E19" s="31"/>
    </row>
    <row r="20" spans="1:5" x14ac:dyDescent="0.3">
      <c r="A20" s="34">
        <v>359</v>
      </c>
      <c r="B20" s="266" t="s">
        <v>835</v>
      </c>
      <c r="C20" s="32">
        <v>1.2500000000000001E-2</v>
      </c>
      <c r="E20" s="31"/>
    </row>
    <row r="21" spans="1:5" x14ac:dyDescent="0.3">
      <c r="A21" s="34"/>
      <c r="C21" s="33"/>
      <c r="E21" s="31"/>
    </row>
    <row r="22" spans="1:5" x14ac:dyDescent="0.3">
      <c r="A22" s="30" t="s">
        <v>836</v>
      </c>
      <c r="C22" s="413"/>
      <c r="E22" s="31"/>
    </row>
    <row r="23" spans="1:5" x14ac:dyDescent="0.3">
      <c r="A23" s="34">
        <v>302</v>
      </c>
      <c r="B23" s="266" t="s">
        <v>837</v>
      </c>
      <c r="C23" s="33" t="s">
        <v>827</v>
      </c>
      <c r="E23" s="31"/>
    </row>
    <row r="24" spans="1:5" x14ac:dyDescent="0.3">
      <c r="A24" s="34">
        <v>303</v>
      </c>
      <c r="B24" s="266" t="s">
        <v>838</v>
      </c>
      <c r="C24" s="32">
        <v>0.1429</v>
      </c>
      <c r="E24" s="31"/>
    </row>
    <row r="25" spans="1:5" ht="21.75" customHeight="1" x14ac:dyDescent="0.3">
      <c r="A25" s="29">
        <v>390.1</v>
      </c>
      <c r="B25" s="473" t="s">
        <v>839</v>
      </c>
      <c r="C25" s="32">
        <v>2.2200000000000001E-2</v>
      </c>
      <c r="E25" s="31"/>
    </row>
    <row r="26" spans="1:5" ht="22.5" customHeight="1" x14ac:dyDescent="0.3">
      <c r="A26" s="29">
        <v>390.1</v>
      </c>
      <c r="B26" s="473" t="s">
        <v>840</v>
      </c>
      <c r="C26" s="32">
        <v>2.4400000000000002E-2</v>
      </c>
      <c r="E26" s="31"/>
    </row>
    <row r="27" spans="1:5" x14ac:dyDescent="0.3">
      <c r="A27" s="29" t="s">
        <v>841</v>
      </c>
      <c r="B27" s="329" t="s">
        <v>842</v>
      </c>
      <c r="C27" s="32">
        <v>6.25E-2</v>
      </c>
      <c r="E27" s="31"/>
    </row>
    <row r="28" spans="1:5" x14ac:dyDescent="0.3">
      <c r="A28" s="29" t="s">
        <v>841</v>
      </c>
      <c r="B28" s="329" t="s">
        <v>843</v>
      </c>
      <c r="C28" s="32">
        <v>0.1</v>
      </c>
      <c r="E28" s="31"/>
    </row>
    <row r="29" spans="1:5" x14ac:dyDescent="0.3">
      <c r="A29" s="29" t="s">
        <v>844</v>
      </c>
      <c r="B29" s="329" t="s">
        <v>845</v>
      </c>
      <c r="C29" s="32">
        <v>7.4999999999999997E-2</v>
      </c>
      <c r="E29" s="31"/>
    </row>
    <row r="30" spans="1:5" x14ac:dyDescent="0.3">
      <c r="A30" s="29" t="s">
        <v>844</v>
      </c>
      <c r="B30" s="329" t="s">
        <v>846</v>
      </c>
      <c r="C30" s="32">
        <v>7.4999999999999997E-2</v>
      </c>
      <c r="E30" s="31"/>
    </row>
    <row r="31" spans="1:5" x14ac:dyDescent="0.3">
      <c r="A31" s="29" t="s">
        <v>844</v>
      </c>
      <c r="B31" s="329" t="s">
        <v>847</v>
      </c>
      <c r="C31" s="32">
        <v>7.4999999999999997E-2</v>
      </c>
      <c r="E31" s="31"/>
    </row>
    <row r="32" spans="1:5" x14ac:dyDescent="0.3">
      <c r="A32" s="29" t="s">
        <v>844</v>
      </c>
      <c r="B32" s="329" t="s">
        <v>848</v>
      </c>
      <c r="C32" s="32">
        <v>7.4999999999999997E-2</v>
      </c>
      <c r="E32" s="31"/>
    </row>
    <row r="33" spans="1:5" x14ac:dyDescent="0.3">
      <c r="A33" s="34">
        <v>393</v>
      </c>
      <c r="B33" s="329" t="s">
        <v>849</v>
      </c>
      <c r="C33" s="32">
        <v>0.04</v>
      </c>
    </row>
    <row r="34" spans="1:5" x14ac:dyDescent="0.3">
      <c r="A34" s="34">
        <v>394</v>
      </c>
      <c r="B34" s="329" t="s">
        <v>850</v>
      </c>
      <c r="C34" s="32">
        <v>0.04</v>
      </c>
    </row>
    <row r="35" spans="1:5" x14ac:dyDescent="0.3">
      <c r="A35" s="34">
        <v>395</v>
      </c>
      <c r="B35" s="329" t="s">
        <v>851</v>
      </c>
      <c r="C35" s="32">
        <v>0.05</v>
      </c>
    </row>
    <row r="36" spans="1:5" x14ac:dyDescent="0.3">
      <c r="A36" s="34">
        <v>396</v>
      </c>
      <c r="B36" s="329" t="s">
        <v>852</v>
      </c>
      <c r="C36" s="32">
        <v>5.8799999999999998E-2</v>
      </c>
    </row>
    <row r="37" spans="1:5" x14ac:dyDescent="0.3">
      <c r="A37" s="29" t="s">
        <v>853</v>
      </c>
      <c r="B37" s="266" t="s">
        <v>854</v>
      </c>
      <c r="C37" s="32">
        <v>0.05</v>
      </c>
    </row>
    <row r="38" spans="1:5" x14ac:dyDescent="0.3">
      <c r="A38" s="34">
        <v>398</v>
      </c>
      <c r="B38" s="329" t="s">
        <v>855</v>
      </c>
      <c r="C38" s="32">
        <v>0.05</v>
      </c>
    </row>
    <row r="39" spans="1:5" x14ac:dyDescent="0.3">
      <c r="A39" s="34">
        <v>399</v>
      </c>
      <c r="B39" s="329" t="s">
        <v>856</v>
      </c>
      <c r="C39" s="32">
        <v>0</v>
      </c>
    </row>
    <row r="40" spans="1:5" x14ac:dyDescent="0.3">
      <c r="E40" s="28"/>
    </row>
    <row r="41" spans="1:5" x14ac:dyDescent="0.3">
      <c r="A41" s="27" t="s">
        <v>857</v>
      </c>
    </row>
    <row r="42" spans="1:5" x14ac:dyDescent="0.3">
      <c r="A42" s="266" t="s">
        <v>858</v>
      </c>
    </row>
    <row r="43" spans="1:5" x14ac:dyDescent="0.3">
      <c r="A43" s="27"/>
      <c r="C43" s="329"/>
      <c r="D43" s="32"/>
    </row>
    <row r="44" spans="1:5" x14ac:dyDescent="0.3">
      <c r="A44" s="27"/>
    </row>
    <row r="45" spans="1:5" x14ac:dyDescent="0.3">
      <c r="A45" s="682"/>
      <c r="B45" s="683"/>
      <c r="C45" s="683"/>
    </row>
    <row r="46" spans="1:5" x14ac:dyDescent="0.3">
      <c r="A46" s="26"/>
      <c r="B46" s="27"/>
      <c r="C46" s="32"/>
    </row>
  </sheetData>
  <mergeCells count="3">
    <mergeCell ref="A6:G6"/>
    <mergeCell ref="A7:G7"/>
    <mergeCell ref="A45:C45"/>
  </mergeCells>
  <phoneticPr fontId="14" type="noConversion"/>
  <pageMargins left="0.7" right="0.7" top="0.75" bottom="0.75" header="0.3" footer="0.3"/>
  <pageSetup scale="76" orientation="landscape" verticalDpi="0"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tabColor theme="0" tint="-4.9989318521683403E-2"/>
    <pageSetUpPr fitToPage="1"/>
  </sheetPr>
  <dimension ref="A2:AA80"/>
  <sheetViews>
    <sheetView zoomScale="70" zoomScaleNormal="70" zoomScaleSheetLayoutView="80" workbookViewId="0">
      <pane xSplit="2" ySplit="10" topLeftCell="J52" activePane="bottomRight" state="frozen"/>
      <selection pane="topRight" activeCell="C1" sqref="C1"/>
      <selection pane="bottomLeft" activeCell="A11" sqref="A11"/>
      <selection pane="bottomRight" activeCell="X64" activeCellId="1" sqref="X38 X64"/>
    </sheetView>
  </sheetViews>
  <sheetFormatPr defaultColWidth="9.140625" defaultRowHeight="20.25" x14ac:dyDescent="0.3"/>
  <cols>
    <col min="1" max="1" width="7.140625" style="304" customWidth="1"/>
    <col min="2" max="2" width="46" style="266" customWidth="1"/>
    <col min="3" max="4" width="29" style="266" customWidth="1"/>
    <col min="5" max="5" width="34.28515625" style="266" bestFit="1" customWidth="1"/>
    <col min="6" max="6" width="25.28515625" style="266" customWidth="1"/>
    <col min="7" max="7" width="19.7109375" style="266" bestFit="1" customWidth="1"/>
    <col min="8" max="8" width="14.140625" style="266" customWidth="1"/>
    <col min="9" max="9" width="24.5703125" style="266" customWidth="1"/>
    <col min="10" max="10" width="18.7109375" style="266" customWidth="1"/>
    <col min="11" max="11" width="15.7109375" style="266" customWidth="1"/>
    <col min="12" max="12" width="18" style="266" bestFit="1" customWidth="1"/>
    <col min="13" max="13" width="18.5703125" style="266" customWidth="1"/>
    <col min="14" max="14" width="16.7109375" style="266" customWidth="1"/>
    <col min="15" max="15" width="19.85546875" style="266" customWidth="1"/>
    <col min="16" max="16" width="17.140625" style="266" customWidth="1"/>
    <col min="17" max="17" width="17.5703125" style="266" customWidth="1"/>
    <col min="18" max="18" width="18" style="266" bestFit="1" customWidth="1"/>
    <col min="19" max="19" width="18" style="266" customWidth="1"/>
    <col min="20" max="20" width="18" style="266" bestFit="1" customWidth="1"/>
    <col min="21" max="21" width="19.28515625" style="266" customWidth="1"/>
    <col min="22" max="22" width="18" style="266" customWidth="1"/>
    <col min="23" max="23" width="16.85546875" style="266" customWidth="1"/>
    <col min="24" max="24" width="18" style="266" bestFit="1" customWidth="1"/>
    <col min="25" max="25" width="19.5703125" style="266" customWidth="1"/>
    <col min="26" max="26" width="17.5703125" style="266" customWidth="1"/>
    <col min="27" max="16384" width="9.140625" style="266"/>
  </cols>
  <sheetData>
    <row r="2" spans="1:26" x14ac:dyDescent="0.3">
      <c r="I2" s="302" t="str">
        <f>+'Appendix A'!A3</f>
        <v>Dayton Power and Light</v>
      </c>
    </row>
    <row r="3" spans="1:26" x14ac:dyDescent="0.3">
      <c r="I3" s="302" t="str">
        <f>+'Appendix A'!A4</f>
        <v>ATTACHMENT H-15A, Effective April 17, 2024; Docket No. ER24-1268</v>
      </c>
      <c r="P3" s="299"/>
    </row>
    <row r="4" spans="1:26" ht="30" customHeight="1" x14ac:dyDescent="0.3">
      <c r="B4" s="671"/>
      <c r="C4" s="671"/>
      <c r="F4" s="230"/>
      <c r="G4" s="230"/>
      <c r="H4" s="230"/>
      <c r="I4" s="301" t="s">
        <v>859</v>
      </c>
      <c r="J4" s="230"/>
      <c r="K4" s="230"/>
      <c r="L4" s="230"/>
      <c r="M4" s="230"/>
    </row>
    <row r="5" spans="1:26" x14ac:dyDescent="0.3">
      <c r="I5" s="302" t="s">
        <v>860</v>
      </c>
    </row>
    <row r="6" spans="1:26" x14ac:dyDescent="0.3">
      <c r="A6" s="304" t="s">
        <v>411</v>
      </c>
      <c r="I6" s="302"/>
    </row>
    <row r="7" spans="1:26" x14ac:dyDescent="0.3">
      <c r="B7" s="304" t="s">
        <v>861</v>
      </c>
      <c r="C7" s="304" t="s">
        <v>862</v>
      </c>
      <c r="D7" s="304" t="s">
        <v>863</v>
      </c>
      <c r="E7" s="304" t="s">
        <v>864</v>
      </c>
      <c r="F7" s="304" t="s">
        <v>865</v>
      </c>
      <c r="G7" s="304" t="s">
        <v>866</v>
      </c>
      <c r="H7" s="304" t="s">
        <v>867</v>
      </c>
      <c r="I7" s="304" t="s">
        <v>868</v>
      </c>
      <c r="J7" s="304" t="s">
        <v>869</v>
      </c>
      <c r="K7" s="304" t="s">
        <v>870</v>
      </c>
      <c r="L7" s="304" t="s">
        <v>871</v>
      </c>
      <c r="M7" s="304" t="s">
        <v>872</v>
      </c>
      <c r="N7" s="304" t="s">
        <v>873</v>
      </c>
      <c r="O7" s="304" t="s">
        <v>874</v>
      </c>
      <c r="P7" s="304" t="s">
        <v>875</v>
      </c>
      <c r="Q7" s="304" t="s">
        <v>876</v>
      </c>
      <c r="R7" s="304" t="s">
        <v>877</v>
      </c>
      <c r="S7" s="304" t="s">
        <v>878</v>
      </c>
      <c r="T7" s="304" t="s">
        <v>879</v>
      </c>
      <c r="U7" s="304" t="s">
        <v>880</v>
      </c>
      <c r="V7" s="304" t="s">
        <v>881</v>
      </c>
      <c r="W7" s="304" t="s">
        <v>882</v>
      </c>
      <c r="X7" s="304" t="s">
        <v>883</v>
      </c>
      <c r="Y7" s="304" t="s">
        <v>884</v>
      </c>
      <c r="Z7" s="304" t="s">
        <v>885</v>
      </c>
    </row>
    <row r="8" spans="1:26" ht="162" x14ac:dyDescent="0.3">
      <c r="A8" s="200" t="s">
        <v>886</v>
      </c>
      <c r="B8" s="201" t="s">
        <v>823</v>
      </c>
      <c r="C8" s="25" t="s">
        <v>887</v>
      </c>
      <c r="D8" s="25" t="s">
        <v>888</v>
      </c>
      <c r="E8" s="25" t="s">
        <v>889</v>
      </c>
      <c r="F8" s="25" t="s">
        <v>890</v>
      </c>
      <c r="G8" s="25" t="s">
        <v>891</v>
      </c>
      <c r="H8" s="25" t="s">
        <v>892</v>
      </c>
      <c r="I8" s="25" t="s">
        <v>893</v>
      </c>
      <c r="J8" s="25" t="s">
        <v>894</v>
      </c>
      <c r="K8" s="25" t="s">
        <v>895</v>
      </c>
      <c r="L8" s="25" t="s">
        <v>896</v>
      </c>
      <c r="M8" s="25" t="s">
        <v>897</v>
      </c>
      <c r="N8" s="25" t="s">
        <v>898</v>
      </c>
      <c r="O8" s="25" t="s">
        <v>899</v>
      </c>
      <c r="P8" s="25" t="s">
        <v>900</v>
      </c>
      <c r="Q8" s="25" t="s">
        <v>901</v>
      </c>
      <c r="R8" s="25" t="s">
        <v>902</v>
      </c>
      <c r="S8" s="25" t="s">
        <v>903</v>
      </c>
      <c r="T8" s="25" t="s">
        <v>904</v>
      </c>
      <c r="U8" s="25" t="s">
        <v>905</v>
      </c>
      <c r="V8" s="25" t="s">
        <v>906</v>
      </c>
      <c r="W8" s="25" t="s">
        <v>907</v>
      </c>
      <c r="X8" s="25" t="s">
        <v>908</v>
      </c>
      <c r="Y8" s="25" t="s">
        <v>909</v>
      </c>
      <c r="Z8" s="25" t="s">
        <v>910</v>
      </c>
    </row>
    <row r="9" spans="1:26" ht="40.5" x14ac:dyDescent="0.3">
      <c r="B9" s="234" t="s">
        <v>911</v>
      </c>
      <c r="C9" s="198"/>
      <c r="D9" s="198"/>
      <c r="E9" s="307"/>
      <c r="F9" s="307"/>
      <c r="G9" s="307"/>
      <c r="H9" s="307"/>
      <c r="I9" s="307"/>
      <c r="J9" s="307"/>
      <c r="K9" s="307"/>
      <c r="L9" s="307"/>
      <c r="M9" s="307"/>
      <c r="N9" s="307"/>
      <c r="O9" s="307"/>
      <c r="P9" s="307"/>
      <c r="Q9" s="307"/>
      <c r="R9" s="307"/>
      <c r="S9" s="307"/>
      <c r="T9" s="307"/>
      <c r="U9" s="307"/>
      <c r="V9" s="307"/>
      <c r="W9" s="307"/>
      <c r="X9" s="307"/>
      <c r="Y9" s="307"/>
      <c r="Z9" s="307"/>
    </row>
    <row r="10" spans="1:26" x14ac:dyDescent="0.3">
      <c r="E10" s="307"/>
      <c r="F10" s="307"/>
      <c r="G10" s="307"/>
      <c r="H10" s="307"/>
      <c r="I10" s="307"/>
      <c r="J10" s="307"/>
      <c r="K10" s="307"/>
      <c r="L10" s="307"/>
      <c r="M10" s="307"/>
      <c r="N10" s="307"/>
      <c r="O10" s="307"/>
      <c r="P10" s="307"/>
      <c r="Q10" s="307"/>
      <c r="R10" s="307"/>
      <c r="S10" s="307"/>
      <c r="T10" s="307"/>
      <c r="U10" s="307"/>
      <c r="V10" s="307"/>
      <c r="W10" s="307"/>
      <c r="X10" s="307"/>
      <c r="Y10" s="307"/>
      <c r="Z10" s="307"/>
    </row>
    <row r="11" spans="1:26" customFormat="1" ht="15" x14ac:dyDescent="0.2">
      <c r="A11" s="475"/>
      <c r="B11" s="475" t="s">
        <v>912</v>
      </c>
      <c r="C11" s="475"/>
      <c r="D11" s="475"/>
      <c r="E11" s="476"/>
      <c r="F11" s="476"/>
      <c r="G11" s="476"/>
      <c r="H11" s="476"/>
      <c r="I11" s="476"/>
      <c r="J11" s="476"/>
      <c r="K11" s="476"/>
      <c r="L11" s="476"/>
      <c r="M11" s="476"/>
      <c r="N11" s="476"/>
      <c r="O11" s="476"/>
      <c r="P11" s="476"/>
      <c r="Q11" s="476"/>
      <c r="R11" s="476"/>
      <c r="S11" s="476"/>
      <c r="T11" s="476"/>
      <c r="U11" s="476"/>
      <c r="V11" s="476"/>
      <c r="W11" s="476"/>
      <c r="X11" s="476"/>
      <c r="Y11" s="476"/>
      <c r="Z11" s="476"/>
    </row>
    <row r="12" spans="1:26" customFormat="1" ht="15" x14ac:dyDescent="0.2">
      <c r="A12" s="475">
        <v>1</v>
      </c>
      <c r="B12" s="477" t="s">
        <v>913</v>
      </c>
      <c r="C12" s="478">
        <v>639062.5</v>
      </c>
      <c r="D12" s="479">
        <f>+C12*$I$80</f>
        <v>383437.5</v>
      </c>
      <c r="E12" s="479">
        <f>+C12-D12</f>
        <v>255625</v>
      </c>
      <c r="F12" s="478">
        <v>0</v>
      </c>
      <c r="G12" s="479">
        <f>+E12-F12</f>
        <v>255625</v>
      </c>
      <c r="H12" s="480">
        <v>0.14549999999999999</v>
      </c>
      <c r="I12" s="479">
        <f>+G12*H12</f>
        <v>37193.4375</v>
      </c>
      <c r="J12" s="481" t="s">
        <v>914</v>
      </c>
      <c r="K12" s="479">
        <v>0</v>
      </c>
      <c r="L12" s="479">
        <f>+I12-K12</f>
        <v>37193.4375</v>
      </c>
      <c r="M12" s="479">
        <f>+I12/10</f>
        <v>3719.34375</v>
      </c>
      <c r="N12" s="479">
        <f>+L12-M12</f>
        <v>33474.09375</v>
      </c>
      <c r="O12" s="479">
        <f>+I12/10</f>
        <v>3719.34375</v>
      </c>
      <c r="P12" s="479">
        <f>+N12-O12</f>
        <v>29754.75</v>
      </c>
      <c r="Q12" s="479">
        <f>+P12/5</f>
        <v>5950.95</v>
      </c>
      <c r="R12" s="479">
        <f>+P12-Q12</f>
        <v>23803.8</v>
      </c>
      <c r="S12" s="479">
        <f>+$P12/5</f>
        <v>5950.95</v>
      </c>
      <c r="T12" s="479">
        <f>+R12-S12</f>
        <v>17852.849999999999</v>
      </c>
      <c r="U12" s="479">
        <f>+$P12/5</f>
        <v>5950.95</v>
      </c>
      <c r="V12" s="479">
        <f>+T12-U12</f>
        <v>11901.899999999998</v>
      </c>
      <c r="W12" s="479">
        <f>+$P12/5</f>
        <v>5950.95</v>
      </c>
      <c r="X12" s="479">
        <f>+V12-W12</f>
        <v>5950.949999999998</v>
      </c>
      <c r="Y12" s="479">
        <f>+$P12/5</f>
        <v>5950.95</v>
      </c>
      <c r="Z12" s="479">
        <f>+X12-Y12</f>
        <v>0</v>
      </c>
    </row>
    <row r="13" spans="1:26" customFormat="1" ht="15" x14ac:dyDescent="0.2">
      <c r="A13" s="475">
        <f>+A12+1</f>
        <v>2</v>
      </c>
      <c r="B13" s="477" t="s">
        <v>915</v>
      </c>
      <c r="C13" s="482">
        <v>4709475</v>
      </c>
      <c r="D13" s="479">
        <f t="shared" ref="D13:D23" si="0">+C13*$I$80</f>
        <v>2825685</v>
      </c>
      <c r="E13" s="479">
        <f t="shared" ref="E13:E23" si="1">+C13-D13</f>
        <v>1883790</v>
      </c>
      <c r="F13" s="482">
        <v>0</v>
      </c>
      <c r="G13" s="479">
        <f t="shared" ref="G13:G23" si="2">+E13-F13</f>
        <v>1883790</v>
      </c>
      <c r="H13" s="480">
        <v>0.14549999999999999</v>
      </c>
      <c r="I13" s="479">
        <f t="shared" ref="I13:I22" si="3">+G13*H13</f>
        <v>274091.44500000001</v>
      </c>
      <c r="J13" s="483" t="s">
        <v>914</v>
      </c>
      <c r="K13" s="484">
        <v>0</v>
      </c>
      <c r="L13" s="485">
        <f t="shared" ref="L13:L23" si="4">+I13-K13</f>
        <v>274091.44500000001</v>
      </c>
      <c r="M13" s="479">
        <f t="shared" ref="M13:M23" si="5">+I13/10</f>
        <v>27409.144500000002</v>
      </c>
      <c r="N13" s="485">
        <f t="shared" ref="N13:N23" si="6">+L13-M13</f>
        <v>246682.30050000001</v>
      </c>
      <c r="O13" s="479">
        <f t="shared" ref="O13:O23" si="7">+I13/10</f>
        <v>27409.144500000002</v>
      </c>
      <c r="P13" s="485">
        <f t="shared" ref="P13:P23" si="8">+N13-O13</f>
        <v>219273.15600000002</v>
      </c>
      <c r="Q13" s="479">
        <f>+P13/5</f>
        <v>43854.631200000003</v>
      </c>
      <c r="R13" s="485">
        <f t="shared" ref="R13:R23" si="9">+P13-Q13</f>
        <v>175418.52480000001</v>
      </c>
      <c r="S13" s="479">
        <f t="shared" ref="S13:Y23" si="10">+$P13/5</f>
        <v>43854.631200000003</v>
      </c>
      <c r="T13" s="485">
        <f t="shared" ref="T13:T23" si="11">+R13-S13</f>
        <v>131563.89360000001</v>
      </c>
      <c r="U13" s="479">
        <f t="shared" si="10"/>
        <v>43854.631200000003</v>
      </c>
      <c r="V13" s="485">
        <f t="shared" ref="V13:V23" si="12">+T13-U13</f>
        <v>87709.262400000007</v>
      </c>
      <c r="W13" s="479">
        <f t="shared" si="10"/>
        <v>43854.631200000003</v>
      </c>
      <c r="X13" s="485">
        <f t="shared" ref="X13:X23" si="13">+V13-W13</f>
        <v>43854.631200000003</v>
      </c>
      <c r="Y13" s="479">
        <f t="shared" si="10"/>
        <v>43854.631200000003</v>
      </c>
      <c r="Z13" s="485">
        <f t="shared" ref="Z13:Z23" si="14">+X13-Y13</f>
        <v>0</v>
      </c>
    </row>
    <row r="14" spans="1:26" customFormat="1" ht="15" x14ac:dyDescent="0.2">
      <c r="A14" s="475">
        <f t="shared" ref="A14:A23" si="15">+A13+1</f>
        <v>3</v>
      </c>
      <c r="B14" s="477" t="s">
        <v>916</v>
      </c>
      <c r="C14" s="482">
        <v>936285</v>
      </c>
      <c r="D14" s="479">
        <f t="shared" si="0"/>
        <v>561771</v>
      </c>
      <c r="E14" s="479">
        <f t="shared" si="1"/>
        <v>374514</v>
      </c>
      <c r="F14" s="482">
        <v>0</v>
      </c>
      <c r="G14" s="479">
        <f t="shared" si="2"/>
        <v>374514</v>
      </c>
      <c r="H14" s="480">
        <v>0.14549999999999999</v>
      </c>
      <c r="I14" s="479">
        <f t="shared" si="3"/>
        <v>54491.786999999997</v>
      </c>
      <c r="J14" s="481" t="s">
        <v>914</v>
      </c>
      <c r="K14" s="484">
        <v>0</v>
      </c>
      <c r="L14" s="485">
        <f t="shared" si="4"/>
        <v>54491.786999999997</v>
      </c>
      <c r="M14" s="479">
        <f t="shared" si="5"/>
        <v>5449.1786999999995</v>
      </c>
      <c r="N14" s="485">
        <f t="shared" si="6"/>
        <v>49042.6083</v>
      </c>
      <c r="O14" s="479">
        <f t="shared" si="7"/>
        <v>5449.1786999999995</v>
      </c>
      <c r="P14" s="485">
        <f t="shared" si="8"/>
        <v>43593.429600000003</v>
      </c>
      <c r="Q14" s="479">
        <f t="shared" ref="Q14:Q23" si="16">+P14/5</f>
        <v>8718.6859199999999</v>
      </c>
      <c r="R14" s="485">
        <f t="shared" si="9"/>
        <v>34874.74368</v>
      </c>
      <c r="S14" s="479">
        <f t="shared" si="10"/>
        <v>8718.6859199999999</v>
      </c>
      <c r="T14" s="485">
        <f t="shared" si="11"/>
        <v>26156.05776</v>
      </c>
      <c r="U14" s="479">
        <f t="shared" si="10"/>
        <v>8718.6859199999999</v>
      </c>
      <c r="V14" s="485">
        <f t="shared" si="12"/>
        <v>17437.37184</v>
      </c>
      <c r="W14" s="479">
        <f t="shared" si="10"/>
        <v>8718.6859199999999</v>
      </c>
      <c r="X14" s="485">
        <f t="shared" si="13"/>
        <v>8718.6859199999999</v>
      </c>
      <c r="Y14" s="479">
        <f t="shared" si="10"/>
        <v>8718.6859199999999</v>
      </c>
      <c r="Z14" s="485">
        <f t="shared" si="14"/>
        <v>0</v>
      </c>
    </row>
    <row r="15" spans="1:26" customFormat="1" ht="15" x14ac:dyDescent="0.2">
      <c r="A15" s="475">
        <f t="shared" si="15"/>
        <v>4</v>
      </c>
      <c r="B15" s="477" t="s">
        <v>917</v>
      </c>
      <c r="C15" s="482">
        <v>-1766545</v>
      </c>
      <c r="D15" s="479">
        <f t="shared" si="0"/>
        <v>-1059927</v>
      </c>
      <c r="E15" s="479">
        <f t="shared" si="1"/>
        <v>-706618</v>
      </c>
      <c r="F15" s="482">
        <v>0</v>
      </c>
      <c r="G15" s="479">
        <f t="shared" si="2"/>
        <v>-706618</v>
      </c>
      <c r="H15" s="480">
        <v>0.14549999999999999</v>
      </c>
      <c r="I15" s="479">
        <f t="shared" si="3"/>
        <v>-102812.91899999999</v>
      </c>
      <c r="J15" s="483" t="s">
        <v>914</v>
      </c>
      <c r="K15" s="484">
        <v>0</v>
      </c>
      <c r="L15" s="485">
        <f t="shared" si="4"/>
        <v>-102812.91899999999</v>
      </c>
      <c r="M15" s="479">
        <f t="shared" si="5"/>
        <v>-10281.2919</v>
      </c>
      <c r="N15" s="485">
        <f t="shared" si="6"/>
        <v>-92531.627099999998</v>
      </c>
      <c r="O15" s="479">
        <f t="shared" si="7"/>
        <v>-10281.2919</v>
      </c>
      <c r="P15" s="485">
        <f t="shared" si="8"/>
        <v>-82250.335200000001</v>
      </c>
      <c r="Q15" s="479">
        <f t="shared" si="16"/>
        <v>-16450.067040000002</v>
      </c>
      <c r="R15" s="485">
        <f t="shared" si="9"/>
        <v>-65800.268160000007</v>
      </c>
      <c r="S15" s="479">
        <f t="shared" si="10"/>
        <v>-16450.067040000002</v>
      </c>
      <c r="T15" s="485">
        <f t="shared" si="11"/>
        <v>-49350.201120000005</v>
      </c>
      <c r="U15" s="479">
        <f t="shared" si="10"/>
        <v>-16450.067040000002</v>
      </c>
      <c r="V15" s="485">
        <f t="shared" si="12"/>
        <v>-32900.134080000003</v>
      </c>
      <c r="W15" s="479">
        <f t="shared" si="10"/>
        <v>-16450.067040000002</v>
      </c>
      <c r="X15" s="485">
        <f t="shared" si="13"/>
        <v>-16450.067040000002</v>
      </c>
      <c r="Y15" s="479">
        <f t="shared" si="10"/>
        <v>-16450.067040000002</v>
      </c>
      <c r="Z15" s="485">
        <f t="shared" si="14"/>
        <v>0</v>
      </c>
    </row>
    <row r="16" spans="1:26" customFormat="1" ht="15" x14ac:dyDescent="0.2">
      <c r="A16" s="475">
        <f t="shared" si="15"/>
        <v>5</v>
      </c>
      <c r="B16" s="477" t="s">
        <v>918</v>
      </c>
      <c r="C16" s="482">
        <v>1458445</v>
      </c>
      <c r="D16" s="479">
        <f t="shared" si="0"/>
        <v>875067</v>
      </c>
      <c r="E16" s="479">
        <f t="shared" si="1"/>
        <v>583378</v>
      </c>
      <c r="F16" s="482">
        <v>0</v>
      </c>
      <c r="G16" s="479">
        <f t="shared" si="2"/>
        <v>583378</v>
      </c>
      <c r="H16" s="480">
        <v>0.14549999999999999</v>
      </c>
      <c r="I16" s="479">
        <f t="shared" si="3"/>
        <v>84881.498999999996</v>
      </c>
      <c r="J16" s="481" t="s">
        <v>914</v>
      </c>
      <c r="K16" s="484">
        <v>0</v>
      </c>
      <c r="L16" s="485">
        <f t="shared" si="4"/>
        <v>84881.498999999996</v>
      </c>
      <c r="M16" s="479">
        <f t="shared" si="5"/>
        <v>8488.1499000000003</v>
      </c>
      <c r="N16" s="485">
        <f t="shared" si="6"/>
        <v>76393.349099999992</v>
      </c>
      <c r="O16" s="479">
        <f t="shared" si="7"/>
        <v>8488.1499000000003</v>
      </c>
      <c r="P16" s="485">
        <f t="shared" si="8"/>
        <v>67905.199199999988</v>
      </c>
      <c r="Q16" s="479">
        <f t="shared" si="16"/>
        <v>13581.039839999998</v>
      </c>
      <c r="R16" s="485">
        <f t="shared" si="9"/>
        <v>54324.159359999991</v>
      </c>
      <c r="S16" s="479">
        <f t="shared" si="10"/>
        <v>13581.039839999998</v>
      </c>
      <c r="T16" s="485">
        <f t="shared" si="11"/>
        <v>40743.119519999993</v>
      </c>
      <c r="U16" s="479">
        <f t="shared" si="10"/>
        <v>13581.039839999998</v>
      </c>
      <c r="V16" s="485">
        <f t="shared" si="12"/>
        <v>27162.079679999995</v>
      </c>
      <c r="W16" s="479">
        <f t="shared" si="10"/>
        <v>13581.039839999998</v>
      </c>
      <c r="X16" s="485">
        <f t="shared" si="13"/>
        <v>13581.039839999998</v>
      </c>
      <c r="Y16" s="479">
        <f t="shared" si="10"/>
        <v>13581.039839999998</v>
      </c>
      <c r="Z16" s="485">
        <f t="shared" si="14"/>
        <v>0</v>
      </c>
    </row>
    <row r="17" spans="1:26" customFormat="1" ht="15" x14ac:dyDescent="0.2">
      <c r="A17" s="475">
        <f t="shared" si="15"/>
        <v>6</v>
      </c>
      <c r="B17" s="477" t="s">
        <v>919</v>
      </c>
      <c r="C17" s="482">
        <v>937980</v>
      </c>
      <c r="D17" s="479">
        <f t="shared" si="0"/>
        <v>562788</v>
      </c>
      <c r="E17" s="479">
        <f t="shared" si="1"/>
        <v>375192</v>
      </c>
      <c r="F17" s="482">
        <v>0</v>
      </c>
      <c r="G17" s="479">
        <f t="shared" si="2"/>
        <v>375192</v>
      </c>
      <c r="H17" s="480">
        <v>0.14549999999999999</v>
      </c>
      <c r="I17" s="479">
        <f t="shared" si="3"/>
        <v>54590.435999999994</v>
      </c>
      <c r="J17" s="483" t="s">
        <v>914</v>
      </c>
      <c r="K17" s="484">
        <v>0</v>
      </c>
      <c r="L17" s="485">
        <f t="shared" si="4"/>
        <v>54590.435999999994</v>
      </c>
      <c r="M17" s="479">
        <f t="shared" si="5"/>
        <v>5459.0435999999991</v>
      </c>
      <c r="N17" s="485">
        <f t="shared" si="6"/>
        <v>49131.392399999997</v>
      </c>
      <c r="O17" s="479">
        <f t="shared" si="7"/>
        <v>5459.0435999999991</v>
      </c>
      <c r="P17" s="485">
        <f t="shared" si="8"/>
        <v>43672.3488</v>
      </c>
      <c r="Q17" s="479">
        <f t="shared" si="16"/>
        <v>8734.46976</v>
      </c>
      <c r="R17" s="485">
        <f t="shared" si="9"/>
        <v>34937.87904</v>
      </c>
      <c r="S17" s="479">
        <f t="shared" si="10"/>
        <v>8734.46976</v>
      </c>
      <c r="T17" s="485">
        <f t="shared" si="11"/>
        <v>26203.40928</v>
      </c>
      <c r="U17" s="479">
        <f t="shared" si="10"/>
        <v>8734.46976</v>
      </c>
      <c r="V17" s="485">
        <f t="shared" si="12"/>
        <v>17468.93952</v>
      </c>
      <c r="W17" s="479">
        <f t="shared" si="10"/>
        <v>8734.46976</v>
      </c>
      <c r="X17" s="485">
        <f t="shared" si="13"/>
        <v>8734.46976</v>
      </c>
      <c r="Y17" s="479">
        <f t="shared" si="10"/>
        <v>8734.46976</v>
      </c>
      <c r="Z17" s="485">
        <f t="shared" si="14"/>
        <v>0</v>
      </c>
    </row>
    <row r="18" spans="1:26" customFormat="1" ht="15" x14ac:dyDescent="0.2">
      <c r="A18" s="475">
        <f t="shared" si="15"/>
        <v>7</v>
      </c>
      <c r="B18" s="477" t="s">
        <v>920</v>
      </c>
      <c r="C18" s="482">
        <v>1166550</v>
      </c>
      <c r="D18" s="479">
        <f t="shared" si="0"/>
        <v>699930</v>
      </c>
      <c r="E18" s="479">
        <f t="shared" si="1"/>
        <v>466620</v>
      </c>
      <c r="F18" s="482">
        <v>0</v>
      </c>
      <c r="G18" s="479">
        <f t="shared" si="2"/>
        <v>466620</v>
      </c>
      <c r="H18" s="480">
        <v>0.14549999999999999</v>
      </c>
      <c r="I18" s="479">
        <f t="shared" si="3"/>
        <v>67893.209999999992</v>
      </c>
      <c r="J18" s="481" t="s">
        <v>914</v>
      </c>
      <c r="K18" s="484">
        <v>0</v>
      </c>
      <c r="L18" s="485">
        <f t="shared" si="4"/>
        <v>67893.209999999992</v>
      </c>
      <c r="M18" s="479">
        <f t="shared" si="5"/>
        <v>6789.320999999999</v>
      </c>
      <c r="N18" s="485">
        <f t="shared" si="6"/>
        <v>61103.888999999996</v>
      </c>
      <c r="O18" s="479">
        <f t="shared" si="7"/>
        <v>6789.320999999999</v>
      </c>
      <c r="P18" s="485">
        <f t="shared" si="8"/>
        <v>54314.567999999999</v>
      </c>
      <c r="Q18" s="479">
        <f t="shared" si="16"/>
        <v>10862.9136</v>
      </c>
      <c r="R18" s="485">
        <f t="shared" si="9"/>
        <v>43451.654399999999</v>
      </c>
      <c r="S18" s="479">
        <f t="shared" si="10"/>
        <v>10862.9136</v>
      </c>
      <c r="T18" s="485">
        <f t="shared" si="11"/>
        <v>32588.7408</v>
      </c>
      <c r="U18" s="479">
        <f t="shared" si="10"/>
        <v>10862.9136</v>
      </c>
      <c r="V18" s="485">
        <f t="shared" si="12"/>
        <v>21725.8272</v>
      </c>
      <c r="W18" s="479">
        <f t="shared" si="10"/>
        <v>10862.9136</v>
      </c>
      <c r="X18" s="485">
        <f t="shared" si="13"/>
        <v>10862.9136</v>
      </c>
      <c r="Y18" s="479">
        <f t="shared" si="10"/>
        <v>10862.9136</v>
      </c>
      <c r="Z18" s="485">
        <f t="shared" si="14"/>
        <v>0</v>
      </c>
    </row>
    <row r="19" spans="1:26" customFormat="1" ht="15" x14ac:dyDescent="0.2">
      <c r="A19" s="475">
        <f t="shared" si="15"/>
        <v>8</v>
      </c>
      <c r="B19" s="477" t="s">
        <v>921</v>
      </c>
      <c r="C19" s="482">
        <v>369007.5</v>
      </c>
      <c r="D19" s="479">
        <f t="shared" si="0"/>
        <v>221404.5</v>
      </c>
      <c r="E19" s="479">
        <f t="shared" si="1"/>
        <v>147603</v>
      </c>
      <c r="F19" s="482">
        <v>0</v>
      </c>
      <c r="G19" s="479">
        <f t="shared" si="2"/>
        <v>147603</v>
      </c>
      <c r="H19" s="480">
        <v>0.14180000000000001</v>
      </c>
      <c r="I19" s="479">
        <f t="shared" si="3"/>
        <v>20930.1054</v>
      </c>
      <c r="J19" s="483" t="s">
        <v>914</v>
      </c>
      <c r="K19" s="484">
        <v>0</v>
      </c>
      <c r="L19" s="485">
        <f t="shared" si="4"/>
        <v>20930.1054</v>
      </c>
      <c r="M19" s="479">
        <f t="shared" si="5"/>
        <v>2093.0105400000002</v>
      </c>
      <c r="N19" s="485">
        <f t="shared" si="6"/>
        <v>18837.094860000001</v>
      </c>
      <c r="O19" s="479">
        <f t="shared" si="7"/>
        <v>2093.0105400000002</v>
      </c>
      <c r="P19" s="485">
        <f t="shared" si="8"/>
        <v>16744.084320000002</v>
      </c>
      <c r="Q19" s="479">
        <f t="shared" si="16"/>
        <v>3348.8168640000004</v>
      </c>
      <c r="R19" s="485">
        <f t="shared" si="9"/>
        <v>13395.267456000001</v>
      </c>
      <c r="S19" s="479">
        <f t="shared" si="10"/>
        <v>3348.8168640000004</v>
      </c>
      <c r="T19" s="485">
        <f t="shared" si="11"/>
        <v>10046.450592000001</v>
      </c>
      <c r="U19" s="479">
        <f t="shared" si="10"/>
        <v>3348.8168640000004</v>
      </c>
      <c r="V19" s="485">
        <f t="shared" si="12"/>
        <v>6697.6337280000007</v>
      </c>
      <c r="W19" s="479">
        <f t="shared" si="10"/>
        <v>3348.8168640000004</v>
      </c>
      <c r="X19" s="485">
        <f t="shared" si="13"/>
        <v>3348.8168640000004</v>
      </c>
      <c r="Y19" s="479">
        <f t="shared" si="10"/>
        <v>3348.8168640000004</v>
      </c>
      <c r="Z19" s="485">
        <f t="shared" si="14"/>
        <v>0</v>
      </c>
    </row>
    <row r="20" spans="1:26" customFormat="1" ht="15" x14ac:dyDescent="0.2">
      <c r="A20" s="475">
        <f t="shared" si="15"/>
        <v>9</v>
      </c>
      <c r="B20" s="477" t="s">
        <v>922</v>
      </c>
      <c r="C20" s="482">
        <v>0</v>
      </c>
      <c r="D20" s="479">
        <f t="shared" si="0"/>
        <v>0</v>
      </c>
      <c r="E20" s="479">
        <f t="shared" si="1"/>
        <v>0</v>
      </c>
      <c r="F20" s="482">
        <v>0</v>
      </c>
      <c r="G20" s="479">
        <f t="shared" si="2"/>
        <v>0</v>
      </c>
      <c r="H20" s="480">
        <v>0</v>
      </c>
      <c r="I20" s="479">
        <f t="shared" si="3"/>
        <v>0</v>
      </c>
      <c r="J20" s="481" t="s">
        <v>914</v>
      </c>
      <c r="K20" s="484">
        <v>0</v>
      </c>
      <c r="L20" s="485">
        <f t="shared" si="4"/>
        <v>0</v>
      </c>
      <c r="M20" s="479">
        <f t="shared" si="5"/>
        <v>0</v>
      </c>
      <c r="N20" s="485">
        <f t="shared" si="6"/>
        <v>0</v>
      </c>
      <c r="O20" s="479">
        <f t="shared" si="7"/>
        <v>0</v>
      </c>
      <c r="P20" s="485">
        <f t="shared" si="8"/>
        <v>0</v>
      </c>
      <c r="Q20" s="479">
        <f t="shared" si="16"/>
        <v>0</v>
      </c>
      <c r="R20" s="485">
        <f t="shared" si="9"/>
        <v>0</v>
      </c>
      <c r="S20" s="479">
        <f t="shared" si="10"/>
        <v>0</v>
      </c>
      <c r="T20" s="485">
        <f t="shared" si="11"/>
        <v>0</v>
      </c>
      <c r="U20" s="479">
        <f t="shared" si="10"/>
        <v>0</v>
      </c>
      <c r="V20" s="485">
        <f t="shared" si="12"/>
        <v>0</v>
      </c>
      <c r="W20" s="479">
        <f t="shared" si="10"/>
        <v>0</v>
      </c>
      <c r="X20" s="485">
        <f t="shared" si="13"/>
        <v>0</v>
      </c>
      <c r="Y20" s="479">
        <f t="shared" si="10"/>
        <v>0</v>
      </c>
      <c r="Z20" s="485">
        <f t="shared" si="14"/>
        <v>0</v>
      </c>
    </row>
    <row r="21" spans="1:26" customFormat="1" ht="17.45" customHeight="1" x14ac:dyDescent="0.2">
      <c r="A21" s="475">
        <f t="shared" si="15"/>
        <v>10</v>
      </c>
      <c r="B21" s="477" t="s">
        <v>923</v>
      </c>
      <c r="C21" s="482">
        <v>1288335</v>
      </c>
      <c r="D21" s="479">
        <f t="shared" si="0"/>
        <v>773001</v>
      </c>
      <c r="E21" s="479">
        <f t="shared" si="1"/>
        <v>515334</v>
      </c>
      <c r="F21" s="482">
        <v>0</v>
      </c>
      <c r="G21" s="479">
        <f t="shared" si="2"/>
        <v>515334</v>
      </c>
      <c r="H21" s="480">
        <v>0</v>
      </c>
      <c r="I21" s="479">
        <f t="shared" si="3"/>
        <v>0</v>
      </c>
      <c r="J21" s="483" t="s">
        <v>914</v>
      </c>
      <c r="K21" s="484">
        <v>0</v>
      </c>
      <c r="L21" s="485">
        <f t="shared" si="4"/>
        <v>0</v>
      </c>
      <c r="M21" s="479">
        <f t="shared" si="5"/>
        <v>0</v>
      </c>
      <c r="N21" s="485">
        <f t="shared" si="6"/>
        <v>0</v>
      </c>
      <c r="O21" s="479">
        <f t="shared" si="7"/>
        <v>0</v>
      </c>
      <c r="P21" s="485">
        <f t="shared" si="8"/>
        <v>0</v>
      </c>
      <c r="Q21" s="479">
        <f t="shared" si="16"/>
        <v>0</v>
      </c>
      <c r="R21" s="485">
        <f t="shared" si="9"/>
        <v>0</v>
      </c>
      <c r="S21" s="479">
        <f t="shared" si="10"/>
        <v>0</v>
      </c>
      <c r="T21" s="485">
        <f t="shared" si="11"/>
        <v>0</v>
      </c>
      <c r="U21" s="479">
        <f t="shared" si="10"/>
        <v>0</v>
      </c>
      <c r="V21" s="485">
        <f t="shared" si="12"/>
        <v>0</v>
      </c>
      <c r="W21" s="479">
        <f t="shared" si="10"/>
        <v>0</v>
      </c>
      <c r="X21" s="485">
        <f t="shared" si="13"/>
        <v>0</v>
      </c>
      <c r="Y21" s="479">
        <f t="shared" si="10"/>
        <v>0</v>
      </c>
      <c r="Z21" s="485">
        <f t="shared" si="14"/>
        <v>0</v>
      </c>
    </row>
    <row r="22" spans="1:26" customFormat="1" ht="15" x14ac:dyDescent="0.2">
      <c r="A22" s="475">
        <f t="shared" si="15"/>
        <v>11</v>
      </c>
      <c r="B22" s="477" t="s">
        <v>924</v>
      </c>
      <c r="C22" s="482">
        <v>-224000</v>
      </c>
      <c r="D22" s="479">
        <f t="shared" si="0"/>
        <v>-134400</v>
      </c>
      <c r="E22" s="479">
        <f t="shared" si="1"/>
        <v>-89600</v>
      </c>
      <c r="F22" s="482">
        <v>0</v>
      </c>
      <c r="G22" s="479">
        <f t="shared" si="2"/>
        <v>-89600</v>
      </c>
      <c r="H22" s="480">
        <v>0.14549999999999999</v>
      </c>
      <c r="I22" s="479">
        <f t="shared" si="3"/>
        <v>-13036.8</v>
      </c>
      <c r="J22" s="481" t="s">
        <v>914</v>
      </c>
      <c r="K22" s="484">
        <v>0</v>
      </c>
      <c r="L22" s="485">
        <f t="shared" si="4"/>
        <v>-13036.8</v>
      </c>
      <c r="M22" s="479">
        <f t="shared" si="5"/>
        <v>-1303.6799999999998</v>
      </c>
      <c r="N22" s="485">
        <f t="shared" si="6"/>
        <v>-11733.119999999999</v>
      </c>
      <c r="O22" s="479">
        <f t="shared" si="7"/>
        <v>-1303.6799999999998</v>
      </c>
      <c r="P22" s="485">
        <f t="shared" si="8"/>
        <v>-10429.439999999999</v>
      </c>
      <c r="Q22" s="479">
        <f t="shared" si="16"/>
        <v>-2085.8879999999999</v>
      </c>
      <c r="R22" s="485">
        <f t="shared" si="9"/>
        <v>-8343.5519999999997</v>
      </c>
      <c r="S22" s="479">
        <f t="shared" si="10"/>
        <v>-2085.8879999999999</v>
      </c>
      <c r="T22" s="485">
        <f t="shared" si="11"/>
        <v>-6257.6639999999998</v>
      </c>
      <c r="U22" s="479">
        <f t="shared" si="10"/>
        <v>-2085.8879999999999</v>
      </c>
      <c r="V22" s="485">
        <f t="shared" si="12"/>
        <v>-4171.7759999999998</v>
      </c>
      <c r="W22" s="479">
        <f t="shared" si="10"/>
        <v>-2085.8879999999999</v>
      </c>
      <c r="X22" s="485">
        <f t="shared" si="13"/>
        <v>-2085.8879999999999</v>
      </c>
      <c r="Y22" s="479">
        <f t="shared" si="10"/>
        <v>-2085.8879999999999</v>
      </c>
      <c r="Z22" s="485">
        <f t="shared" si="14"/>
        <v>0</v>
      </c>
    </row>
    <row r="23" spans="1:26" customFormat="1" ht="15" x14ac:dyDescent="0.2">
      <c r="A23" s="475">
        <f t="shared" si="15"/>
        <v>12</v>
      </c>
      <c r="B23" s="477" t="s">
        <v>925</v>
      </c>
      <c r="C23" s="486">
        <v>245590</v>
      </c>
      <c r="D23" s="487">
        <f t="shared" si="0"/>
        <v>147354</v>
      </c>
      <c r="E23" s="487">
        <f t="shared" si="1"/>
        <v>98236</v>
      </c>
      <c r="F23" s="486">
        <v>0</v>
      </c>
      <c r="G23" s="487">
        <f t="shared" si="2"/>
        <v>98236</v>
      </c>
      <c r="H23" s="480" t="s">
        <v>926</v>
      </c>
      <c r="I23" s="488">
        <v>15523</v>
      </c>
      <c r="J23" s="483" t="s">
        <v>914</v>
      </c>
      <c r="K23" s="488">
        <v>0</v>
      </c>
      <c r="L23" s="489">
        <f t="shared" si="4"/>
        <v>15523</v>
      </c>
      <c r="M23" s="487">
        <f t="shared" si="5"/>
        <v>1552.3</v>
      </c>
      <c r="N23" s="489">
        <f t="shared" si="6"/>
        <v>13970.7</v>
      </c>
      <c r="O23" s="487">
        <f t="shared" si="7"/>
        <v>1552.3</v>
      </c>
      <c r="P23" s="489">
        <f t="shared" si="8"/>
        <v>12418.400000000001</v>
      </c>
      <c r="Q23" s="487">
        <f t="shared" si="16"/>
        <v>2483.6800000000003</v>
      </c>
      <c r="R23" s="489">
        <f t="shared" si="9"/>
        <v>9934.7200000000012</v>
      </c>
      <c r="S23" s="487">
        <f t="shared" si="10"/>
        <v>2483.6800000000003</v>
      </c>
      <c r="T23" s="489">
        <f t="shared" si="11"/>
        <v>7451.0400000000009</v>
      </c>
      <c r="U23" s="487">
        <f t="shared" si="10"/>
        <v>2483.6800000000003</v>
      </c>
      <c r="V23" s="489">
        <f t="shared" si="12"/>
        <v>4967.3600000000006</v>
      </c>
      <c r="W23" s="487">
        <f t="shared" si="10"/>
        <v>2483.6800000000003</v>
      </c>
      <c r="X23" s="489">
        <f t="shared" si="13"/>
        <v>2483.6800000000003</v>
      </c>
      <c r="Y23" s="487">
        <f t="shared" si="10"/>
        <v>2483.6800000000003</v>
      </c>
      <c r="Z23" s="489">
        <f t="shared" si="14"/>
        <v>0</v>
      </c>
    </row>
    <row r="24" spans="1:26" customFormat="1" ht="15" x14ac:dyDescent="0.2">
      <c r="A24" s="475">
        <f>+A23+1</f>
        <v>13</v>
      </c>
      <c r="B24" s="490" t="s">
        <v>927</v>
      </c>
      <c r="C24" s="491">
        <f>+SUM(C12:C23)</f>
        <v>9760185</v>
      </c>
      <c r="D24" s="491">
        <f>+SUM(D12:D23)</f>
        <v>5856111</v>
      </c>
      <c r="E24" s="491">
        <f>+SUM(E12:E23)</f>
        <v>3904074</v>
      </c>
      <c r="F24" s="491">
        <f>+SUM(F12:F23)</f>
        <v>0</v>
      </c>
      <c r="G24" s="491">
        <f>+SUM(G12:G23)</f>
        <v>3904074</v>
      </c>
      <c r="H24" s="492"/>
      <c r="I24" s="491">
        <f t="shared" ref="I24:Z24" si="17">+SUM(I12:I23)</f>
        <v>493745.2009</v>
      </c>
      <c r="J24" s="491"/>
      <c r="K24" s="491">
        <f t="shared" si="17"/>
        <v>0</v>
      </c>
      <c r="L24" s="491">
        <f t="shared" si="17"/>
        <v>493745.2009</v>
      </c>
      <c r="M24" s="491">
        <f t="shared" si="17"/>
        <v>49374.520089999998</v>
      </c>
      <c r="N24" s="491">
        <f t="shared" si="17"/>
        <v>444370.68081000005</v>
      </c>
      <c r="O24" s="484">
        <f t="shared" si="17"/>
        <v>49374.520089999998</v>
      </c>
      <c r="P24" s="491">
        <f t="shared" si="17"/>
        <v>394996.16071999999</v>
      </c>
      <c r="Q24" s="484">
        <f t="shared" si="17"/>
        <v>78999.23214399998</v>
      </c>
      <c r="R24" s="491">
        <f t="shared" si="17"/>
        <v>315996.92857599992</v>
      </c>
      <c r="S24" s="484">
        <f t="shared" si="17"/>
        <v>78999.23214399998</v>
      </c>
      <c r="T24" s="491">
        <f t="shared" si="17"/>
        <v>236997.69643200003</v>
      </c>
      <c r="U24" s="484">
        <f t="shared" si="17"/>
        <v>78999.23214399998</v>
      </c>
      <c r="V24" s="491">
        <f t="shared" si="17"/>
        <v>157998.46428799996</v>
      </c>
      <c r="W24" s="484">
        <f t="shared" si="17"/>
        <v>78999.23214399998</v>
      </c>
      <c r="X24" s="491">
        <f t="shared" si="17"/>
        <v>78999.23214399998</v>
      </c>
      <c r="Y24" s="484">
        <f t="shared" si="17"/>
        <v>78999.23214399998</v>
      </c>
      <c r="Z24" s="491">
        <f t="shared" si="17"/>
        <v>0</v>
      </c>
    </row>
    <row r="25" spans="1:26" customFormat="1" ht="17.25" x14ac:dyDescent="0.35">
      <c r="A25" s="475"/>
      <c r="B25" s="493"/>
      <c r="C25" s="494"/>
      <c r="D25" s="494"/>
      <c r="E25" s="494"/>
      <c r="F25" s="494"/>
      <c r="G25" s="494"/>
      <c r="H25" s="492"/>
      <c r="I25" s="495"/>
      <c r="J25" s="495"/>
      <c r="K25" s="495"/>
      <c r="L25" s="495"/>
      <c r="M25" s="495"/>
      <c r="N25" s="495"/>
      <c r="O25" s="488"/>
      <c r="P25" s="495"/>
      <c r="Q25" s="488"/>
      <c r="R25" s="495"/>
      <c r="S25" s="488"/>
      <c r="T25" s="495"/>
      <c r="U25" s="488"/>
      <c r="V25" s="495"/>
      <c r="W25" s="488"/>
      <c r="X25" s="495"/>
      <c r="Y25" s="488"/>
      <c r="Z25" s="495"/>
    </row>
    <row r="26" spans="1:26" customFormat="1" ht="17.25" x14ac:dyDescent="0.35">
      <c r="A26" s="475"/>
      <c r="B26" s="490" t="s">
        <v>928</v>
      </c>
      <c r="C26" s="494"/>
      <c r="D26" s="494"/>
      <c r="E26" s="494"/>
      <c r="F26" s="494"/>
      <c r="G26" s="494"/>
      <c r="H26" s="492"/>
      <c r="I26" s="495"/>
      <c r="J26" s="495"/>
      <c r="K26" s="495"/>
      <c r="L26" s="495"/>
      <c r="M26" s="495"/>
      <c r="N26" s="495"/>
      <c r="O26" s="488"/>
      <c r="P26" s="495"/>
      <c r="Q26" s="488"/>
      <c r="R26" s="495"/>
      <c r="S26" s="488"/>
      <c r="T26" s="495"/>
      <c r="U26" s="488"/>
      <c r="V26" s="495"/>
      <c r="W26" s="488"/>
      <c r="X26" s="495"/>
      <c r="Y26" s="488"/>
      <c r="Z26" s="495"/>
    </row>
    <row r="27" spans="1:26" customFormat="1" ht="15" x14ac:dyDescent="0.2">
      <c r="A27" s="475">
        <f>+A24+1</f>
        <v>14</v>
      </c>
      <c r="B27" s="496" t="s">
        <v>929</v>
      </c>
      <c r="C27" s="482">
        <v>0</v>
      </c>
      <c r="D27" s="479">
        <f t="shared" ref="D27:D28" si="18">+C27*$I$80</f>
        <v>0</v>
      </c>
      <c r="E27" s="479">
        <f t="shared" ref="E27:E28" si="19">+C27-D27</f>
        <v>0</v>
      </c>
      <c r="F27" s="482">
        <v>0</v>
      </c>
      <c r="G27" s="479">
        <f>+E27-F27</f>
        <v>0</v>
      </c>
      <c r="H27" s="480">
        <v>0</v>
      </c>
      <c r="I27" s="479">
        <f t="shared" ref="I27" si="20">+G27*H27</f>
        <v>0</v>
      </c>
      <c r="J27" s="482"/>
      <c r="K27" s="491">
        <v>0</v>
      </c>
      <c r="L27" s="485">
        <f>+I27-K27</f>
        <v>0</v>
      </c>
      <c r="M27" s="497">
        <v>0</v>
      </c>
      <c r="N27" s="485">
        <f>+K27-M27</f>
        <v>0</v>
      </c>
      <c r="O27" s="497">
        <v>0</v>
      </c>
      <c r="P27" s="485">
        <f>+M27-O27</f>
        <v>0</v>
      </c>
      <c r="Q27" s="497">
        <v>0</v>
      </c>
      <c r="R27" s="485">
        <f>+O27-Q27</f>
        <v>0</v>
      </c>
      <c r="S27" s="478">
        <v>0</v>
      </c>
      <c r="T27" s="485">
        <f>+Q27-S27</f>
        <v>0</v>
      </c>
      <c r="U27" s="478">
        <v>0</v>
      </c>
      <c r="V27" s="485">
        <f t="shared" ref="V27:V28" si="21">+T27-U27</f>
        <v>0</v>
      </c>
      <c r="W27" s="478">
        <v>0</v>
      </c>
      <c r="X27" s="485">
        <f>+U27-W27</f>
        <v>0</v>
      </c>
      <c r="Y27" s="479">
        <f t="shared" ref="Y27:Y28" si="22">+$P27/5</f>
        <v>0</v>
      </c>
      <c r="Z27" s="485">
        <f>+W27-Y27</f>
        <v>0</v>
      </c>
    </row>
    <row r="28" spans="1:26" customFormat="1" ht="15" x14ac:dyDescent="0.2">
      <c r="A28" s="475">
        <f>+A27+1</f>
        <v>15</v>
      </c>
      <c r="B28" s="496" t="s">
        <v>929</v>
      </c>
      <c r="C28" s="486">
        <v>0</v>
      </c>
      <c r="D28" s="487">
        <f t="shared" si="18"/>
        <v>0</v>
      </c>
      <c r="E28" s="487">
        <f t="shared" si="19"/>
        <v>0</v>
      </c>
      <c r="F28" s="486">
        <v>0</v>
      </c>
      <c r="G28" s="487">
        <f>+E28-F28</f>
        <v>0</v>
      </c>
      <c r="H28" s="498" t="s">
        <v>926</v>
      </c>
      <c r="I28" s="488">
        <v>0</v>
      </c>
      <c r="J28" s="482"/>
      <c r="K28" s="495">
        <v>0</v>
      </c>
      <c r="L28" s="489">
        <f>+I28-K28</f>
        <v>0</v>
      </c>
      <c r="M28" s="499">
        <v>0</v>
      </c>
      <c r="N28" s="489">
        <f>+K28-M28</f>
        <v>0</v>
      </c>
      <c r="O28" s="499">
        <v>0</v>
      </c>
      <c r="P28" s="489">
        <f>+M28-O28</f>
        <v>0</v>
      </c>
      <c r="Q28" s="499">
        <v>0</v>
      </c>
      <c r="R28" s="489">
        <f>+O28-Q28</f>
        <v>0</v>
      </c>
      <c r="S28" s="500">
        <v>0</v>
      </c>
      <c r="T28" s="489">
        <f>+Q28-S28</f>
        <v>0</v>
      </c>
      <c r="U28" s="500">
        <v>0</v>
      </c>
      <c r="V28" s="489">
        <f t="shared" si="21"/>
        <v>0</v>
      </c>
      <c r="W28" s="500">
        <v>0</v>
      </c>
      <c r="X28" s="489">
        <f>+U28-W28</f>
        <v>0</v>
      </c>
      <c r="Y28" s="487">
        <f t="shared" si="22"/>
        <v>0</v>
      </c>
      <c r="Z28" s="489">
        <f>+W28-Y28</f>
        <v>0</v>
      </c>
    </row>
    <row r="29" spans="1:26" customFormat="1" ht="15" x14ac:dyDescent="0.2">
      <c r="A29" s="475">
        <f>+A28+1</f>
        <v>16</v>
      </c>
      <c r="B29" s="501" t="s">
        <v>930</v>
      </c>
      <c r="C29" s="491">
        <f>+C27+C28</f>
        <v>0</v>
      </c>
      <c r="D29" s="491">
        <f>+D27+D28</f>
        <v>0</v>
      </c>
      <c r="E29" s="491">
        <f>+E27+E28</f>
        <v>0</v>
      </c>
      <c r="F29" s="491">
        <f>+F27+F28</f>
        <v>0</v>
      </c>
      <c r="G29" s="491">
        <f>+G27+G28</f>
        <v>0</v>
      </c>
      <c r="H29" s="502"/>
      <c r="I29" s="491">
        <f>+I27+I28</f>
        <v>0</v>
      </c>
      <c r="J29" s="491"/>
      <c r="K29" s="491">
        <f t="shared" ref="K29:V29" si="23">+K27+K28</f>
        <v>0</v>
      </c>
      <c r="L29" s="485">
        <f t="shared" si="23"/>
        <v>0</v>
      </c>
      <c r="M29" s="485">
        <f t="shared" si="23"/>
        <v>0</v>
      </c>
      <c r="N29" s="485">
        <f t="shared" si="23"/>
        <v>0</v>
      </c>
      <c r="O29" s="485">
        <f t="shared" si="23"/>
        <v>0</v>
      </c>
      <c r="P29" s="485">
        <f t="shared" si="23"/>
        <v>0</v>
      </c>
      <c r="Q29" s="485">
        <f t="shared" si="23"/>
        <v>0</v>
      </c>
      <c r="R29" s="485">
        <f t="shared" si="23"/>
        <v>0</v>
      </c>
      <c r="S29" s="485">
        <f t="shared" si="23"/>
        <v>0</v>
      </c>
      <c r="T29" s="485">
        <f t="shared" si="23"/>
        <v>0</v>
      </c>
      <c r="U29" s="485">
        <f t="shared" si="23"/>
        <v>0</v>
      </c>
      <c r="V29" s="485">
        <f t="shared" si="23"/>
        <v>0</v>
      </c>
      <c r="W29" s="485">
        <f>+W27+W28</f>
        <v>0</v>
      </c>
      <c r="X29" s="485">
        <f>+X27+X28</f>
        <v>0</v>
      </c>
      <c r="Y29" s="485">
        <f>+Y27+Y28</f>
        <v>0</v>
      </c>
      <c r="Z29" s="485">
        <f>+Z27+Z28</f>
        <v>0</v>
      </c>
    </row>
    <row r="30" spans="1:26" customFormat="1" ht="15" x14ac:dyDescent="0.2">
      <c r="A30" s="475"/>
      <c r="B30" s="501"/>
      <c r="C30" s="491"/>
      <c r="D30" s="491"/>
      <c r="E30" s="491"/>
      <c r="F30" s="491"/>
      <c r="G30" s="491"/>
      <c r="H30" s="502"/>
      <c r="I30" s="491"/>
      <c r="J30" s="491"/>
      <c r="K30" s="491"/>
      <c r="L30" s="485"/>
      <c r="M30" s="485"/>
      <c r="N30" s="485"/>
      <c r="O30" s="485"/>
      <c r="P30" s="485"/>
      <c r="Q30" s="485"/>
      <c r="R30" s="485"/>
      <c r="S30" s="485"/>
      <c r="T30" s="485"/>
      <c r="U30" s="485"/>
      <c r="V30" s="485"/>
      <c r="W30" s="485"/>
      <c r="X30" s="485"/>
      <c r="Y30" s="485"/>
      <c r="Z30" s="485"/>
    </row>
    <row r="31" spans="1:26" customFormat="1" ht="15" x14ac:dyDescent="0.2">
      <c r="A31" s="475"/>
      <c r="B31" s="501" t="s">
        <v>931</v>
      </c>
      <c r="C31" s="491"/>
      <c r="D31" s="491"/>
      <c r="E31" s="491"/>
      <c r="F31" s="491"/>
      <c r="G31" s="491"/>
      <c r="H31" s="502"/>
      <c r="I31" s="491"/>
      <c r="J31" s="491"/>
      <c r="K31" s="491"/>
      <c r="L31" s="485"/>
      <c r="M31" s="485"/>
      <c r="N31" s="485"/>
      <c r="O31" s="485"/>
      <c r="P31" s="485"/>
      <c r="Q31" s="485"/>
      <c r="R31" s="485"/>
      <c r="S31" s="485"/>
      <c r="T31" s="485"/>
      <c r="U31" s="485"/>
      <c r="V31" s="485"/>
      <c r="W31" s="485"/>
      <c r="X31" s="485"/>
      <c r="Y31" s="485"/>
      <c r="Z31" s="485"/>
    </row>
    <row r="32" spans="1:26" customFormat="1" ht="15" x14ac:dyDescent="0.2">
      <c r="A32" s="475">
        <f>+A29+1</f>
        <v>17</v>
      </c>
      <c r="B32" s="496" t="s">
        <v>929</v>
      </c>
      <c r="C32" s="484">
        <v>0</v>
      </c>
      <c r="D32" s="479">
        <f t="shared" ref="D32:D35" si="24">+C32*$I$80</f>
        <v>0</v>
      </c>
      <c r="E32" s="479">
        <f t="shared" ref="E32:E35" si="25">+C32-D32</f>
        <v>0</v>
      </c>
      <c r="F32" s="482">
        <v>0</v>
      </c>
      <c r="G32" s="484">
        <f>+E32-F32</f>
        <v>0</v>
      </c>
      <c r="H32" s="480">
        <v>0</v>
      </c>
      <c r="I32" s="479">
        <f t="shared" ref="I32:I34" si="26">+G32*H32</f>
        <v>0</v>
      </c>
      <c r="J32" s="482"/>
      <c r="K32" s="491">
        <v>0</v>
      </c>
      <c r="L32" s="485">
        <f t="shared" ref="L32:L35" si="27">+I32-K32</f>
        <v>0</v>
      </c>
      <c r="M32" s="497">
        <v>0</v>
      </c>
      <c r="N32" s="485">
        <f t="shared" ref="N32:N35" si="28">+L32-M32</f>
        <v>0</v>
      </c>
      <c r="O32" s="497">
        <v>0</v>
      </c>
      <c r="P32" s="485">
        <f t="shared" ref="P32:P35" si="29">+N32-O32</f>
        <v>0</v>
      </c>
      <c r="Q32" s="497">
        <v>0</v>
      </c>
      <c r="R32" s="485">
        <f t="shared" ref="R32:R35" si="30">+P32-Q32</f>
        <v>0</v>
      </c>
      <c r="S32" s="497">
        <v>0</v>
      </c>
      <c r="T32" s="485">
        <f t="shared" ref="T32:T35" si="31">+R32-S32</f>
        <v>0</v>
      </c>
      <c r="U32" s="497">
        <v>0</v>
      </c>
      <c r="V32" s="485">
        <f t="shared" ref="V32:V35" si="32">+T32-U32</f>
        <v>0</v>
      </c>
      <c r="W32" s="497">
        <v>0</v>
      </c>
      <c r="X32" s="485">
        <f t="shared" ref="X32:X35" si="33">+V32-W32</f>
        <v>0</v>
      </c>
      <c r="Y32" s="479">
        <f>+$P32/5</f>
        <v>0</v>
      </c>
      <c r="Z32" s="485">
        <f t="shared" ref="Z32:Z35" si="34">+X32-Y32</f>
        <v>0</v>
      </c>
    </row>
    <row r="33" spans="1:26" customFormat="1" ht="15" x14ac:dyDescent="0.2">
      <c r="A33" s="475">
        <f>+A32+1</f>
        <v>18</v>
      </c>
      <c r="B33" s="496" t="s">
        <v>929</v>
      </c>
      <c r="C33" s="484">
        <v>0</v>
      </c>
      <c r="D33" s="479">
        <f t="shared" si="24"/>
        <v>0</v>
      </c>
      <c r="E33" s="479">
        <f t="shared" si="25"/>
        <v>0</v>
      </c>
      <c r="F33" s="482">
        <v>0</v>
      </c>
      <c r="G33" s="484">
        <f t="shared" ref="G33:G35" si="35">+E33-F33</f>
        <v>0</v>
      </c>
      <c r="H33" s="480">
        <v>0</v>
      </c>
      <c r="I33" s="479">
        <f t="shared" si="26"/>
        <v>0</v>
      </c>
      <c r="J33" s="482"/>
      <c r="K33" s="491">
        <v>0</v>
      </c>
      <c r="L33" s="485">
        <f t="shared" si="27"/>
        <v>0</v>
      </c>
      <c r="M33" s="497">
        <v>0</v>
      </c>
      <c r="N33" s="485">
        <f t="shared" si="28"/>
        <v>0</v>
      </c>
      <c r="O33" s="497">
        <v>0</v>
      </c>
      <c r="P33" s="485">
        <f t="shared" si="29"/>
        <v>0</v>
      </c>
      <c r="Q33" s="497">
        <v>0</v>
      </c>
      <c r="R33" s="485">
        <f t="shared" si="30"/>
        <v>0</v>
      </c>
      <c r="S33" s="497">
        <v>0</v>
      </c>
      <c r="T33" s="485">
        <f t="shared" si="31"/>
        <v>0</v>
      </c>
      <c r="U33" s="497">
        <v>0</v>
      </c>
      <c r="V33" s="485">
        <f t="shared" si="32"/>
        <v>0</v>
      </c>
      <c r="W33" s="497">
        <v>0</v>
      </c>
      <c r="X33" s="485">
        <f t="shared" si="33"/>
        <v>0</v>
      </c>
      <c r="Y33" s="479">
        <f t="shared" ref="Y33:Y35" si="36">+$P33/5</f>
        <v>0</v>
      </c>
      <c r="Z33" s="485">
        <f t="shared" si="34"/>
        <v>0</v>
      </c>
    </row>
    <row r="34" spans="1:26" customFormat="1" ht="15" x14ac:dyDescent="0.2">
      <c r="A34" s="475">
        <f>+A33+1</f>
        <v>19</v>
      </c>
      <c r="B34" s="496" t="s">
        <v>929</v>
      </c>
      <c r="C34" s="484">
        <v>0</v>
      </c>
      <c r="D34" s="479">
        <f t="shared" si="24"/>
        <v>0</v>
      </c>
      <c r="E34" s="479">
        <f t="shared" si="25"/>
        <v>0</v>
      </c>
      <c r="F34" s="482">
        <v>0</v>
      </c>
      <c r="G34" s="484">
        <f t="shared" si="35"/>
        <v>0</v>
      </c>
      <c r="H34" s="480">
        <v>0</v>
      </c>
      <c r="I34" s="479">
        <f t="shared" si="26"/>
        <v>0</v>
      </c>
      <c r="J34" s="482"/>
      <c r="K34" s="491">
        <v>0</v>
      </c>
      <c r="L34" s="485">
        <f t="shared" si="27"/>
        <v>0</v>
      </c>
      <c r="M34" s="497">
        <v>0</v>
      </c>
      <c r="N34" s="485">
        <f t="shared" si="28"/>
        <v>0</v>
      </c>
      <c r="O34" s="497">
        <v>0</v>
      </c>
      <c r="P34" s="485">
        <f t="shared" si="29"/>
        <v>0</v>
      </c>
      <c r="Q34" s="497">
        <v>0</v>
      </c>
      <c r="R34" s="485">
        <f t="shared" si="30"/>
        <v>0</v>
      </c>
      <c r="S34" s="497">
        <v>0</v>
      </c>
      <c r="T34" s="485">
        <f t="shared" si="31"/>
        <v>0</v>
      </c>
      <c r="U34" s="497">
        <v>0</v>
      </c>
      <c r="V34" s="485">
        <f t="shared" si="32"/>
        <v>0</v>
      </c>
      <c r="W34" s="497">
        <v>0</v>
      </c>
      <c r="X34" s="485">
        <f t="shared" si="33"/>
        <v>0</v>
      </c>
      <c r="Y34" s="479">
        <f t="shared" si="36"/>
        <v>0</v>
      </c>
      <c r="Z34" s="485">
        <f t="shared" si="34"/>
        <v>0</v>
      </c>
    </row>
    <row r="35" spans="1:26" customFormat="1" ht="15" x14ac:dyDescent="0.2">
      <c r="A35" s="475">
        <f>+A34+1</f>
        <v>20</v>
      </c>
      <c r="B35" s="496" t="s">
        <v>929</v>
      </c>
      <c r="C35" s="488">
        <v>0</v>
      </c>
      <c r="D35" s="487">
        <f t="shared" si="24"/>
        <v>0</v>
      </c>
      <c r="E35" s="487">
        <f t="shared" si="25"/>
        <v>0</v>
      </c>
      <c r="F35" s="486">
        <v>0</v>
      </c>
      <c r="G35" s="488">
        <f t="shared" si="35"/>
        <v>0</v>
      </c>
      <c r="H35" s="480" t="s">
        <v>926</v>
      </c>
      <c r="I35" s="488">
        <v>0</v>
      </c>
      <c r="J35" s="482"/>
      <c r="K35" s="495">
        <v>0</v>
      </c>
      <c r="L35" s="489">
        <f t="shared" si="27"/>
        <v>0</v>
      </c>
      <c r="M35" s="499">
        <v>0</v>
      </c>
      <c r="N35" s="489">
        <f t="shared" si="28"/>
        <v>0</v>
      </c>
      <c r="O35" s="499">
        <v>0</v>
      </c>
      <c r="P35" s="489">
        <f t="shared" si="29"/>
        <v>0</v>
      </c>
      <c r="Q35" s="499">
        <v>0</v>
      </c>
      <c r="R35" s="489">
        <f t="shared" si="30"/>
        <v>0</v>
      </c>
      <c r="S35" s="499">
        <v>0</v>
      </c>
      <c r="T35" s="489">
        <f t="shared" si="31"/>
        <v>0</v>
      </c>
      <c r="U35" s="499">
        <v>0</v>
      </c>
      <c r="V35" s="489">
        <f t="shared" si="32"/>
        <v>0</v>
      </c>
      <c r="W35" s="499">
        <v>0</v>
      </c>
      <c r="X35" s="489">
        <f t="shared" si="33"/>
        <v>0</v>
      </c>
      <c r="Y35" s="487">
        <f t="shared" si="36"/>
        <v>0</v>
      </c>
      <c r="Z35" s="489">
        <f t="shared" si="34"/>
        <v>0</v>
      </c>
    </row>
    <row r="36" spans="1:26" customFormat="1" ht="15" x14ac:dyDescent="0.2">
      <c r="A36" s="475">
        <f>+A35+1</f>
        <v>21</v>
      </c>
      <c r="B36" s="501" t="s">
        <v>932</v>
      </c>
      <c r="C36" s="491">
        <f>+C34+C35</f>
        <v>0</v>
      </c>
      <c r="D36" s="491">
        <f>+D34+D35</f>
        <v>0</v>
      </c>
      <c r="E36" s="491">
        <f>+SUM(E32:E35)</f>
        <v>0</v>
      </c>
      <c r="F36" s="491">
        <f>+SUM(F32:F35)</f>
        <v>0</v>
      </c>
      <c r="G36" s="491">
        <f>+SUM(G32:G35)</f>
        <v>0</v>
      </c>
      <c r="H36" s="492"/>
      <c r="I36" s="491">
        <f>+SUM(I32:I35)</f>
        <v>0</v>
      </c>
      <c r="J36" s="491"/>
      <c r="K36" s="491">
        <f t="shared" ref="K36:Z36" si="37">+SUM(K32:K35)</f>
        <v>0</v>
      </c>
      <c r="L36" s="491">
        <f t="shared" si="37"/>
        <v>0</v>
      </c>
      <c r="M36" s="491">
        <f t="shared" si="37"/>
        <v>0</v>
      </c>
      <c r="N36" s="491">
        <f t="shared" si="37"/>
        <v>0</v>
      </c>
      <c r="O36" s="491">
        <f t="shared" si="37"/>
        <v>0</v>
      </c>
      <c r="P36" s="491">
        <f t="shared" si="37"/>
        <v>0</v>
      </c>
      <c r="Q36" s="491">
        <f t="shared" si="37"/>
        <v>0</v>
      </c>
      <c r="R36" s="491">
        <f t="shared" si="37"/>
        <v>0</v>
      </c>
      <c r="S36" s="491">
        <f t="shared" si="37"/>
        <v>0</v>
      </c>
      <c r="T36" s="491">
        <f t="shared" si="37"/>
        <v>0</v>
      </c>
      <c r="U36" s="491">
        <f t="shared" si="37"/>
        <v>0</v>
      </c>
      <c r="V36" s="491">
        <f t="shared" si="37"/>
        <v>0</v>
      </c>
      <c r="W36" s="491">
        <f t="shared" si="37"/>
        <v>0</v>
      </c>
      <c r="X36" s="491">
        <f t="shared" si="37"/>
        <v>0</v>
      </c>
      <c r="Y36" s="491">
        <f t="shared" si="37"/>
        <v>0</v>
      </c>
      <c r="Z36" s="491">
        <f t="shared" si="37"/>
        <v>0</v>
      </c>
    </row>
    <row r="37" spans="1:26" customFormat="1" ht="15" x14ac:dyDescent="0.2">
      <c r="A37" s="475"/>
      <c r="B37" s="501"/>
      <c r="C37" s="501"/>
      <c r="D37" s="501"/>
      <c r="E37" s="491"/>
      <c r="F37" s="491"/>
      <c r="G37" s="491"/>
      <c r="H37" s="492"/>
      <c r="I37" s="491"/>
      <c r="J37" s="491"/>
      <c r="K37" s="491"/>
      <c r="L37" s="485"/>
      <c r="M37" s="485"/>
      <c r="N37" s="485"/>
      <c r="O37" s="485"/>
      <c r="P37" s="485"/>
      <c r="Q37" s="485"/>
      <c r="R37" s="485"/>
      <c r="S37" s="485"/>
      <c r="T37" s="485"/>
      <c r="U37" s="485"/>
      <c r="V37" s="485"/>
      <c r="W37" s="485"/>
      <c r="X37" s="485"/>
      <c r="Y37" s="485"/>
      <c r="Z37" s="485"/>
    </row>
    <row r="38" spans="1:26" customFormat="1" ht="30" x14ac:dyDescent="0.2">
      <c r="A38" s="475">
        <f>+A36+1</f>
        <v>22</v>
      </c>
      <c r="B38" s="501" t="s">
        <v>933</v>
      </c>
      <c r="C38" s="501"/>
      <c r="D38" s="501"/>
      <c r="E38" s="491">
        <f>+E24+E29+E36</f>
        <v>3904074</v>
      </c>
      <c r="F38" s="491"/>
      <c r="G38" s="491">
        <f>+G24+G29+G36</f>
        <v>3904074</v>
      </c>
      <c r="H38" s="492"/>
      <c r="I38" s="491">
        <f>+I24+I29+I36</f>
        <v>493745.2009</v>
      </c>
      <c r="J38" s="491"/>
      <c r="K38" s="491">
        <f>+K24+K29+K36</f>
        <v>0</v>
      </c>
      <c r="L38" s="491">
        <f t="shared" ref="L38:Z38" si="38">+L24+L29+L36</f>
        <v>493745.2009</v>
      </c>
      <c r="M38" s="491">
        <f t="shared" si="38"/>
        <v>49374.520089999998</v>
      </c>
      <c r="N38" s="491">
        <f t="shared" si="38"/>
        <v>444370.68081000005</v>
      </c>
      <c r="O38" s="491">
        <f t="shared" si="38"/>
        <v>49374.520089999998</v>
      </c>
      <c r="P38" s="491">
        <f t="shared" si="38"/>
        <v>394996.16071999999</v>
      </c>
      <c r="Q38" s="491">
        <f t="shared" si="38"/>
        <v>78999.23214399998</v>
      </c>
      <c r="R38" s="491">
        <f t="shared" si="38"/>
        <v>315996.92857599992</v>
      </c>
      <c r="S38" s="491">
        <f t="shared" si="38"/>
        <v>78999.23214399998</v>
      </c>
      <c r="T38" s="491">
        <f t="shared" si="38"/>
        <v>236997.69643200003</v>
      </c>
      <c r="U38" s="491">
        <f t="shared" si="38"/>
        <v>78999.23214399998</v>
      </c>
      <c r="V38" s="491">
        <f t="shared" si="38"/>
        <v>157998.46428799996</v>
      </c>
      <c r="W38" s="491">
        <f t="shared" si="38"/>
        <v>78999.23214399998</v>
      </c>
      <c r="X38" s="491">
        <f t="shared" si="38"/>
        <v>78999.23214399998</v>
      </c>
      <c r="Y38" s="491">
        <f t="shared" si="38"/>
        <v>78999.23214399998</v>
      </c>
      <c r="Z38" s="491">
        <f t="shared" si="38"/>
        <v>0</v>
      </c>
    </row>
    <row r="39" spans="1:26" customFormat="1" ht="15" x14ac:dyDescent="0.2">
      <c r="A39" s="475">
        <f>+A38+1</f>
        <v>23</v>
      </c>
      <c r="B39" s="501" t="s">
        <v>934</v>
      </c>
      <c r="C39" s="501"/>
      <c r="D39" s="501"/>
      <c r="E39" s="495">
        <v>0</v>
      </c>
      <c r="F39" s="495"/>
      <c r="G39" s="495">
        <v>1037791.82278481</v>
      </c>
      <c r="H39" s="492"/>
      <c r="I39" s="495">
        <v>131248.72428987341</v>
      </c>
      <c r="J39" s="491"/>
      <c r="K39" s="495"/>
      <c r="L39" s="495">
        <v>131248.72428987341</v>
      </c>
      <c r="M39" s="485"/>
      <c r="N39" s="495">
        <v>118123.85186088608</v>
      </c>
      <c r="O39" s="485"/>
      <c r="P39" s="495">
        <v>104998.97943189873</v>
      </c>
      <c r="Q39" s="485"/>
      <c r="R39" s="495">
        <v>83999.183545518958</v>
      </c>
      <c r="S39" s="485"/>
      <c r="T39" s="495">
        <v>62999.38765913924</v>
      </c>
      <c r="U39" s="485"/>
      <c r="V39" s="495">
        <v>96409.913588658193</v>
      </c>
      <c r="W39" s="485"/>
      <c r="X39" s="495">
        <v>20999.795886379739</v>
      </c>
      <c r="Y39" s="485"/>
      <c r="Z39" s="495">
        <v>0</v>
      </c>
    </row>
    <row r="40" spans="1:26" customFormat="1" ht="30" x14ac:dyDescent="0.2">
      <c r="A40" s="475">
        <f>+A39+1</f>
        <v>24</v>
      </c>
      <c r="B40" s="501" t="s">
        <v>935</v>
      </c>
      <c r="C40" s="501"/>
      <c r="D40" s="501"/>
      <c r="E40" s="491">
        <f>+E38+E39</f>
        <v>3904074</v>
      </c>
      <c r="F40" s="495"/>
      <c r="G40" s="491">
        <f>+G38+G39</f>
        <v>4941865.8227848103</v>
      </c>
      <c r="H40" s="492"/>
      <c r="I40" s="491">
        <f>+I38+I39</f>
        <v>624993.92518987344</v>
      </c>
      <c r="J40" s="491"/>
      <c r="K40" s="491"/>
      <c r="L40" s="491">
        <f>+L38+L39</f>
        <v>624993.92518987344</v>
      </c>
      <c r="M40" s="485"/>
      <c r="N40" s="491">
        <f>+N38+N39</f>
        <v>562494.53267088614</v>
      </c>
      <c r="O40" s="485"/>
      <c r="P40" s="491">
        <f>+P38+P39</f>
        <v>499995.14015189873</v>
      </c>
      <c r="Q40" s="485"/>
      <c r="R40" s="491">
        <f>+R38+R39</f>
        <v>399996.11212151888</v>
      </c>
      <c r="S40" s="485"/>
      <c r="T40" s="491">
        <f>+T38+T39</f>
        <v>299997.08409113926</v>
      </c>
      <c r="U40" s="485"/>
      <c r="V40" s="491">
        <f>+V38+V39</f>
        <v>254408.37787665817</v>
      </c>
      <c r="W40" s="485"/>
      <c r="X40" s="491">
        <f>+X38+X39</f>
        <v>99999.028030379719</v>
      </c>
      <c r="Y40" s="485"/>
      <c r="Z40" s="491">
        <f>+Z38+Z39</f>
        <v>0</v>
      </c>
    </row>
    <row r="41" spans="1:26" customFormat="1" ht="15" x14ac:dyDescent="0.2">
      <c r="A41" s="475"/>
      <c r="B41" s="501"/>
      <c r="C41" s="501"/>
      <c r="D41" s="501"/>
      <c r="E41" s="491"/>
      <c r="F41" s="491"/>
      <c r="G41" s="491"/>
      <c r="H41" s="492"/>
      <c r="I41" s="491"/>
      <c r="J41" s="491"/>
      <c r="K41" s="491"/>
      <c r="L41" s="485"/>
      <c r="M41" s="485"/>
      <c r="N41" s="485"/>
      <c r="O41" s="485"/>
      <c r="P41" s="485"/>
      <c r="Q41" s="485"/>
      <c r="R41" s="485"/>
      <c r="S41" s="485"/>
      <c r="T41" s="485"/>
      <c r="U41" s="485"/>
      <c r="V41" s="485"/>
      <c r="W41" s="485"/>
      <c r="X41" s="485"/>
      <c r="Y41" s="485"/>
      <c r="Z41" s="485"/>
    </row>
    <row r="42" spans="1:26" customFormat="1" ht="15" x14ac:dyDescent="0.2">
      <c r="A42" s="475"/>
      <c r="B42" s="501"/>
      <c r="C42" s="501"/>
      <c r="D42" s="501"/>
      <c r="E42" s="491"/>
      <c r="F42" s="491"/>
      <c r="G42" s="491"/>
      <c r="H42" s="492"/>
      <c r="I42" s="491"/>
      <c r="J42" s="491"/>
      <c r="K42" s="491"/>
      <c r="L42" s="485"/>
      <c r="M42" s="485"/>
      <c r="N42" s="485"/>
      <c r="O42" s="485"/>
      <c r="P42" s="485"/>
      <c r="Q42" s="485"/>
      <c r="R42" s="485"/>
      <c r="S42" s="485"/>
      <c r="T42" s="485"/>
      <c r="U42" s="485"/>
      <c r="V42" s="485"/>
      <c r="W42" s="485"/>
      <c r="X42" s="485"/>
      <c r="Y42" s="485"/>
      <c r="Z42" s="485"/>
    </row>
    <row r="43" spans="1:26" customFormat="1" ht="31.5" x14ac:dyDescent="0.25">
      <c r="A43" s="475"/>
      <c r="B43" s="503" t="s">
        <v>936</v>
      </c>
      <c r="C43" s="503"/>
      <c r="D43" s="503"/>
      <c r="E43" s="491"/>
      <c r="F43" s="491"/>
      <c r="G43" s="491"/>
      <c r="H43" s="492"/>
      <c r="I43" s="491"/>
      <c r="J43" s="491"/>
      <c r="K43" s="491"/>
      <c r="L43" s="485"/>
      <c r="M43" s="485"/>
      <c r="N43" s="485"/>
      <c r="O43" s="485"/>
      <c r="P43" s="485"/>
      <c r="Q43" s="485"/>
      <c r="R43" s="485"/>
      <c r="S43" s="485"/>
      <c r="T43" s="485"/>
      <c r="U43" s="485"/>
      <c r="V43" s="485"/>
      <c r="W43" s="485"/>
      <c r="X43" s="485"/>
      <c r="Y43" s="485"/>
      <c r="Z43" s="485"/>
    </row>
    <row r="44" spans="1:26" customFormat="1" ht="15" x14ac:dyDescent="0.2">
      <c r="A44" s="475"/>
      <c r="B44" s="501"/>
      <c r="C44" s="501"/>
      <c r="D44" s="501"/>
      <c r="E44" s="491"/>
      <c r="F44" s="491"/>
      <c r="G44" s="491"/>
      <c r="H44" s="492"/>
      <c r="I44" s="491"/>
      <c r="J44" s="491"/>
      <c r="K44" s="491"/>
      <c r="L44" s="485"/>
      <c r="M44" s="485"/>
      <c r="N44" s="485"/>
      <c r="O44" s="485"/>
      <c r="P44" s="485"/>
      <c r="Q44" s="485"/>
      <c r="R44" s="485"/>
      <c r="S44" s="485"/>
      <c r="T44" s="485"/>
      <c r="U44" s="485"/>
      <c r="V44" s="485"/>
      <c r="W44" s="485"/>
      <c r="X44" s="485"/>
      <c r="Y44" s="485"/>
      <c r="Z44" s="485"/>
    </row>
    <row r="45" spans="1:26" customFormat="1" ht="17.25" x14ac:dyDescent="0.35">
      <c r="A45" s="475"/>
      <c r="B45" s="490" t="s">
        <v>912</v>
      </c>
      <c r="C45" s="490"/>
      <c r="D45" s="490"/>
      <c r="E45" s="494"/>
      <c r="F45" s="494"/>
      <c r="G45" s="494"/>
      <c r="H45" s="492"/>
      <c r="I45" s="491"/>
      <c r="J45" s="491"/>
      <c r="K45" s="491"/>
      <c r="L45" s="485"/>
      <c r="M45" s="485"/>
      <c r="N45" s="485"/>
      <c r="O45" s="485"/>
      <c r="P45" s="485"/>
      <c r="Q45" s="485"/>
      <c r="R45" s="485"/>
      <c r="S45" s="485"/>
      <c r="T45" s="485"/>
      <c r="U45" s="485"/>
      <c r="V45" s="485"/>
      <c r="W45" s="485"/>
      <c r="X45" s="485"/>
      <c r="Y45" s="485"/>
      <c r="Z45" s="485"/>
    </row>
    <row r="46" spans="1:26" customFormat="1" ht="15" x14ac:dyDescent="0.2">
      <c r="A46" s="475">
        <f>+A40+1</f>
        <v>25</v>
      </c>
      <c r="B46" s="496" t="s">
        <v>929</v>
      </c>
      <c r="C46" s="482">
        <v>0</v>
      </c>
      <c r="D46" s="479">
        <f t="shared" ref="D46:D47" si="39">+C46*$I$80</f>
        <v>0</v>
      </c>
      <c r="E46" s="479">
        <f t="shared" ref="E46:E47" si="40">+C46-D46</f>
        <v>0</v>
      </c>
      <c r="F46" s="482">
        <v>0</v>
      </c>
      <c r="G46" s="484">
        <f>+E46-F46</f>
        <v>0</v>
      </c>
      <c r="H46" s="480">
        <v>0</v>
      </c>
      <c r="I46" s="479">
        <f t="shared" ref="I46" si="41">+G46*H46</f>
        <v>0</v>
      </c>
      <c r="J46" s="482"/>
      <c r="K46" s="491">
        <v>0</v>
      </c>
      <c r="L46" s="485">
        <f>+I46-K46</f>
        <v>0</v>
      </c>
      <c r="M46" s="482">
        <v>0</v>
      </c>
      <c r="N46" s="485">
        <f>+L46-M46</f>
        <v>0</v>
      </c>
      <c r="O46" s="482">
        <v>0</v>
      </c>
      <c r="P46" s="485">
        <f>+N46-O46</f>
        <v>0</v>
      </c>
      <c r="Q46" s="482">
        <v>0</v>
      </c>
      <c r="R46" s="485">
        <f>+P46-Q46</f>
        <v>0</v>
      </c>
      <c r="S46" s="482">
        <v>0</v>
      </c>
      <c r="T46" s="485">
        <f>+R46-S46</f>
        <v>0</v>
      </c>
      <c r="U46" s="482">
        <v>0</v>
      </c>
      <c r="V46" s="485">
        <f>+T46-U46</f>
        <v>0</v>
      </c>
      <c r="W46" s="482">
        <v>0</v>
      </c>
      <c r="X46" s="485">
        <f>+V46-W46</f>
        <v>0</v>
      </c>
      <c r="Y46" s="482">
        <v>0</v>
      </c>
      <c r="Z46" s="485">
        <f>+X46-Y46</f>
        <v>0</v>
      </c>
    </row>
    <row r="47" spans="1:26" customFormat="1" ht="15" x14ac:dyDescent="0.2">
      <c r="A47" s="475">
        <f>+A46+1</f>
        <v>26</v>
      </c>
      <c r="B47" s="496" t="s">
        <v>929</v>
      </c>
      <c r="C47" s="486">
        <v>0</v>
      </c>
      <c r="D47" s="487">
        <f t="shared" si="39"/>
        <v>0</v>
      </c>
      <c r="E47" s="487">
        <f t="shared" si="40"/>
        <v>0</v>
      </c>
      <c r="F47" s="486">
        <v>0</v>
      </c>
      <c r="G47" s="488">
        <f>+E47-F47</f>
        <v>0</v>
      </c>
      <c r="H47" s="480" t="s">
        <v>926</v>
      </c>
      <c r="I47" s="488">
        <v>0</v>
      </c>
      <c r="J47" s="482"/>
      <c r="K47" s="495">
        <v>0</v>
      </c>
      <c r="L47" s="489">
        <f>+I47-K47</f>
        <v>0</v>
      </c>
      <c r="M47" s="486">
        <v>0</v>
      </c>
      <c r="N47" s="489">
        <f>+L47-M47</f>
        <v>0</v>
      </c>
      <c r="O47" s="486">
        <v>0</v>
      </c>
      <c r="P47" s="489">
        <f>+N47-O47</f>
        <v>0</v>
      </c>
      <c r="Q47" s="486">
        <v>0</v>
      </c>
      <c r="R47" s="489">
        <f>+P47-Q47</f>
        <v>0</v>
      </c>
      <c r="S47" s="486">
        <v>0</v>
      </c>
      <c r="T47" s="489">
        <f>+R47-S47</f>
        <v>0</v>
      </c>
      <c r="U47" s="486">
        <v>0</v>
      </c>
      <c r="V47" s="489">
        <f>+T47-U47</f>
        <v>0</v>
      </c>
      <c r="W47" s="486">
        <v>0</v>
      </c>
      <c r="X47" s="489">
        <f>+V47-W47</f>
        <v>0</v>
      </c>
      <c r="Y47" s="486">
        <v>0</v>
      </c>
      <c r="Z47" s="489">
        <f>+X47-Y47</f>
        <v>0</v>
      </c>
    </row>
    <row r="48" spans="1:26" customFormat="1" ht="15" x14ac:dyDescent="0.2">
      <c r="A48" s="475">
        <f>+A47+1</f>
        <v>27</v>
      </c>
      <c r="B48" s="501" t="s">
        <v>937</v>
      </c>
      <c r="C48" s="491">
        <f>+C46+C47</f>
        <v>0</v>
      </c>
      <c r="D48" s="491">
        <f>+D46+D47</f>
        <v>0</v>
      </c>
      <c r="E48" s="491">
        <f>+E46+E47</f>
        <v>0</v>
      </c>
      <c r="F48" s="491">
        <f>+F46+F47</f>
        <v>0</v>
      </c>
      <c r="G48" s="491">
        <f>+G46+G47</f>
        <v>0</v>
      </c>
      <c r="H48" s="492"/>
      <c r="I48" s="491">
        <v>0</v>
      </c>
      <c r="J48" s="491"/>
      <c r="K48" s="491">
        <v>0</v>
      </c>
      <c r="L48" s="491">
        <v>0</v>
      </c>
      <c r="M48" s="491">
        <v>0</v>
      </c>
      <c r="N48" s="491">
        <v>0</v>
      </c>
      <c r="O48" s="491">
        <v>0</v>
      </c>
      <c r="P48" s="491">
        <v>0</v>
      </c>
      <c r="Q48" s="491">
        <v>0</v>
      </c>
      <c r="R48" s="491">
        <v>0</v>
      </c>
      <c r="S48" s="491">
        <v>0</v>
      </c>
      <c r="T48" s="491">
        <v>0</v>
      </c>
      <c r="U48" s="491">
        <v>0</v>
      </c>
      <c r="V48" s="491">
        <v>0</v>
      </c>
      <c r="W48" s="491">
        <v>0</v>
      </c>
      <c r="X48" s="491">
        <v>0</v>
      </c>
      <c r="Y48" s="491">
        <v>0</v>
      </c>
      <c r="Z48" s="491">
        <v>0</v>
      </c>
    </row>
    <row r="49" spans="1:26" customFormat="1" ht="15" x14ac:dyDescent="0.2">
      <c r="A49" s="475"/>
      <c r="B49" s="501"/>
      <c r="C49" s="491"/>
      <c r="D49" s="491"/>
      <c r="E49" s="491"/>
      <c r="F49" s="491"/>
      <c r="G49" s="491"/>
      <c r="H49" s="492"/>
      <c r="I49" s="491"/>
      <c r="J49" s="491"/>
      <c r="K49" s="491"/>
      <c r="L49" s="485"/>
      <c r="M49" s="485"/>
      <c r="N49" s="485"/>
      <c r="O49" s="485"/>
      <c r="P49" s="485"/>
      <c r="Q49" s="485"/>
      <c r="R49" s="485"/>
      <c r="S49" s="485"/>
      <c r="T49" s="485"/>
      <c r="U49" s="485"/>
      <c r="V49" s="485"/>
      <c r="W49" s="485"/>
      <c r="X49" s="485"/>
      <c r="Y49" s="485"/>
      <c r="Z49" s="485"/>
    </row>
    <row r="50" spans="1:26" customFormat="1" ht="15" x14ac:dyDescent="0.2">
      <c r="A50" s="475"/>
      <c r="B50" s="490" t="s">
        <v>928</v>
      </c>
      <c r="C50" s="491"/>
      <c r="D50" s="491"/>
      <c r="E50" s="491"/>
      <c r="F50" s="491"/>
      <c r="G50" s="491"/>
      <c r="H50" s="492"/>
      <c r="I50" s="491"/>
      <c r="J50" s="491"/>
      <c r="K50" s="491"/>
      <c r="L50" s="485"/>
      <c r="M50" s="485"/>
      <c r="N50" s="485"/>
      <c r="O50" s="485"/>
      <c r="P50" s="485"/>
      <c r="Q50" s="485"/>
      <c r="R50" s="485"/>
      <c r="S50" s="485"/>
      <c r="T50" s="485"/>
      <c r="U50" s="485"/>
      <c r="V50" s="485"/>
      <c r="W50" s="485"/>
      <c r="X50" s="485"/>
      <c r="Y50" s="485"/>
      <c r="Z50" s="485"/>
    </row>
    <row r="51" spans="1:26" customFormat="1" ht="15" x14ac:dyDescent="0.2">
      <c r="A51" s="475">
        <f>+A48+1</f>
        <v>28</v>
      </c>
      <c r="B51" s="504" t="s">
        <v>938</v>
      </c>
      <c r="C51" s="482">
        <v>-174316942.5</v>
      </c>
      <c r="D51" s="479">
        <f t="shared" ref="D51:D52" si="42">+C51*$I$80</f>
        <v>-104590165.5</v>
      </c>
      <c r="E51" s="479">
        <f t="shared" ref="E51:E52" si="43">+C51-D51</f>
        <v>-69726777</v>
      </c>
      <c r="F51" s="482">
        <v>0</v>
      </c>
      <c r="G51" s="484">
        <f>+E51+F51</f>
        <v>-69726777</v>
      </c>
      <c r="H51" s="480">
        <v>0.30148496415831438</v>
      </c>
      <c r="I51" s="479">
        <f t="shared" ref="I51" si="44">+G51*H51</f>
        <v>-21021574.864719778</v>
      </c>
      <c r="J51" s="483" t="s">
        <v>239</v>
      </c>
      <c r="K51" s="484">
        <v>0</v>
      </c>
      <c r="L51" s="485">
        <f t="shared" ref="L51:L52" si="45">+I51-K51</f>
        <v>-21021574.864719778</v>
      </c>
      <c r="M51" s="497">
        <v>-1589075</v>
      </c>
      <c r="N51" s="485">
        <f t="shared" ref="N51:N52" si="46">+L51-M51</f>
        <v>-19432499.864719778</v>
      </c>
      <c r="O51" s="497">
        <v>-842411</v>
      </c>
      <c r="P51" s="485">
        <f t="shared" ref="P51:P52" si="47">+N51-O51</f>
        <v>-18590088.864719778</v>
      </c>
      <c r="Q51" s="497">
        <v>-725756</v>
      </c>
      <c r="R51" s="485">
        <f>+P51-Q51</f>
        <v>-17864332.864719778</v>
      </c>
      <c r="S51" s="482">
        <v>-489049.80991488299</v>
      </c>
      <c r="T51" s="485">
        <f t="shared" ref="T51:T52" si="48">+R51-S51</f>
        <v>-17375283.054804895</v>
      </c>
      <c r="U51" s="482">
        <v>-396143.19325548119</v>
      </c>
      <c r="V51" s="485">
        <f t="shared" ref="V51:V52" si="49">+T51-U51</f>
        <v>-16979139.861549415</v>
      </c>
      <c r="W51" s="482">
        <v>-673505.90224859409</v>
      </c>
      <c r="X51" s="485">
        <f t="shared" ref="X51:X52" si="50">+V51-W51</f>
        <v>-16305633.95930082</v>
      </c>
      <c r="Y51" s="482">
        <v>0</v>
      </c>
      <c r="Z51" s="485">
        <f t="shared" ref="Z51:Z52" si="51">+X51-Y51</f>
        <v>-16305633.95930082</v>
      </c>
    </row>
    <row r="52" spans="1:26" customFormat="1" ht="15" x14ac:dyDescent="0.2">
      <c r="A52" s="475">
        <f>+A51+1</f>
        <v>29</v>
      </c>
      <c r="B52" s="504" t="s">
        <v>939</v>
      </c>
      <c r="C52" s="486">
        <v>-84074115.473193392</v>
      </c>
      <c r="D52" s="487">
        <f t="shared" si="42"/>
        <v>-50444469.283916034</v>
      </c>
      <c r="E52" s="487">
        <f t="shared" si="43"/>
        <v>-33629646.189277358</v>
      </c>
      <c r="F52" s="486">
        <v>0</v>
      </c>
      <c r="G52" s="488">
        <f>+E52+F52</f>
        <v>-33629646.189277358</v>
      </c>
      <c r="H52" s="480" t="s">
        <v>926</v>
      </c>
      <c r="I52" s="489">
        <v>-10130697</v>
      </c>
      <c r="J52" s="505" t="s">
        <v>940</v>
      </c>
      <c r="K52" s="506">
        <v>0</v>
      </c>
      <c r="L52" s="489">
        <f t="shared" si="45"/>
        <v>-10130697</v>
      </c>
      <c r="M52" s="489">
        <f>+I52/10</f>
        <v>-1013069.7</v>
      </c>
      <c r="N52" s="489">
        <f t="shared" si="46"/>
        <v>-9117627.3000000007</v>
      </c>
      <c r="O52" s="489">
        <f>+I52/10</f>
        <v>-1013069.7</v>
      </c>
      <c r="P52" s="489">
        <f t="shared" si="47"/>
        <v>-8104557.6000000006</v>
      </c>
      <c r="Q52" s="489">
        <f>+P52/5</f>
        <v>-1620911.52</v>
      </c>
      <c r="R52" s="489">
        <f t="shared" ref="R52" si="52">+P52-Q52</f>
        <v>-6483646.0800000001</v>
      </c>
      <c r="S52" s="487">
        <f t="shared" ref="S52:Y52" si="53">+$P52/5</f>
        <v>-1620911.52</v>
      </c>
      <c r="T52" s="489">
        <f t="shared" si="48"/>
        <v>-4862734.5600000005</v>
      </c>
      <c r="U52" s="487">
        <f t="shared" si="53"/>
        <v>-1620911.52</v>
      </c>
      <c r="V52" s="489">
        <f t="shared" si="49"/>
        <v>-3241823.0400000005</v>
      </c>
      <c r="W52" s="487">
        <f t="shared" si="53"/>
        <v>-1620911.52</v>
      </c>
      <c r="X52" s="489">
        <f t="shared" si="50"/>
        <v>-1620911.5200000005</v>
      </c>
      <c r="Y52" s="487">
        <f t="shared" si="53"/>
        <v>-1620911.52</v>
      </c>
      <c r="Z52" s="489">
        <f t="shared" si="51"/>
        <v>0</v>
      </c>
    </row>
    <row r="53" spans="1:26" customFormat="1" ht="17.25" x14ac:dyDescent="0.35">
      <c r="A53" s="475">
        <f>+A52+1</f>
        <v>30</v>
      </c>
      <c r="B53" s="501" t="s">
        <v>930</v>
      </c>
      <c r="C53" s="494">
        <f>+SUM(C51:C52)</f>
        <v>-258391057.97319341</v>
      </c>
      <c r="D53" s="491">
        <f>+D51+D52</f>
        <v>-155034634.78391603</v>
      </c>
      <c r="E53" s="491">
        <f>+SUM(E51:E52)</f>
        <v>-103356423.18927735</v>
      </c>
      <c r="F53" s="491">
        <f>+SUM(F51:F52)</f>
        <v>0</v>
      </c>
      <c r="G53" s="491">
        <f>+SUM(G51:G52)</f>
        <v>-103356423.18927735</v>
      </c>
      <c r="H53" s="492"/>
      <c r="I53" s="507">
        <f t="shared" ref="I53:Z53" si="54">+SUM(I51:I52)</f>
        <v>-31152271.864719778</v>
      </c>
      <c r="J53" s="507"/>
      <c r="K53" s="507">
        <f t="shared" si="54"/>
        <v>0</v>
      </c>
      <c r="L53" s="507">
        <f t="shared" si="54"/>
        <v>-31152271.864719778</v>
      </c>
      <c r="M53" s="507">
        <f t="shared" si="54"/>
        <v>-2602144.7000000002</v>
      </c>
      <c r="N53" s="507">
        <f t="shared" si="54"/>
        <v>-28550127.164719779</v>
      </c>
      <c r="O53" s="508">
        <f t="shared" si="54"/>
        <v>-1855480.7</v>
      </c>
      <c r="P53" s="507">
        <f t="shared" si="54"/>
        <v>-26694646.46471978</v>
      </c>
      <c r="Q53" s="508">
        <f t="shared" si="54"/>
        <v>-2346667.52</v>
      </c>
      <c r="R53" s="507">
        <f t="shared" si="54"/>
        <v>-24347978.944719777</v>
      </c>
      <c r="S53" s="508">
        <f t="shared" si="54"/>
        <v>-2109961.3299148828</v>
      </c>
      <c r="T53" s="507">
        <f t="shared" si="54"/>
        <v>-22238017.614804894</v>
      </c>
      <c r="U53" s="508">
        <f t="shared" si="54"/>
        <v>-2017054.7132554813</v>
      </c>
      <c r="V53" s="507">
        <f t="shared" si="54"/>
        <v>-20220962.901549414</v>
      </c>
      <c r="W53" s="508">
        <f t="shared" si="54"/>
        <v>-2294417.422248594</v>
      </c>
      <c r="X53" s="507">
        <f t="shared" si="54"/>
        <v>-17926545.479300819</v>
      </c>
      <c r="Y53" s="508">
        <f t="shared" si="54"/>
        <v>-1620911.52</v>
      </c>
      <c r="Z53" s="507">
        <f t="shared" si="54"/>
        <v>-16305633.95930082</v>
      </c>
    </row>
    <row r="54" spans="1:26" customFormat="1" ht="15" x14ac:dyDescent="0.2">
      <c r="A54" s="475"/>
      <c r="B54" s="501"/>
      <c r="C54" s="491"/>
      <c r="D54" s="491"/>
      <c r="E54" s="491"/>
      <c r="F54" s="491"/>
      <c r="G54" s="491"/>
      <c r="H54" s="492"/>
      <c r="I54" s="491"/>
      <c r="J54" s="491"/>
      <c r="K54" s="491"/>
      <c r="L54" s="485"/>
      <c r="M54" s="485"/>
      <c r="N54" s="485"/>
      <c r="O54" s="485"/>
      <c r="P54" s="485"/>
      <c r="Q54" s="485"/>
      <c r="R54" s="485"/>
      <c r="S54" s="485"/>
      <c r="T54" s="485"/>
      <c r="U54" s="485"/>
      <c r="V54" s="485"/>
      <c r="W54" s="485"/>
      <c r="X54" s="485"/>
      <c r="Y54" s="485"/>
      <c r="Z54" s="485"/>
    </row>
    <row r="55" spans="1:26" customFormat="1" ht="15" x14ac:dyDescent="0.2">
      <c r="A55" s="475"/>
      <c r="B55" s="501" t="s">
        <v>931</v>
      </c>
      <c r="C55" s="491"/>
      <c r="D55" s="491"/>
      <c r="E55" s="491"/>
      <c r="F55" s="491"/>
      <c r="G55" s="491"/>
      <c r="H55" s="492"/>
      <c r="I55" s="491"/>
      <c r="J55" s="491"/>
      <c r="K55" s="491"/>
      <c r="L55" s="485"/>
      <c r="M55" s="485"/>
      <c r="N55" s="485"/>
      <c r="O55" s="485"/>
      <c r="P55" s="485"/>
      <c r="Q55" s="485"/>
      <c r="R55" s="485"/>
      <c r="S55" s="485"/>
      <c r="T55" s="485"/>
      <c r="U55" s="485"/>
      <c r="V55" s="485"/>
      <c r="W55" s="485"/>
      <c r="X55" s="485"/>
      <c r="Y55" s="485"/>
      <c r="Z55" s="485"/>
    </row>
    <row r="56" spans="1:26" customFormat="1" ht="15" x14ac:dyDescent="0.2">
      <c r="A56" s="475">
        <f>+A53+1</f>
        <v>31</v>
      </c>
      <c r="B56" s="504" t="s">
        <v>320</v>
      </c>
      <c r="C56" s="482">
        <v>-5722360</v>
      </c>
      <c r="D56" s="479">
        <f t="shared" ref="D56:D61" si="55">+C56*$I$80</f>
        <v>-3433416</v>
      </c>
      <c r="E56" s="479">
        <f t="shared" ref="E56:E61" si="56">+C56-D56</f>
        <v>-2288944</v>
      </c>
      <c r="F56" s="482">
        <v>0</v>
      </c>
      <c r="G56" s="484">
        <f>+E56-F56</f>
        <v>-2288944</v>
      </c>
      <c r="H56" s="480">
        <v>0.30148000000000003</v>
      </c>
      <c r="I56" s="479">
        <f t="shared" ref="I56:I60" si="57">+G56*H56</f>
        <v>-690070.83712000004</v>
      </c>
      <c r="J56" s="483" t="s">
        <v>914</v>
      </c>
      <c r="K56" s="484">
        <v>0</v>
      </c>
      <c r="L56" s="485">
        <f t="shared" ref="L56:L61" si="58">+I56-K56</f>
        <v>-690070.83712000004</v>
      </c>
      <c r="M56" s="485">
        <f>+I56/10</f>
        <v>-69007.083712000007</v>
      </c>
      <c r="N56" s="485">
        <f t="shared" ref="N56:N61" si="59">+L56-M56</f>
        <v>-621063.75340799999</v>
      </c>
      <c r="O56" s="485">
        <f>+I56/10</f>
        <v>-69007.083712000007</v>
      </c>
      <c r="P56" s="485">
        <f t="shared" ref="P56:P61" si="60">+N56-O56</f>
        <v>-552056.66969599994</v>
      </c>
      <c r="Q56" s="485">
        <f>+P56/5</f>
        <v>-110411.33393919999</v>
      </c>
      <c r="R56" s="485">
        <f t="shared" ref="R56:R61" si="61">+P56-Q56</f>
        <v>-441645.33575679996</v>
      </c>
      <c r="S56" s="479">
        <f t="shared" ref="S56:Y61" si="62">+$P56/5</f>
        <v>-110411.33393919999</v>
      </c>
      <c r="T56" s="485">
        <f t="shared" ref="T56:T61" si="63">+R56-S56</f>
        <v>-331234.00181759999</v>
      </c>
      <c r="U56" s="479">
        <f t="shared" si="62"/>
        <v>-110411.33393919999</v>
      </c>
      <c r="V56" s="485">
        <f t="shared" ref="V56:V61" si="64">+T56-U56</f>
        <v>-220822.66787840001</v>
      </c>
      <c r="W56" s="479">
        <f t="shared" si="62"/>
        <v>-110411.33393919999</v>
      </c>
      <c r="X56" s="485">
        <f t="shared" ref="X56:X61" si="65">+V56-W56</f>
        <v>-110411.33393920002</v>
      </c>
      <c r="Y56" s="479">
        <f t="shared" si="62"/>
        <v>-110411.33393919999</v>
      </c>
      <c r="Z56" s="485">
        <f t="shared" ref="Z56:Z61" si="66">+X56-Y56</f>
        <v>0</v>
      </c>
    </row>
    <row r="57" spans="1:26" customFormat="1" ht="15" x14ac:dyDescent="0.2">
      <c r="A57" s="475">
        <f>+A56+1</f>
        <v>32</v>
      </c>
      <c r="B57" s="504" t="s">
        <v>941</v>
      </c>
      <c r="C57" s="482">
        <v>-2442970</v>
      </c>
      <c r="D57" s="479">
        <f t="shared" si="55"/>
        <v>-1465782</v>
      </c>
      <c r="E57" s="479">
        <f t="shared" si="56"/>
        <v>-977188</v>
      </c>
      <c r="F57" s="482">
        <v>0</v>
      </c>
      <c r="G57" s="484">
        <f t="shared" ref="G57:G61" si="67">+E57-F57</f>
        <v>-977188</v>
      </c>
      <c r="H57" s="480">
        <v>0.14549999999999999</v>
      </c>
      <c r="I57" s="479">
        <f t="shared" si="57"/>
        <v>-142180.85399999999</v>
      </c>
      <c r="J57" s="483" t="s">
        <v>914</v>
      </c>
      <c r="K57" s="484">
        <v>0</v>
      </c>
      <c r="L57" s="485">
        <f t="shared" si="58"/>
        <v>-142180.85399999999</v>
      </c>
      <c r="M57" s="485">
        <f t="shared" ref="M57:M61" si="68">+I57/10</f>
        <v>-14218.0854</v>
      </c>
      <c r="N57" s="485">
        <f t="shared" si="59"/>
        <v>-127962.7686</v>
      </c>
      <c r="O57" s="485">
        <f t="shared" ref="O57:O61" si="69">+I57/10</f>
        <v>-14218.0854</v>
      </c>
      <c r="P57" s="485">
        <f t="shared" si="60"/>
        <v>-113744.6832</v>
      </c>
      <c r="Q57" s="485">
        <f t="shared" ref="Q57:Q61" si="70">+P57/5</f>
        <v>-22748.93664</v>
      </c>
      <c r="R57" s="485">
        <f t="shared" si="61"/>
        <v>-90995.74656</v>
      </c>
      <c r="S57" s="479">
        <f t="shared" si="62"/>
        <v>-22748.93664</v>
      </c>
      <c r="T57" s="485">
        <f t="shared" si="63"/>
        <v>-68246.80992</v>
      </c>
      <c r="U57" s="479">
        <f t="shared" si="62"/>
        <v>-22748.93664</v>
      </c>
      <c r="V57" s="485">
        <f t="shared" si="64"/>
        <v>-45497.87328</v>
      </c>
      <c r="W57" s="479">
        <f t="shared" si="62"/>
        <v>-22748.93664</v>
      </c>
      <c r="X57" s="485">
        <f t="shared" si="65"/>
        <v>-22748.93664</v>
      </c>
      <c r="Y57" s="479">
        <f t="shared" si="62"/>
        <v>-22748.93664</v>
      </c>
      <c r="Z57" s="485">
        <f t="shared" si="66"/>
        <v>0</v>
      </c>
    </row>
    <row r="58" spans="1:26" customFormat="1" ht="15" x14ac:dyDescent="0.2">
      <c r="A58" s="475">
        <f t="shared" ref="A58:A61" si="71">+A57+1</f>
        <v>33</v>
      </c>
      <c r="B58" s="504" t="s">
        <v>942</v>
      </c>
      <c r="C58" s="482">
        <v>-26686865</v>
      </c>
      <c r="D58" s="479">
        <f t="shared" si="55"/>
        <v>-16012119</v>
      </c>
      <c r="E58" s="479">
        <f t="shared" si="56"/>
        <v>-10674746</v>
      </c>
      <c r="F58" s="482">
        <v>0</v>
      </c>
      <c r="G58" s="484">
        <f t="shared" si="67"/>
        <v>-10674746</v>
      </c>
      <c r="H58" s="480">
        <v>0.14549999999999999</v>
      </c>
      <c r="I58" s="479">
        <f t="shared" si="57"/>
        <v>-1553175.5429999998</v>
      </c>
      <c r="J58" s="483" t="s">
        <v>914</v>
      </c>
      <c r="K58" s="484">
        <v>0</v>
      </c>
      <c r="L58" s="485">
        <f t="shared" si="58"/>
        <v>-1553175.5429999998</v>
      </c>
      <c r="M58" s="485">
        <f t="shared" si="68"/>
        <v>-155317.55429999999</v>
      </c>
      <c r="N58" s="485">
        <f t="shared" si="59"/>
        <v>-1397857.9886999999</v>
      </c>
      <c r="O58" s="485">
        <f t="shared" si="69"/>
        <v>-155317.55429999999</v>
      </c>
      <c r="P58" s="485">
        <f t="shared" si="60"/>
        <v>-1242540.4343999999</v>
      </c>
      <c r="Q58" s="485">
        <f t="shared" si="70"/>
        <v>-248508.08687999999</v>
      </c>
      <c r="R58" s="485">
        <f t="shared" si="61"/>
        <v>-994032.34751999995</v>
      </c>
      <c r="S58" s="479">
        <f t="shared" si="62"/>
        <v>-248508.08687999999</v>
      </c>
      <c r="T58" s="485">
        <f t="shared" si="63"/>
        <v>-745524.26063999999</v>
      </c>
      <c r="U58" s="479">
        <f t="shared" si="62"/>
        <v>-248508.08687999999</v>
      </c>
      <c r="V58" s="485">
        <f t="shared" si="64"/>
        <v>-497016.17376000003</v>
      </c>
      <c r="W58" s="479">
        <f t="shared" si="62"/>
        <v>-248508.08687999999</v>
      </c>
      <c r="X58" s="485">
        <f t="shared" si="65"/>
        <v>-248508.08688000005</v>
      </c>
      <c r="Y58" s="479">
        <f t="shared" si="62"/>
        <v>-248508.08687999999</v>
      </c>
      <c r="Z58" s="485">
        <f t="shared" si="66"/>
        <v>0</v>
      </c>
    </row>
    <row r="59" spans="1:26" customFormat="1" ht="15" x14ac:dyDescent="0.2">
      <c r="A59" s="475">
        <f t="shared" si="71"/>
        <v>34</v>
      </c>
      <c r="B59" s="504" t="s">
        <v>328</v>
      </c>
      <c r="C59" s="482">
        <v>-17226040</v>
      </c>
      <c r="D59" s="479">
        <f t="shared" si="55"/>
        <v>-10335624</v>
      </c>
      <c r="E59" s="479">
        <f t="shared" si="56"/>
        <v>-6890416</v>
      </c>
      <c r="F59" s="482">
        <v>0</v>
      </c>
      <c r="G59" s="484">
        <f t="shared" si="67"/>
        <v>-6890416</v>
      </c>
      <c r="H59" s="480">
        <v>0.14549999999999999</v>
      </c>
      <c r="I59" s="479">
        <f t="shared" si="57"/>
        <v>-1002555.5279999999</v>
      </c>
      <c r="J59" s="483" t="s">
        <v>914</v>
      </c>
      <c r="K59" s="484">
        <v>0</v>
      </c>
      <c r="L59" s="485">
        <f t="shared" si="58"/>
        <v>-1002555.5279999999</v>
      </c>
      <c r="M59" s="485">
        <f t="shared" si="68"/>
        <v>-100255.55279999999</v>
      </c>
      <c r="N59" s="485">
        <f t="shared" si="59"/>
        <v>-902299.97519999999</v>
      </c>
      <c r="O59" s="485">
        <f t="shared" si="69"/>
        <v>-100255.55279999999</v>
      </c>
      <c r="P59" s="485">
        <f t="shared" si="60"/>
        <v>-802044.42240000004</v>
      </c>
      <c r="Q59" s="485">
        <f t="shared" si="70"/>
        <v>-160408.88448000001</v>
      </c>
      <c r="R59" s="485">
        <f t="shared" si="61"/>
        <v>-641635.53792000003</v>
      </c>
      <c r="S59" s="479">
        <f t="shared" si="62"/>
        <v>-160408.88448000001</v>
      </c>
      <c r="T59" s="485">
        <f t="shared" si="63"/>
        <v>-481226.65344000002</v>
      </c>
      <c r="U59" s="479">
        <f t="shared" si="62"/>
        <v>-160408.88448000001</v>
      </c>
      <c r="V59" s="485">
        <f t="shared" si="64"/>
        <v>-320817.76896000002</v>
      </c>
      <c r="W59" s="479">
        <f t="shared" si="62"/>
        <v>-160408.88448000001</v>
      </c>
      <c r="X59" s="485">
        <f t="shared" si="65"/>
        <v>-160408.88448000001</v>
      </c>
      <c r="Y59" s="479">
        <f t="shared" si="62"/>
        <v>-160408.88448000001</v>
      </c>
      <c r="Z59" s="485">
        <f t="shared" si="66"/>
        <v>0</v>
      </c>
    </row>
    <row r="60" spans="1:26" customFormat="1" ht="15" x14ac:dyDescent="0.2">
      <c r="A60" s="475">
        <f t="shared" si="71"/>
        <v>35</v>
      </c>
      <c r="B60" s="504" t="s">
        <v>329</v>
      </c>
      <c r="C60" s="482">
        <v>681172.5</v>
      </c>
      <c r="D60" s="479">
        <f t="shared" si="55"/>
        <v>408703.5</v>
      </c>
      <c r="E60" s="479">
        <f t="shared" si="56"/>
        <v>272469</v>
      </c>
      <c r="F60" s="482">
        <v>0</v>
      </c>
      <c r="G60" s="484">
        <f t="shared" si="67"/>
        <v>272469</v>
      </c>
      <c r="H60" s="480">
        <v>0.14549999999999999</v>
      </c>
      <c r="I60" s="479">
        <f t="shared" si="57"/>
        <v>39644.239499999996</v>
      </c>
      <c r="J60" s="483" t="s">
        <v>914</v>
      </c>
      <c r="K60" s="484">
        <v>0</v>
      </c>
      <c r="L60" s="485">
        <f t="shared" si="58"/>
        <v>39644.239499999996</v>
      </c>
      <c r="M60" s="485">
        <f t="shared" si="68"/>
        <v>3964.4239499999994</v>
      </c>
      <c r="N60" s="485">
        <f t="shared" si="59"/>
        <v>35679.815549999999</v>
      </c>
      <c r="O60" s="485">
        <f t="shared" si="69"/>
        <v>3964.4239499999994</v>
      </c>
      <c r="P60" s="485">
        <f t="shared" si="60"/>
        <v>31715.391599999999</v>
      </c>
      <c r="Q60" s="485">
        <f t="shared" si="70"/>
        <v>6343.0783199999996</v>
      </c>
      <c r="R60" s="485">
        <f t="shared" si="61"/>
        <v>25372.313279999998</v>
      </c>
      <c r="S60" s="479">
        <f t="shared" si="62"/>
        <v>6343.0783199999996</v>
      </c>
      <c r="T60" s="485">
        <f t="shared" si="63"/>
        <v>19029.234959999998</v>
      </c>
      <c r="U60" s="479">
        <f t="shared" si="62"/>
        <v>6343.0783199999996</v>
      </c>
      <c r="V60" s="485">
        <f t="shared" si="64"/>
        <v>12686.156639999997</v>
      </c>
      <c r="W60" s="479">
        <f t="shared" si="62"/>
        <v>6343.0783199999996</v>
      </c>
      <c r="X60" s="485">
        <f t="shared" si="65"/>
        <v>6343.0783199999978</v>
      </c>
      <c r="Y60" s="479">
        <f t="shared" si="62"/>
        <v>6343.0783199999996</v>
      </c>
      <c r="Z60" s="485">
        <f t="shared" si="66"/>
        <v>0</v>
      </c>
    </row>
    <row r="61" spans="1:26" customFormat="1" ht="15" x14ac:dyDescent="0.2">
      <c r="A61" s="475">
        <f t="shared" si="71"/>
        <v>36</v>
      </c>
      <c r="B61" s="504" t="s">
        <v>331</v>
      </c>
      <c r="C61" s="486">
        <v>1347942.5</v>
      </c>
      <c r="D61" s="487">
        <f t="shared" si="55"/>
        <v>808765.5</v>
      </c>
      <c r="E61" s="487">
        <f t="shared" si="56"/>
        <v>539177</v>
      </c>
      <c r="F61" s="486">
        <v>0</v>
      </c>
      <c r="G61" s="506">
        <f t="shared" si="67"/>
        <v>539177</v>
      </c>
      <c r="H61" s="480" t="s">
        <v>926</v>
      </c>
      <c r="I61" s="488">
        <v>-1055740</v>
      </c>
      <c r="J61" s="483" t="s">
        <v>914</v>
      </c>
      <c r="K61" s="488">
        <v>0</v>
      </c>
      <c r="L61" s="489">
        <f t="shared" si="58"/>
        <v>-1055740</v>
      </c>
      <c r="M61" s="489">
        <f t="shared" si="68"/>
        <v>-105574</v>
      </c>
      <c r="N61" s="489">
        <f t="shared" si="59"/>
        <v>-950166</v>
      </c>
      <c r="O61" s="489">
        <f t="shared" si="69"/>
        <v>-105574</v>
      </c>
      <c r="P61" s="489">
        <f t="shared" si="60"/>
        <v>-844592</v>
      </c>
      <c r="Q61" s="489">
        <f t="shared" si="70"/>
        <v>-168918.39999999999</v>
      </c>
      <c r="R61" s="489">
        <f t="shared" si="61"/>
        <v>-675673.59999999998</v>
      </c>
      <c r="S61" s="487">
        <f t="shared" si="62"/>
        <v>-168918.39999999999</v>
      </c>
      <c r="T61" s="489">
        <f t="shared" si="63"/>
        <v>-506755.19999999995</v>
      </c>
      <c r="U61" s="487">
        <f t="shared" si="62"/>
        <v>-168918.39999999999</v>
      </c>
      <c r="V61" s="489">
        <f t="shared" si="64"/>
        <v>-337836.79999999993</v>
      </c>
      <c r="W61" s="487">
        <f t="shared" si="62"/>
        <v>-168918.39999999999</v>
      </c>
      <c r="X61" s="489">
        <f t="shared" si="65"/>
        <v>-168918.39999999994</v>
      </c>
      <c r="Y61" s="487">
        <f t="shared" si="62"/>
        <v>-168918.39999999999</v>
      </c>
      <c r="Z61" s="489">
        <f t="shared" si="66"/>
        <v>0</v>
      </c>
    </row>
    <row r="62" spans="1:26" customFormat="1" ht="17.25" x14ac:dyDescent="0.35">
      <c r="A62" s="475">
        <f>+A61+1</f>
        <v>37</v>
      </c>
      <c r="B62" s="475" t="s">
        <v>943</v>
      </c>
      <c r="C62" s="494">
        <f>+SUM(C56:C61)</f>
        <v>-50049120</v>
      </c>
      <c r="D62" s="491">
        <f>+SUM(D50:D61)</f>
        <v>-340098741.56783205</v>
      </c>
      <c r="E62" s="491">
        <f>+SUM(E56:E61)</f>
        <v>-20019648</v>
      </c>
      <c r="F62" s="491">
        <f>+SUM(F56:F61)</f>
        <v>0</v>
      </c>
      <c r="G62" s="491">
        <f>+SUM(G56:G61)</f>
        <v>-20019648</v>
      </c>
      <c r="H62" s="492"/>
      <c r="I62" s="491">
        <f t="shared" ref="I62:Z62" si="72">+SUM(I56:I61)</f>
        <v>-4404078.5226199999</v>
      </c>
      <c r="J62" s="491"/>
      <c r="K62" s="491">
        <f t="shared" si="72"/>
        <v>0</v>
      </c>
      <c r="L62" s="491">
        <f t="shared" si="72"/>
        <v>-4404078.5226199999</v>
      </c>
      <c r="M62" s="491">
        <f t="shared" si="72"/>
        <v>-440407.85226199997</v>
      </c>
      <c r="N62" s="491">
        <f t="shared" si="72"/>
        <v>-3963670.6703579999</v>
      </c>
      <c r="O62" s="484">
        <f t="shared" si="72"/>
        <v>-440407.85226199997</v>
      </c>
      <c r="P62" s="491">
        <f t="shared" si="72"/>
        <v>-3523262.8180959998</v>
      </c>
      <c r="Q62" s="484">
        <f t="shared" si="72"/>
        <v>-704652.56361920002</v>
      </c>
      <c r="R62" s="491">
        <f t="shared" si="72"/>
        <v>-2818610.2544768001</v>
      </c>
      <c r="S62" s="484">
        <f t="shared" si="72"/>
        <v>-704652.56361920002</v>
      </c>
      <c r="T62" s="491">
        <f t="shared" si="72"/>
        <v>-2113957.6908576</v>
      </c>
      <c r="U62" s="484">
        <f t="shared" si="72"/>
        <v>-704652.56361920002</v>
      </c>
      <c r="V62" s="491">
        <f t="shared" si="72"/>
        <v>-1409305.1272384003</v>
      </c>
      <c r="W62" s="484">
        <f t="shared" si="72"/>
        <v>-704652.56361920002</v>
      </c>
      <c r="X62" s="491">
        <f t="shared" si="72"/>
        <v>-704652.56361920002</v>
      </c>
      <c r="Y62" s="484">
        <f t="shared" si="72"/>
        <v>-704652.56361920002</v>
      </c>
      <c r="Z62" s="491">
        <f t="shared" si="72"/>
        <v>0</v>
      </c>
    </row>
    <row r="63" spans="1:26" customFormat="1" ht="17.25" x14ac:dyDescent="0.35">
      <c r="A63" s="475"/>
      <c r="B63" s="475"/>
      <c r="C63" s="475"/>
      <c r="D63" s="475"/>
      <c r="E63" s="494"/>
      <c r="F63" s="509"/>
      <c r="G63" s="494"/>
      <c r="H63" s="492"/>
      <c r="I63" s="494"/>
      <c r="J63" s="494"/>
      <c r="K63" s="494"/>
      <c r="L63" s="494"/>
      <c r="M63" s="494"/>
      <c r="N63" s="494"/>
      <c r="O63" s="510"/>
      <c r="P63" s="494"/>
      <c r="Q63" s="510"/>
      <c r="R63" s="494"/>
      <c r="S63" s="510"/>
      <c r="T63" s="494"/>
      <c r="U63" s="510"/>
      <c r="V63" s="494"/>
      <c r="W63" s="510"/>
      <c r="X63" s="494"/>
      <c r="Y63" s="510"/>
      <c r="Z63" s="494"/>
    </row>
    <row r="64" spans="1:26" customFormat="1" ht="32.25" x14ac:dyDescent="0.35">
      <c r="A64" s="475">
        <f>+A62+1</f>
        <v>38</v>
      </c>
      <c r="B64" s="501" t="s">
        <v>933</v>
      </c>
      <c r="C64" s="501"/>
      <c r="D64" s="501"/>
      <c r="E64" s="491">
        <f>+E48+E53+E62</f>
        <v>-123376071.18927735</v>
      </c>
      <c r="F64" s="491"/>
      <c r="G64" s="491">
        <f>+G48+G53+G62</f>
        <v>-123376071.18927735</v>
      </c>
      <c r="H64" s="492"/>
      <c r="I64" s="491">
        <f>+I48+I53+I62</f>
        <v>-35556350.387339778</v>
      </c>
      <c r="J64" s="494"/>
      <c r="K64" s="491">
        <f>+K48+K53+K62</f>
        <v>0</v>
      </c>
      <c r="L64" s="491">
        <f>+L48+L53+L62</f>
        <v>-35556350.387339778</v>
      </c>
      <c r="M64" s="491">
        <f>+M48+M53+M62</f>
        <v>-3042552.5522620003</v>
      </c>
      <c r="N64" s="491">
        <f t="shared" ref="N64:Z64" si="73">+N48+N53+N62</f>
        <v>-32513797.835077778</v>
      </c>
      <c r="O64" s="491">
        <f t="shared" si="73"/>
        <v>-2295888.5522619998</v>
      </c>
      <c r="P64" s="491">
        <f t="shared" si="73"/>
        <v>-30217909.28281578</v>
      </c>
      <c r="Q64" s="491">
        <f t="shared" si="73"/>
        <v>-3051320.0836192002</v>
      </c>
      <c r="R64" s="491">
        <f t="shared" si="73"/>
        <v>-27166589.199196577</v>
      </c>
      <c r="S64" s="491">
        <f t="shared" si="73"/>
        <v>-2814613.8935340829</v>
      </c>
      <c r="T64" s="491">
        <f t="shared" si="73"/>
        <v>-24351975.305662494</v>
      </c>
      <c r="U64" s="491">
        <f t="shared" si="73"/>
        <v>-2721707.2768746815</v>
      </c>
      <c r="V64" s="491">
        <f t="shared" si="73"/>
        <v>-21630268.028787814</v>
      </c>
      <c r="W64" s="491">
        <f t="shared" si="73"/>
        <v>-2999069.9858677941</v>
      </c>
      <c r="X64" s="491">
        <f t="shared" si="73"/>
        <v>-18631198.042920019</v>
      </c>
      <c r="Y64" s="491">
        <f t="shared" si="73"/>
        <v>-2325564.0836192002</v>
      </c>
      <c r="Z64" s="491">
        <f t="shared" si="73"/>
        <v>-16305633.95930082</v>
      </c>
    </row>
    <row r="65" spans="1:27" customFormat="1" ht="15" x14ac:dyDescent="0.2">
      <c r="A65" s="475">
        <f>+A64+1</f>
        <v>39</v>
      </c>
      <c r="B65" s="501" t="s">
        <v>934</v>
      </c>
      <c r="C65" s="501"/>
      <c r="D65" s="501"/>
      <c r="E65" s="495">
        <v>0.26582278481012656</v>
      </c>
      <c r="F65" s="495"/>
      <c r="G65" s="495">
        <v>-31917281.164556958</v>
      </c>
      <c r="H65" s="492"/>
      <c r="I65" s="495">
        <v>-9186715.9257485475</v>
      </c>
      <c r="J65" s="491"/>
      <c r="K65" s="491"/>
      <c r="L65" s="495">
        <v>-9186715.9257485475</v>
      </c>
      <c r="M65" s="485"/>
      <c r="N65" s="495">
        <v>-8404433.3485649787</v>
      </c>
      <c r="O65" s="485"/>
      <c r="P65" s="495">
        <v>-7651869.4066739334</v>
      </c>
      <c r="Q65" s="485"/>
      <c r="R65" s="495">
        <v>-7076077.0300156642</v>
      </c>
      <c r="S65" s="485"/>
      <c r="T65" s="495">
        <v>-6500284.6533573978</v>
      </c>
      <c r="U65" s="485"/>
      <c r="V65" s="495">
        <v>-5924492.2766991286</v>
      </c>
      <c r="W65" s="485"/>
      <c r="X65" s="495">
        <v>-5348699.9000408603</v>
      </c>
      <c r="Y65" s="485"/>
      <c r="Z65" s="495">
        <v>-4772907.523382592</v>
      </c>
    </row>
    <row r="66" spans="1:27" customFormat="1" ht="30" x14ac:dyDescent="0.2">
      <c r="A66" s="475">
        <f>+A65+1</f>
        <v>40</v>
      </c>
      <c r="B66" s="501" t="s">
        <v>944</v>
      </c>
      <c r="C66" s="501"/>
      <c r="D66" s="501"/>
      <c r="E66" s="511">
        <f>+E64+E65</f>
        <v>-123376070.92345457</v>
      </c>
      <c r="F66" s="512"/>
      <c r="G66" s="511">
        <f>+G64+G65</f>
        <v>-155293352.3538343</v>
      </c>
      <c r="H66" s="513"/>
      <c r="I66" s="511">
        <f>+I64+I65</f>
        <v>-44743066.313088328</v>
      </c>
      <c r="J66" s="512"/>
      <c r="K66" s="512"/>
      <c r="L66" s="511">
        <f>+L64+L65</f>
        <v>-44743066.313088328</v>
      </c>
      <c r="M66" s="512"/>
      <c r="N66" s="511">
        <f>+N64+N65</f>
        <v>-40918231.18364276</v>
      </c>
      <c r="O66" s="514"/>
      <c r="P66" s="511">
        <f>+P64+P65</f>
        <v>-37869778.689489715</v>
      </c>
      <c r="Q66" s="514"/>
      <c r="R66" s="511">
        <f>+R64+R65</f>
        <v>-34242666.229212239</v>
      </c>
      <c r="S66" s="514"/>
      <c r="T66" s="511">
        <f>+T64+T65</f>
        <v>-30852259.959019892</v>
      </c>
      <c r="U66" s="514"/>
      <c r="V66" s="511">
        <f>+V64+V65</f>
        <v>-27554760.305486944</v>
      </c>
      <c r="W66" s="514"/>
      <c r="X66" s="511">
        <f>+X64+X65</f>
        <v>-23979897.942960881</v>
      </c>
      <c r="Y66" s="514"/>
      <c r="Z66" s="511">
        <f>+Z64+Z65</f>
        <v>-21078541.482683413</v>
      </c>
    </row>
    <row r="67" spans="1:27" customFormat="1" ht="15" x14ac:dyDescent="0.2">
      <c r="A67" s="475"/>
      <c r="B67" s="501"/>
      <c r="C67" s="501"/>
      <c r="D67" s="501"/>
      <c r="E67" s="512"/>
      <c r="F67" s="512"/>
      <c r="G67" s="512"/>
      <c r="H67" s="492"/>
      <c r="I67" s="512"/>
      <c r="J67" s="512"/>
      <c r="K67" s="512"/>
      <c r="L67" s="512"/>
      <c r="M67" s="512"/>
      <c r="N67" s="512"/>
      <c r="O67" s="514"/>
      <c r="P67" s="512"/>
      <c r="Q67" s="514"/>
      <c r="R67" s="512"/>
      <c r="S67" s="514"/>
      <c r="T67" s="512"/>
      <c r="U67" s="514"/>
      <c r="V67" s="512"/>
      <c r="W67" s="514"/>
      <c r="X67" s="512"/>
      <c r="Y67" s="514"/>
      <c r="Z67" s="512"/>
    </row>
    <row r="68" spans="1:27" customFormat="1" ht="15" x14ac:dyDescent="0.2">
      <c r="A68" s="475">
        <f>+A66+1</f>
        <v>41</v>
      </c>
      <c r="B68" s="501" t="s">
        <v>432</v>
      </c>
      <c r="C68" s="501"/>
      <c r="D68" s="501"/>
      <c r="E68" s="512">
        <f>+E40+E66</f>
        <v>-119471996.92345457</v>
      </c>
      <c r="F68" s="512"/>
      <c r="G68" s="512">
        <f>+G40+G66</f>
        <v>-150351486.53104949</v>
      </c>
      <c r="H68" s="492"/>
      <c r="I68" s="512">
        <f>+I40+I66</f>
        <v>-44118072.387898453</v>
      </c>
      <c r="J68" s="512"/>
      <c r="K68" s="512"/>
      <c r="L68" s="512">
        <f>+L40+L66</f>
        <v>-44118072.387898453</v>
      </c>
      <c r="M68" s="512"/>
      <c r="N68" s="512">
        <f>+N40+N66</f>
        <v>-40355736.650971875</v>
      </c>
      <c r="O68" s="514"/>
      <c r="P68" s="512">
        <f>+P40+P66</f>
        <v>-37369783.549337819</v>
      </c>
      <c r="Q68" s="514"/>
      <c r="R68" s="512">
        <f>+R40+R66</f>
        <v>-33842670.117090717</v>
      </c>
      <c r="S68" s="514"/>
      <c r="T68" s="512">
        <f>+T40+T66</f>
        <v>-30552262.874928754</v>
      </c>
      <c r="U68" s="514"/>
      <c r="V68" s="512">
        <f>+V40+V66</f>
        <v>-27300351.927610286</v>
      </c>
      <c r="W68" s="514"/>
      <c r="X68" s="512">
        <f>+X40+X66</f>
        <v>-23879898.9149305</v>
      </c>
      <c r="Y68" s="514"/>
      <c r="Z68" s="512">
        <f>+Z40+Z66</f>
        <v>-21078541.482683413</v>
      </c>
    </row>
    <row r="69" spans="1:27" customFormat="1" ht="15" x14ac:dyDescent="0.2">
      <c r="A69" s="475"/>
      <c r="B69" s="501"/>
      <c r="C69" s="501"/>
      <c r="D69" s="501"/>
      <c r="E69" s="512"/>
      <c r="F69" s="512"/>
      <c r="G69" s="512"/>
      <c r="H69" s="492"/>
      <c r="I69" s="512"/>
      <c r="J69" s="512"/>
      <c r="K69" s="512"/>
      <c r="L69" s="512"/>
      <c r="M69" s="512"/>
      <c r="N69" s="512"/>
      <c r="O69" s="514"/>
      <c r="P69" s="512"/>
      <c r="Q69" s="512"/>
      <c r="R69" s="512"/>
      <c r="S69" s="515"/>
      <c r="T69" s="515"/>
      <c r="U69" s="515"/>
      <c r="V69" s="515"/>
      <c r="W69" s="515"/>
      <c r="X69" s="515"/>
    </row>
    <row r="70" spans="1:27" customFormat="1" ht="15" x14ac:dyDescent="0.2">
      <c r="A70" s="475">
        <f>+A68+1</f>
        <v>42</v>
      </c>
      <c r="B70" s="475" t="s">
        <v>945</v>
      </c>
      <c r="C70" s="475"/>
      <c r="D70" s="475"/>
      <c r="E70" s="475"/>
      <c r="F70" s="475"/>
      <c r="G70" s="475"/>
      <c r="H70" s="475"/>
      <c r="I70" s="475"/>
      <c r="J70" s="475"/>
      <c r="K70" s="475"/>
      <c r="L70" s="475"/>
      <c r="M70" s="485">
        <f>+M38+M64</f>
        <v>-2993178.0321720005</v>
      </c>
      <c r="N70" s="475"/>
      <c r="O70" s="485">
        <f>+O38+O64</f>
        <v>-2246514.032172</v>
      </c>
      <c r="P70" s="475"/>
      <c r="Q70" s="485">
        <f>+Q38+Q64</f>
        <v>-2972320.8514752002</v>
      </c>
      <c r="S70" s="485">
        <f>+S38+S64</f>
        <v>-2735614.6613900829</v>
      </c>
      <c r="U70" s="485">
        <f>+U38+U64</f>
        <v>-2642708.0447306815</v>
      </c>
      <c r="W70" s="485">
        <f>+W38+W64</f>
        <v>-2920070.7537237941</v>
      </c>
      <c r="Y70" s="485">
        <f>+Y38+Y64</f>
        <v>-2246564.8514752002</v>
      </c>
      <c r="AA70" s="485"/>
    </row>
    <row r="71" spans="1:27" x14ac:dyDescent="0.3">
      <c r="P71" s="308"/>
    </row>
    <row r="72" spans="1:27" x14ac:dyDescent="0.3">
      <c r="B72" s="644" t="s">
        <v>946</v>
      </c>
      <c r="C72" s="644"/>
      <c r="D72" s="644"/>
      <c r="E72" s="644"/>
      <c r="F72" s="644"/>
      <c r="G72" s="644"/>
      <c r="H72" s="644"/>
      <c r="I72" s="644"/>
      <c r="J72" s="644"/>
      <c r="K72" s="644"/>
      <c r="L72" s="644"/>
    </row>
    <row r="73" spans="1:27" x14ac:dyDescent="0.3">
      <c r="B73" s="266" t="s">
        <v>947</v>
      </c>
    </row>
    <row r="74" spans="1:27" x14ac:dyDescent="0.3">
      <c r="B74" s="644" t="s">
        <v>948</v>
      </c>
      <c r="C74" s="644"/>
      <c r="D74" s="644"/>
      <c r="E74" s="644"/>
      <c r="F74" s="644"/>
      <c r="G74" s="644"/>
      <c r="H74" s="644"/>
      <c r="I74" s="644"/>
      <c r="J74" s="644"/>
      <c r="K74" s="644"/>
      <c r="L74" s="644"/>
    </row>
    <row r="75" spans="1:27" x14ac:dyDescent="0.3">
      <c r="B75" s="266" t="s">
        <v>949</v>
      </c>
    </row>
    <row r="76" spans="1:27" x14ac:dyDescent="0.3">
      <c r="B76" s="266" t="s">
        <v>950</v>
      </c>
    </row>
    <row r="77" spans="1:27" x14ac:dyDescent="0.3">
      <c r="B77" s="266" t="s">
        <v>951</v>
      </c>
    </row>
    <row r="78" spans="1:27" x14ac:dyDescent="0.3">
      <c r="E78" s="266" t="s">
        <v>952</v>
      </c>
      <c r="I78" s="295">
        <v>0.21</v>
      </c>
      <c r="J78" s="295"/>
    </row>
    <row r="79" spans="1:27" x14ac:dyDescent="0.3">
      <c r="E79" s="266" t="s">
        <v>953</v>
      </c>
      <c r="I79" s="295">
        <v>0.35</v>
      </c>
      <c r="J79" s="295"/>
    </row>
    <row r="80" spans="1:27" x14ac:dyDescent="0.3">
      <c r="E80" s="266" t="s">
        <v>954</v>
      </c>
      <c r="I80" s="295">
        <f>+I78/I79</f>
        <v>0.6</v>
      </c>
      <c r="J80" s="295"/>
    </row>
  </sheetData>
  <mergeCells count="3">
    <mergeCell ref="B72:L72"/>
    <mergeCell ref="B74:L74"/>
    <mergeCell ref="B4:C4"/>
  </mergeCells>
  <pageMargins left="0.7" right="0.7" top="0.75" bottom="0.75" header="0.3" footer="0.3"/>
  <pageSetup scale="40" orientation="landscape"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pageSetUpPr fitToPage="1"/>
  </sheetPr>
  <dimension ref="A1:W24"/>
  <sheetViews>
    <sheetView zoomScale="80" zoomScaleNormal="80" zoomScaleSheetLayoutView="90" workbookViewId="0">
      <selection activeCell="V28" sqref="V28"/>
    </sheetView>
  </sheetViews>
  <sheetFormatPr defaultColWidth="9.140625" defaultRowHeight="20.25" x14ac:dyDescent="0.3"/>
  <cols>
    <col min="1" max="1" width="3.28515625" style="266" customWidth="1"/>
    <col min="2" max="5" width="9.140625" style="266"/>
    <col min="6" max="6" width="19" style="266" bestFit="1" customWidth="1"/>
    <col min="7" max="16" width="18" style="266" bestFit="1" customWidth="1"/>
    <col min="17" max="17" width="18.140625" style="266" bestFit="1" customWidth="1"/>
    <col min="18" max="18" width="18.42578125" style="266" bestFit="1" customWidth="1"/>
    <col min="19" max="19" width="18.140625" style="266" bestFit="1" customWidth="1"/>
    <col min="20" max="20" width="5" style="266" customWidth="1"/>
    <col min="21" max="21" width="18" style="266" bestFit="1" customWidth="1"/>
    <col min="22" max="23" width="16.140625" style="266" bestFit="1" customWidth="1"/>
    <col min="24" max="16384" width="9.140625" style="266"/>
  </cols>
  <sheetData>
    <row r="1" spans="1:23" ht="21.75" customHeight="1" x14ac:dyDescent="0.3">
      <c r="B1" s="645" t="str">
        <f>+'9 - Excess ADIT'!I2</f>
        <v>Dayton Power and Light</v>
      </c>
      <c r="C1" s="645"/>
      <c r="D1" s="645"/>
      <c r="E1" s="645"/>
      <c r="F1" s="645"/>
      <c r="G1" s="645"/>
      <c r="H1" s="645"/>
      <c r="I1" s="645"/>
      <c r="J1" s="645"/>
      <c r="K1" s="645"/>
      <c r="L1" s="645"/>
      <c r="M1" s="645"/>
    </row>
    <row r="2" spans="1:23" ht="18" customHeight="1" x14ac:dyDescent="0.3">
      <c r="B2" s="645" t="str">
        <f>+'9 - Excess ADIT'!I3</f>
        <v>ATTACHMENT H-15A, Effective April 17, 2024; Docket No. ER24-1268</v>
      </c>
      <c r="C2" s="645"/>
      <c r="D2" s="645"/>
      <c r="E2" s="645"/>
      <c r="F2" s="645"/>
      <c r="G2" s="645"/>
      <c r="H2" s="645"/>
      <c r="I2" s="645"/>
      <c r="J2" s="645"/>
      <c r="K2" s="645"/>
      <c r="L2" s="645"/>
      <c r="M2" s="645"/>
      <c r="Q2" s="299"/>
    </row>
    <row r="3" spans="1:23" x14ac:dyDescent="0.3">
      <c r="B3" s="645" t="s">
        <v>955</v>
      </c>
      <c r="C3" s="645"/>
      <c r="D3" s="645"/>
      <c r="E3" s="645"/>
      <c r="F3" s="645"/>
      <c r="G3" s="645"/>
      <c r="H3" s="645"/>
      <c r="I3" s="645"/>
      <c r="J3" s="645"/>
      <c r="K3" s="645"/>
      <c r="L3" s="645"/>
      <c r="M3" s="645"/>
      <c r="N3" s="302"/>
      <c r="O3" s="302"/>
    </row>
    <row r="4" spans="1:23" x14ac:dyDescent="0.3">
      <c r="B4" s="684">
        <v>46022</v>
      </c>
      <c r="C4" s="648"/>
      <c r="D4" s="648"/>
      <c r="E4" s="648"/>
      <c r="F4" s="648"/>
      <c r="G4" s="648"/>
      <c r="H4" s="648"/>
      <c r="I4" s="648"/>
      <c r="J4" s="648"/>
      <c r="K4" s="648"/>
      <c r="L4" s="648"/>
      <c r="M4" s="648"/>
      <c r="N4" s="302"/>
      <c r="O4" s="302"/>
    </row>
    <row r="5" spans="1:23" x14ac:dyDescent="0.3">
      <c r="H5" s="198"/>
      <c r="I5" s="302"/>
      <c r="J5" s="302"/>
      <c r="K5" s="302"/>
      <c r="L5" s="302"/>
      <c r="M5" s="302"/>
      <c r="N5" s="302"/>
      <c r="O5" s="302"/>
    </row>
    <row r="6" spans="1:23" x14ac:dyDescent="0.3">
      <c r="B6" s="266" t="s">
        <v>411</v>
      </c>
      <c r="I6" s="302"/>
      <c r="J6" s="302"/>
      <c r="K6" s="302"/>
      <c r="L6" s="302"/>
      <c r="M6" s="302"/>
      <c r="N6" s="302"/>
      <c r="O6" s="302"/>
    </row>
    <row r="7" spans="1:23" ht="21" thickBot="1" x14ac:dyDescent="0.35"/>
    <row r="8" spans="1:23" ht="21" thickBot="1" x14ac:dyDescent="0.35">
      <c r="B8" s="266" t="s">
        <v>956</v>
      </c>
      <c r="U8" s="24"/>
      <c r="V8" s="23" t="s">
        <v>957</v>
      </c>
      <c r="W8" s="22" t="s">
        <v>958</v>
      </c>
    </row>
    <row r="9" spans="1:23" ht="21" thickBot="1" x14ac:dyDescent="0.35">
      <c r="F9" s="21" t="s">
        <v>959</v>
      </c>
      <c r="G9" s="153" t="s">
        <v>517</v>
      </c>
      <c r="H9" s="153" t="s">
        <v>518</v>
      </c>
      <c r="I9" s="153" t="s">
        <v>519</v>
      </c>
      <c r="J9" s="153" t="s">
        <v>520</v>
      </c>
      <c r="K9" s="153" t="s">
        <v>382</v>
      </c>
      <c r="L9" s="153" t="s">
        <v>521</v>
      </c>
      <c r="M9" s="153" t="s">
        <v>522</v>
      </c>
      <c r="N9" s="153" t="s">
        <v>523</v>
      </c>
      <c r="O9" s="153" t="s">
        <v>524</v>
      </c>
      <c r="P9" s="153" t="s">
        <v>525</v>
      </c>
      <c r="Q9" s="153" t="s">
        <v>526</v>
      </c>
      <c r="R9" s="153" t="s">
        <v>527</v>
      </c>
      <c r="S9" s="110" t="s">
        <v>528</v>
      </c>
      <c r="T9" s="84"/>
      <c r="U9" s="20" t="s">
        <v>275</v>
      </c>
      <c r="V9" s="573" t="s">
        <v>431</v>
      </c>
      <c r="W9" s="19" t="s">
        <v>431</v>
      </c>
    </row>
    <row r="10" spans="1:23" x14ac:dyDescent="0.3">
      <c r="B10" s="201" t="s">
        <v>960</v>
      </c>
      <c r="V10" s="295">
        <f>+'Appendix A'!H16</f>
        <v>0.11010683301047983</v>
      </c>
      <c r="W10" s="295">
        <f>+'Appendix A'!H24</f>
        <v>0.25732762408388815</v>
      </c>
    </row>
    <row r="12" spans="1:23" x14ac:dyDescent="0.3">
      <c r="A12" s="266">
        <v>1</v>
      </c>
      <c r="B12" s="266" t="s">
        <v>961</v>
      </c>
      <c r="F12" s="244">
        <v>-1374187</v>
      </c>
      <c r="G12" s="244">
        <v>-1934908</v>
      </c>
      <c r="H12" s="244">
        <v>-1987974</v>
      </c>
      <c r="I12" s="244">
        <v>-2527488</v>
      </c>
      <c r="J12" s="244">
        <v>-2826767</v>
      </c>
      <c r="K12" s="244">
        <v>-1932968</v>
      </c>
      <c r="L12" s="244">
        <v>-1344337</v>
      </c>
      <c r="M12" s="244">
        <v>-1808277</v>
      </c>
      <c r="N12" s="244">
        <v>-2440249</v>
      </c>
      <c r="O12" s="244">
        <v>-2789705</v>
      </c>
      <c r="P12" s="244">
        <v>-2979654</v>
      </c>
      <c r="Q12" s="244">
        <v>-1436730</v>
      </c>
      <c r="R12" s="244">
        <v>-1833531</v>
      </c>
      <c r="S12" s="308">
        <f>+AVERAGE(F12:R12)</f>
        <v>-2093598.076923077</v>
      </c>
      <c r="T12" s="308"/>
      <c r="U12" s="308">
        <f>+S12</f>
        <v>-2093598.076923077</v>
      </c>
      <c r="V12" s="308"/>
      <c r="W12" s="308"/>
    </row>
    <row r="13" spans="1:23" x14ac:dyDescent="0.3">
      <c r="F13" s="308"/>
      <c r="G13" s="308"/>
      <c r="H13" s="308"/>
      <c r="I13" s="308"/>
      <c r="J13" s="308"/>
      <c r="K13" s="308"/>
      <c r="L13" s="308"/>
      <c r="M13" s="308"/>
      <c r="S13" s="308"/>
      <c r="T13" s="308"/>
      <c r="U13" s="308"/>
      <c r="V13" s="308"/>
      <c r="W13" s="308"/>
    </row>
    <row r="14" spans="1:23" x14ac:dyDescent="0.3">
      <c r="A14" s="266">
        <f>+A12+1</f>
        <v>2</v>
      </c>
      <c r="B14" s="266" t="s">
        <v>962</v>
      </c>
      <c r="F14" s="244">
        <v>-10248787</v>
      </c>
      <c r="G14" s="244">
        <v>-9346883</v>
      </c>
      <c r="H14" s="244">
        <v>-10196550</v>
      </c>
      <c r="I14" s="244">
        <v>-8170337</v>
      </c>
      <c r="J14" s="244">
        <v>-8679986</v>
      </c>
      <c r="K14" s="244">
        <v>-9222437</v>
      </c>
      <c r="L14" s="244">
        <v>-10331359</v>
      </c>
      <c r="M14" s="244">
        <v>-10735743</v>
      </c>
      <c r="N14" s="244">
        <v>-10490516</v>
      </c>
      <c r="O14" s="244">
        <v>-11053389</v>
      </c>
      <c r="P14" s="244">
        <v>-11577728</v>
      </c>
      <c r="Q14" s="244">
        <v>-11280284</v>
      </c>
      <c r="R14" s="244">
        <v>-12092235</v>
      </c>
      <c r="S14" s="308">
        <f>+AVERAGE(F14:R14)</f>
        <v>-10263556.461538462</v>
      </c>
      <c r="T14" s="308"/>
      <c r="U14" s="308"/>
      <c r="V14" s="308">
        <f>+S14*V10</f>
        <v>-1130087.6974042465</v>
      </c>
      <c r="W14" s="308"/>
    </row>
    <row r="15" spans="1:23" x14ac:dyDescent="0.3">
      <c r="F15" s="308"/>
      <c r="G15" s="308"/>
      <c r="H15" s="308"/>
      <c r="I15" s="308"/>
      <c r="J15" s="308"/>
      <c r="K15" s="308"/>
      <c r="L15" s="308"/>
      <c r="M15" s="308"/>
      <c r="S15" s="308"/>
      <c r="T15" s="308"/>
      <c r="U15" s="308"/>
      <c r="V15" s="308"/>
      <c r="W15" s="308"/>
    </row>
    <row r="16" spans="1:23" x14ac:dyDescent="0.3">
      <c r="A16" s="266">
        <f>+A14+1</f>
        <v>3</v>
      </c>
      <c r="B16" s="266" t="s">
        <v>963</v>
      </c>
      <c r="F16" s="244">
        <v>0</v>
      </c>
      <c r="G16" s="244">
        <v>-1021916</v>
      </c>
      <c r="H16" s="244">
        <v>-1103610</v>
      </c>
      <c r="I16" s="244">
        <v>-1099232</v>
      </c>
      <c r="J16" s="244">
        <v>36851</v>
      </c>
      <c r="K16" s="244">
        <v>-809231</v>
      </c>
      <c r="L16" s="244">
        <v>-954637</v>
      </c>
      <c r="M16" s="244">
        <v>-1718938</v>
      </c>
      <c r="N16" s="244">
        <v>-879032</v>
      </c>
      <c r="O16" s="244">
        <v>0</v>
      </c>
      <c r="P16" s="244">
        <v>-1005616</v>
      </c>
      <c r="Q16" s="244">
        <v>-971037</v>
      </c>
      <c r="R16" s="244">
        <v>229037</v>
      </c>
      <c r="S16" s="308">
        <f>+AVERAGE(F16:R16)</f>
        <v>-715181.61538461538</v>
      </c>
      <c r="T16" s="308"/>
      <c r="U16" s="308">
        <f>+S16</f>
        <v>-715181.61538461538</v>
      </c>
      <c r="V16" s="308"/>
      <c r="W16" s="308"/>
    </row>
    <row r="17" spans="1:23" x14ac:dyDescent="0.3">
      <c r="F17" s="308"/>
      <c r="G17" s="308"/>
      <c r="H17" s="308"/>
      <c r="I17" s="308"/>
      <c r="J17" s="308"/>
      <c r="K17" s="308"/>
      <c r="L17" s="308"/>
      <c r="M17" s="308"/>
      <c r="S17" s="308"/>
      <c r="T17" s="308"/>
      <c r="U17" s="308"/>
      <c r="V17" s="308"/>
      <c r="W17" s="308"/>
    </row>
    <row r="18" spans="1:23" x14ac:dyDescent="0.3">
      <c r="A18" s="266">
        <f>+A16+1</f>
        <v>4</v>
      </c>
      <c r="B18" s="266" t="s">
        <v>331</v>
      </c>
      <c r="F18" s="165">
        <v>-5913794</v>
      </c>
      <c r="G18" s="165">
        <v>-12063062</v>
      </c>
      <c r="H18" s="165">
        <v>-8005598</v>
      </c>
      <c r="I18" s="165">
        <v>-8504436</v>
      </c>
      <c r="J18" s="165">
        <v>-6683404</v>
      </c>
      <c r="K18" s="165">
        <v>-6915623</v>
      </c>
      <c r="L18" s="165">
        <v>-7049875</v>
      </c>
      <c r="M18" s="165">
        <v>-7647505</v>
      </c>
      <c r="N18" s="165">
        <v>-9225084</v>
      </c>
      <c r="O18" s="165">
        <v>-8078413</v>
      </c>
      <c r="P18" s="165">
        <v>-6792533</v>
      </c>
      <c r="Q18" s="165">
        <v>-6137946</v>
      </c>
      <c r="R18" s="165">
        <v>-5600847</v>
      </c>
      <c r="S18" s="308">
        <f>+AVERAGE(F18:R18)</f>
        <v>-7586009.230769231</v>
      </c>
      <c r="T18" s="308"/>
      <c r="U18" s="308">
        <f>+S18</f>
        <v>-7586009.230769231</v>
      </c>
      <c r="V18" s="308"/>
      <c r="W18" s="308"/>
    </row>
    <row r="19" spans="1:23" x14ac:dyDescent="0.3">
      <c r="F19" s="308"/>
      <c r="G19" s="308"/>
      <c r="H19" s="308"/>
      <c r="I19" s="308"/>
      <c r="J19" s="308"/>
      <c r="K19" s="308"/>
      <c r="L19" s="308"/>
      <c r="M19" s="308"/>
      <c r="S19" s="308"/>
      <c r="T19" s="308"/>
      <c r="U19" s="308"/>
      <c r="V19" s="308"/>
      <c r="W19" s="308"/>
    </row>
    <row r="20" spans="1:23" x14ac:dyDescent="0.3">
      <c r="A20" s="266">
        <f>+A18+1</f>
        <v>5</v>
      </c>
      <c r="B20" s="266" t="s">
        <v>69</v>
      </c>
      <c r="F20" s="308">
        <f>+SUM(F12:F18)</f>
        <v>-17536768</v>
      </c>
      <c r="G20" s="308">
        <f t="shared" ref="G20:R20" si="0">+SUM(G12:G18)</f>
        <v>-24366769</v>
      </c>
      <c r="H20" s="308">
        <f t="shared" si="0"/>
        <v>-21293732</v>
      </c>
      <c r="I20" s="308">
        <f t="shared" si="0"/>
        <v>-20301493</v>
      </c>
      <c r="J20" s="308">
        <f t="shared" si="0"/>
        <v>-18153306</v>
      </c>
      <c r="K20" s="308">
        <f t="shared" si="0"/>
        <v>-18880259</v>
      </c>
      <c r="L20" s="308">
        <f t="shared" si="0"/>
        <v>-19680208</v>
      </c>
      <c r="M20" s="308">
        <f t="shared" si="0"/>
        <v>-21910463</v>
      </c>
      <c r="N20" s="308">
        <f t="shared" si="0"/>
        <v>-23034881</v>
      </c>
      <c r="O20" s="308">
        <f t="shared" si="0"/>
        <v>-21921507</v>
      </c>
      <c r="P20" s="308">
        <f t="shared" si="0"/>
        <v>-22355531</v>
      </c>
      <c r="Q20" s="308">
        <f t="shared" si="0"/>
        <v>-19825997</v>
      </c>
      <c r="R20" s="308">
        <f t="shared" si="0"/>
        <v>-19297576</v>
      </c>
      <c r="S20" s="240">
        <f>+SUM(F20:R20)/13</f>
        <v>-20658345.384615384</v>
      </c>
      <c r="T20" s="308"/>
      <c r="U20" s="308">
        <f t="shared" ref="U20:W20" si="1">+SUM(U12:U18)</f>
        <v>-10394788.923076924</v>
      </c>
      <c r="V20" s="308">
        <f t="shared" si="1"/>
        <v>-1130087.6974042465</v>
      </c>
      <c r="W20" s="308">
        <f t="shared" si="1"/>
        <v>0</v>
      </c>
    </row>
    <row r="21" spans="1:23" x14ac:dyDescent="0.3">
      <c r="S21" s="308"/>
      <c r="T21" s="308"/>
      <c r="U21" s="308"/>
      <c r="V21" s="308"/>
      <c r="W21" s="308"/>
    </row>
    <row r="22" spans="1:23" x14ac:dyDescent="0.3">
      <c r="A22" s="266">
        <f>+A20+1</f>
        <v>6</v>
      </c>
      <c r="B22" s="266" t="s">
        <v>964</v>
      </c>
      <c r="F22" s="18"/>
      <c r="G22" s="18"/>
      <c r="H22" s="18"/>
      <c r="I22" s="18"/>
      <c r="J22" s="18"/>
      <c r="K22" s="18"/>
      <c r="S22" s="308"/>
      <c r="T22" s="308"/>
      <c r="U22" s="308"/>
      <c r="V22" s="308"/>
      <c r="W22" s="308">
        <f>+W20+V20</f>
        <v>-1130087.6974042465</v>
      </c>
    </row>
    <row r="23" spans="1:23" x14ac:dyDescent="0.3">
      <c r="F23" s="431"/>
      <c r="G23" s="268"/>
      <c r="H23" s="431"/>
      <c r="I23" s="268"/>
    </row>
    <row r="24" spans="1:23" x14ac:dyDescent="0.3">
      <c r="F24" s="308"/>
      <c r="G24" s="308"/>
      <c r="H24" s="308"/>
      <c r="I24" s="308"/>
      <c r="J24" s="308"/>
      <c r="K24" s="308"/>
      <c r="L24" s="308"/>
      <c r="M24" s="385"/>
    </row>
  </sheetData>
  <mergeCells count="4">
    <mergeCell ref="B1:M1"/>
    <mergeCell ref="B2:M2"/>
    <mergeCell ref="B3:M3"/>
    <mergeCell ref="B4:M4"/>
  </mergeCells>
  <pageMargins left="0.7" right="0.7" top="0.75" bottom="0.75" header="0.3" footer="0.3"/>
  <pageSetup scale="71" orientation="landscape" verticalDpi="0"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pageSetUpPr fitToPage="1"/>
  </sheetPr>
  <dimension ref="A1:L127"/>
  <sheetViews>
    <sheetView topLeftCell="A8" zoomScale="90" zoomScaleNormal="90" zoomScaleSheetLayoutView="90" workbookViewId="0">
      <selection activeCell="K29" sqref="K29:L29"/>
    </sheetView>
  </sheetViews>
  <sheetFormatPr defaultColWidth="9.140625" defaultRowHeight="20.25" x14ac:dyDescent="0.3"/>
  <cols>
    <col min="1" max="1" width="6.5703125" style="266" customWidth="1"/>
    <col min="2" max="2" width="63.28515625" style="266" customWidth="1"/>
    <col min="3" max="3" width="19.140625" style="266" customWidth="1"/>
    <col min="4" max="4" width="18.140625" style="266" bestFit="1" customWidth="1"/>
    <col min="5" max="5" width="2" style="266" customWidth="1"/>
    <col min="6" max="6" width="27.85546875" style="266" customWidth="1"/>
    <col min="7" max="7" width="1.7109375" style="266" customWidth="1"/>
    <col min="8" max="8" width="19" style="266" customWidth="1"/>
    <col min="9" max="9" width="19.7109375" style="266" customWidth="1"/>
    <col min="10" max="10" width="15.5703125" style="266" customWidth="1"/>
    <col min="11" max="11" width="20.7109375" style="266" customWidth="1"/>
    <col min="12" max="12" width="17.42578125" style="266" customWidth="1"/>
    <col min="13" max="16384" width="9.140625" style="266"/>
  </cols>
  <sheetData>
    <row r="1" spans="1:12" x14ac:dyDescent="0.3">
      <c r="A1" s="686" t="str">
        <f>+'9 - Excess ADIT'!I2</f>
        <v>Dayton Power and Light</v>
      </c>
      <c r="B1" s="686"/>
      <c r="C1" s="686"/>
      <c r="D1" s="686"/>
      <c r="E1" s="686"/>
      <c r="F1" s="686"/>
      <c r="G1" s="686"/>
    </row>
    <row r="2" spans="1:12" x14ac:dyDescent="0.3">
      <c r="A2" s="645" t="str">
        <f>+'9 - Excess ADIT'!I3</f>
        <v>ATTACHMENT H-15A, Effective April 17, 2024; Docket No. ER24-1268</v>
      </c>
      <c r="B2" s="645"/>
      <c r="C2" s="645"/>
      <c r="D2" s="645"/>
      <c r="E2" s="645"/>
      <c r="F2" s="645"/>
      <c r="G2" s="645"/>
    </row>
    <row r="3" spans="1:12" x14ac:dyDescent="0.3">
      <c r="A3" s="687" t="s">
        <v>965</v>
      </c>
      <c r="B3" s="687"/>
      <c r="C3" s="687"/>
      <c r="D3" s="687"/>
      <c r="E3" s="687"/>
      <c r="F3" s="687"/>
      <c r="G3" s="687"/>
    </row>
    <row r="4" spans="1:12" ht="59.45" customHeight="1" x14ac:dyDescent="0.3">
      <c r="A4" s="27"/>
      <c r="F4" s="366"/>
      <c r="G4" s="17"/>
      <c r="I4" s="299"/>
    </row>
    <row r="5" spans="1:12" x14ac:dyDescent="0.3">
      <c r="A5" s="27"/>
      <c r="G5" s="17"/>
    </row>
    <row r="6" spans="1:12" x14ac:dyDescent="0.3">
      <c r="A6" s="27"/>
      <c r="B6" s="266" t="s">
        <v>411</v>
      </c>
      <c r="G6" s="17"/>
    </row>
    <row r="7" spans="1:12" x14ac:dyDescent="0.3">
      <c r="A7" s="261"/>
      <c r="B7" s="260"/>
      <c r="C7" s="261"/>
      <c r="D7" s="302" t="s">
        <v>344</v>
      </c>
      <c r="E7" s="261"/>
      <c r="F7" s="302" t="s">
        <v>345</v>
      </c>
      <c r="G7" s="16"/>
      <c r="H7" s="302" t="s">
        <v>346</v>
      </c>
      <c r="I7" s="230"/>
      <c r="J7" s="167" t="s">
        <v>347</v>
      </c>
    </row>
    <row r="8" spans="1:12" x14ac:dyDescent="0.3">
      <c r="F8" s="304" t="s">
        <v>966</v>
      </c>
      <c r="G8" s="15"/>
      <c r="H8" s="304" t="s">
        <v>966</v>
      </c>
      <c r="I8" s="230"/>
    </row>
    <row r="9" spans="1:12" x14ac:dyDescent="0.3">
      <c r="D9" s="304" t="s">
        <v>967</v>
      </c>
      <c r="F9" s="14">
        <v>2022</v>
      </c>
      <c r="G9" s="17"/>
      <c r="H9" s="14"/>
      <c r="I9" s="230"/>
    </row>
    <row r="10" spans="1:12" x14ac:dyDescent="0.3">
      <c r="A10" s="304" t="s">
        <v>886</v>
      </c>
      <c r="D10" s="304" t="s">
        <v>968</v>
      </c>
      <c r="F10" s="304" t="s">
        <v>967</v>
      </c>
      <c r="G10" s="17"/>
      <c r="H10" s="304" t="s">
        <v>967</v>
      </c>
      <c r="I10" s="230"/>
    </row>
    <row r="11" spans="1:12" ht="60.75" x14ac:dyDescent="0.3">
      <c r="A11" s="200" t="s">
        <v>969</v>
      </c>
      <c r="B11" s="201" t="s">
        <v>823</v>
      </c>
      <c r="C11" s="200" t="s">
        <v>970</v>
      </c>
      <c r="D11" s="200" t="s">
        <v>971</v>
      </c>
      <c r="F11" s="200" t="s">
        <v>972</v>
      </c>
      <c r="G11" s="17"/>
      <c r="H11" s="200" t="s">
        <v>972</v>
      </c>
      <c r="I11" s="230"/>
      <c r="J11" s="354" t="s">
        <v>69</v>
      </c>
      <c r="K11" s="634" t="s">
        <v>1045</v>
      </c>
      <c r="L11" s="634" t="s">
        <v>1046</v>
      </c>
    </row>
    <row r="12" spans="1:12" x14ac:dyDescent="0.3">
      <c r="F12" s="200"/>
      <c r="G12" s="17"/>
      <c r="H12" s="200"/>
      <c r="I12" s="230"/>
    </row>
    <row r="13" spans="1:12" ht="40.5" x14ac:dyDescent="0.3">
      <c r="A13" s="13">
        <v>1</v>
      </c>
      <c r="B13" s="28" t="s">
        <v>973</v>
      </c>
      <c r="C13" s="230"/>
      <c r="D13" s="263"/>
      <c r="E13" s="263"/>
      <c r="F13" s="632" t="s">
        <v>1041</v>
      </c>
      <c r="G13" s="17"/>
      <c r="H13" s="631" t="s">
        <v>1042</v>
      </c>
      <c r="I13" s="230"/>
    </row>
    <row r="14" spans="1:12" x14ac:dyDescent="0.3">
      <c r="A14" s="13">
        <f>+A13+1</f>
        <v>2</v>
      </c>
      <c r="B14" s="266" t="s">
        <v>974</v>
      </c>
      <c r="C14" s="230"/>
      <c r="D14" s="263"/>
      <c r="E14" s="263"/>
      <c r="F14" s="12">
        <v>58114353</v>
      </c>
      <c r="G14" s="17"/>
      <c r="H14" s="12">
        <v>85160262</v>
      </c>
      <c r="I14" s="230"/>
    </row>
    <row r="15" spans="1:12" x14ac:dyDescent="0.3">
      <c r="A15" s="13"/>
      <c r="D15" s="263"/>
      <c r="E15" s="263"/>
      <c r="F15" s="308"/>
      <c r="G15" s="17"/>
      <c r="H15" s="308"/>
      <c r="I15" s="230"/>
    </row>
    <row r="16" spans="1:12" x14ac:dyDescent="0.3">
      <c r="A16" s="13">
        <f>+A14+1</f>
        <v>3</v>
      </c>
      <c r="B16" s="11" t="s">
        <v>1026</v>
      </c>
      <c r="C16" s="230"/>
      <c r="D16" s="230"/>
      <c r="E16" s="263"/>
      <c r="F16" s="244">
        <v>-189016</v>
      </c>
      <c r="G16" s="17"/>
      <c r="H16" s="244">
        <f>84521915-H14</f>
        <v>-638347</v>
      </c>
      <c r="I16" s="230"/>
    </row>
    <row r="17" spans="1:12" x14ac:dyDescent="0.3">
      <c r="A17" s="13">
        <f t="shared" ref="A17:A27" si="0">+A16+1</f>
        <v>4</v>
      </c>
      <c r="B17" s="11" t="s">
        <v>1040</v>
      </c>
      <c r="C17" s="230"/>
      <c r="D17" s="230"/>
      <c r="E17" s="263"/>
      <c r="F17" s="12">
        <v>0</v>
      </c>
      <c r="G17" s="17"/>
      <c r="H17" s="12">
        <v>0</v>
      </c>
      <c r="I17" s="230"/>
    </row>
    <row r="18" spans="1:12" x14ac:dyDescent="0.3">
      <c r="A18" s="13"/>
      <c r="E18" s="263"/>
      <c r="F18" s="308"/>
      <c r="G18" s="17"/>
      <c r="H18" s="308"/>
      <c r="I18" s="230"/>
    </row>
    <row r="19" spans="1:12" x14ac:dyDescent="0.3">
      <c r="A19" s="13">
        <f>+A17+1</f>
        <v>5</v>
      </c>
      <c r="B19" s="266" t="s">
        <v>975</v>
      </c>
      <c r="C19" s="266" t="str">
        <f>"(Line "&amp;A16&amp;" + Line "&amp;A17&amp;")"</f>
        <v>(Line 3 + Line 4)</v>
      </c>
      <c r="E19" s="263"/>
      <c r="F19" s="309">
        <f>+F16+F17</f>
        <v>-189016</v>
      </c>
      <c r="G19" s="17"/>
      <c r="H19" s="309">
        <f>+H16+H17</f>
        <v>-638347</v>
      </c>
      <c r="I19" s="230"/>
    </row>
    <row r="20" spans="1:12" x14ac:dyDescent="0.3">
      <c r="A20" s="13"/>
      <c r="D20" s="263"/>
      <c r="E20" s="263"/>
      <c r="F20" s="308"/>
      <c r="G20" s="17"/>
      <c r="H20" s="308"/>
      <c r="I20" s="230"/>
    </row>
    <row r="21" spans="1:12" x14ac:dyDescent="0.3">
      <c r="A21" s="13">
        <f>+A19+1</f>
        <v>6</v>
      </c>
      <c r="B21" s="266" t="s">
        <v>976</v>
      </c>
      <c r="C21" s="266" t="str">
        <f>"(Line "&amp;A14&amp;" + Line "&amp;A19&amp;")"</f>
        <v>(Line 2 + Line 5)</v>
      </c>
      <c r="D21" s="263"/>
      <c r="E21" s="263"/>
      <c r="F21" s="308">
        <f>+F14+F19</f>
        <v>57925337</v>
      </c>
      <c r="G21" s="17"/>
      <c r="H21" s="308">
        <f>+H14+H19</f>
        <v>84521915</v>
      </c>
      <c r="I21" s="230"/>
    </row>
    <row r="22" spans="1:12" x14ac:dyDescent="0.3">
      <c r="A22" s="13"/>
      <c r="D22" s="263"/>
      <c r="E22" s="263"/>
      <c r="F22" s="308"/>
      <c r="G22" s="17"/>
      <c r="H22" s="308"/>
      <c r="I22" s="230"/>
    </row>
    <row r="23" spans="1:12" x14ac:dyDescent="0.3">
      <c r="A23" s="13">
        <f>+A21+1</f>
        <v>7</v>
      </c>
      <c r="B23" s="266" t="s">
        <v>975</v>
      </c>
      <c r="C23" s="266" t="str">
        <f>"(Line "&amp;A19&amp;")"</f>
        <v>(Line 5)</v>
      </c>
      <c r="D23" s="263"/>
      <c r="E23" s="263"/>
      <c r="F23" s="244">
        <f>+F19</f>
        <v>-189016</v>
      </c>
      <c r="G23" s="17"/>
      <c r="H23" s="244">
        <f>+H19</f>
        <v>-638347</v>
      </c>
      <c r="I23" s="230"/>
      <c r="J23" s="244">
        <f>+F23+H23</f>
        <v>-827363</v>
      </c>
    </row>
    <row r="24" spans="1:12" x14ac:dyDescent="0.3">
      <c r="A24" s="13"/>
      <c r="G24" s="17"/>
      <c r="I24" s="230"/>
    </row>
    <row r="25" spans="1:12" x14ac:dyDescent="0.3">
      <c r="A25" s="13">
        <f>+A23+1</f>
        <v>8</v>
      </c>
      <c r="B25" s="266" t="s">
        <v>977</v>
      </c>
      <c r="C25" s="266" t="s">
        <v>797</v>
      </c>
      <c r="F25" s="86">
        <f>+C93</f>
        <v>6.2138888888888903E-3</v>
      </c>
      <c r="G25" s="17"/>
      <c r="H25" s="86">
        <f>+C94</f>
        <v>6.9875000000000033E-3</v>
      </c>
      <c r="I25" s="230"/>
    </row>
    <row r="26" spans="1:12" x14ac:dyDescent="0.3">
      <c r="A26" s="13">
        <f t="shared" si="0"/>
        <v>9</v>
      </c>
      <c r="B26" s="266" t="s">
        <v>978</v>
      </c>
      <c r="C26" s="266" t="s">
        <v>979</v>
      </c>
      <c r="F26" s="244">
        <v>36</v>
      </c>
      <c r="G26" s="17"/>
      <c r="H26" s="244">
        <v>24</v>
      </c>
      <c r="I26" s="230"/>
    </row>
    <row r="27" spans="1:12" x14ac:dyDescent="0.3">
      <c r="A27" s="13">
        <f t="shared" si="0"/>
        <v>10</v>
      </c>
      <c r="B27" s="266" t="s">
        <v>980</v>
      </c>
      <c r="C27" s="266" t="s">
        <v>981</v>
      </c>
      <c r="F27" s="309">
        <f>+F23*F25*F26</f>
        <v>-42282.87920000001</v>
      </c>
      <c r="G27" s="17"/>
      <c r="H27" s="309">
        <f>+H23*H25*H26</f>
        <v>-107050.79190000004</v>
      </c>
      <c r="I27" s="230"/>
      <c r="J27" s="162">
        <f>+F27+H27</f>
        <v>-149333.67110000004</v>
      </c>
    </row>
    <row r="28" spans="1:12" x14ac:dyDescent="0.3">
      <c r="A28" s="13"/>
      <c r="F28" s="308"/>
      <c r="G28" s="17"/>
      <c r="H28" s="308"/>
      <c r="I28" s="230"/>
    </row>
    <row r="29" spans="1:12" x14ac:dyDescent="0.3">
      <c r="A29" s="13">
        <f>+A27+1</f>
        <v>11</v>
      </c>
      <c r="B29" s="266" t="s">
        <v>982</v>
      </c>
      <c r="C29" s="266" t="s">
        <v>983</v>
      </c>
      <c r="F29" s="308">
        <f>+F23+F27</f>
        <v>-231298.87920000002</v>
      </c>
      <c r="G29" s="17"/>
      <c r="H29" s="308">
        <f>+H23+H27</f>
        <v>-745397.79190000007</v>
      </c>
      <c r="I29" s="230"/>
      <c r="J29" s="308">
        <f>+F29+H29</f>
        <v>-976696.67110000015</v>
      </c>
      <c r="K29" s="635">
        <f>+'7B - Schedule 12 Projects'!M39</f>
        <v>14752.584800000002</v>
      </c>
      <c r="L29" s="635">
        <f>+J29-K29</f>
        <v>-991449.25590000011</v>
      </c>
    </row>
    <row r="30" spans="1:12" x14ac:dyDescent="0.3">
      <c r="A30" s="13"/>
      <c r="G30" s="17"/>
    </row>
    <row r="31" spans="1:12" x14ac:dyDescent="0.3">
      <c r="G31" s="17"/>
    </row>
    <row r="32" spans="1:12" x14ac:dyDescent="0.3">
      <c r="A32" s="167" t="s">
        <v>984</v>
      </c>
      <c r="G32" s="17"/>
    </row>
    <row r="33" spans="1:7" ht="43.9" customHeight="1" x14ac:dyDescent="0.3">
      <c r="A33" s="163" t="s">
        <v>209</v>
      </c>
      <c r="B33" s="685" t="s">
        <v>985</v>
      </c>
      <c r="C33" s="685"/>
      <c r="D33" s="685"/>
      <c r="E33" s="685"/>
      <c r="F33" s="685"/>
      <c r="G33" s="10"/>
    </row>
    <row r="34" spans="1:7" ht="54" customHeight="1" x14ac:dyDescent="0.3">
      <c r="A34" s="163" t="s">
        <v>211</v>
      </c>
      <c r="B34" s="685" t="s">
        <v>986</v>
      </c>
      <c r="C34" s="685"/>
      <c r="D34" s="685"/>
      <c r="E34" s="685"/>
      <c r="F34" s="685"/>
      <c r="G34" s="10"/>
    </row>
    <row r="36" spans="1:7" x14ac:dyDescent="0.3">
      <c r="B36" s="266" t="s">
        <v>821</v>
      </c>
    </row>
    <row r="37" spans="1:7" x14ac:dyDescent="0.3">
      <c r="B37" s="37">
        <v>44743</v>
      </c>
      <c r="C37" s="86">
        <v>3.0999999999999999E-3</v>
      </c>
    </row>
    <row r="38" spans="1:7" x14ac:dyDescent="0.3">
      <c r="B38" s="37">
        <f>+B37+31</f>
        <v>44774</v>
      </c>
      <c r="C38" s="86">
        <v>3.0999999999999999E-3</v>
      </c>
    </row>
    <row r="39" spans="1:7" x14ac:dyDescent="0.3">
      <c r="B39" s="37">
        <f t="shared" ref="B39:B72" si="1">+B38+31</f>
        <v>44805</v>
      </c>
      <c r="C39" s="86">
        <v>3.0000000000000001E-3</v>
      </c>
    </row>
    <row r="40" spans="1:7" x14ac:dyDescent="0.3">
      <c r="B40" s="37">
        <f t="shared" si="1"/>
        <v>44836</v>
      </c>
      <c r="C40" s="86">
        <v>4.1999999999999997E-3</v>
      </c>
    </row>
    <row r="41" spans="1:7" x14ac:dyDescent="0.3">
      <c r="B41" s="37">
        <f t="shared" si="1"/>
        <v>44867</v>
      </c>
      <c r="C41" s="86">
        <v>4.0000000000000001E-3</v>
      </c>
    </row>
    <row r="42" spans="1:7" x14ac:dyDescent="0.3">
      <c r="B42" s="37">
        <f t="shared" si="1"/>
        <v>44898</v>
      </c>
      <c r="C42" s="86">
        <v>4.1999999999999997E-3</v>
      </c>
    </row>
    <row r="43" spans="1:7" x14ac:dyDescent="0.3">
      <c r="B43" s="37">
        <f t="shared" si="1"/>
        <v>44929</v>
      </c>
      <c r="C43" s="86">
        <v>5.4000000000000003E-3</v>
      </c>
    </row>
    <row r="44" spans="1:7" x14ac:dyDescent="0.3">
      <c r="B44" s="37">
        <f t="shared" si="1"/>
        <v>44960</v>
      </c>
      <c r="C44" s="86">
        <v>4.7999999999999996E-3</v>
      </c>
    </row>
    <row r="45" spans="1:7" x14ac:dyDescent="0.3">
      <c r="B45" s="37">
        <f t="shared" si="1"/>
        <v>44991</v>
      </c>
      <c r="C45" s="86">
        <v>5.4000000000000003E-3</v>
      </c>
    </row>
    <row r="46" spans="1:7" x14ac:dyDescent="0.3">
      <c r="B46" s="37">
        <f t="shared" si="1"/>
        <v>45022</v>
      </c>
      <c r="C46" s="86">
        <v>6.1999999999999998E-3</v>
      </c>
    </row>
    <row r="47" spans="1:7" x14ac:dyDescent="0.3">
      <c r="B47" s="37">
        <f t="shared" si="1"/>
        <v>45053</v>
      </c>
      <c r="C47" s="86">
        <v>6.4000000000000003E-3</v>
      </c>
    </row>
    <row r="48" spans="1:7" x14ac:dyDescent="0.3">
      <c r="B48" s="37">
        <f t="shared" si="1"/>
        <v>45084</v>
      </c>
      <c r="C48" s="86">
        <v>6.1999999999999998E-3</v>
      </c>
    </row>
    <row r="49" spans="2:3" x14ac:dyDescent="0.3">
      <c r="B49" s="37">
        <f t="shared" si="1"/>
        <v>45115</v>
      </c>
      <c r="C49" s="627">
        <v>6.7999999999999996E-3</v>
      </c>
    </row>
    <row r="50" spans="2:3" x14ac:dyDescent="0.3">
      <c r="B50" s="37">
        <f t="shared" si="1"/>
        <v>45146</v>
      </c>
      <c r="C50" s="627">
        <v>6.7999999999999996E-3</v>
      </c>
    </row>
    <row r="51" spans="2:3" x14ac:dyDescent="0.3">
      <c r="B51" s="37">
        <f t="shared" si="1"/>
        <v>45177</v>
      </c>
      <c r="C51" s="627">
        <v>6.6E-3</v>
      </c>
    </row>
    <row r="52" spans="2:3" x14ac:dyDescent="0.3">
      <c r="B52" s="37">
        <f t="shared" si="1"/>
        <v>45208</v>
      </c>
      <c r="C52" s="627">
        <v>7.1000000000000004E-3</v>
      </c>
    </row>
    <row r="53" spans="2:3" x14ac:dyDescent="0.3">
      <c r="B53" s="37">
        <f t="shared" si="1"/>
        <v>45239</v>
      </c>
      <c r="C53" s="627">
        <v>6.8999999999999999E-3</v>
      </c>
    </row>
    <row r="54" spans="2:3" x14ac:dyDescent="0.3">
      <c r="B54" s="37">
        <f t="shared" si="1"/>
        <v>45270</v>
      </c>
      <c r="C54" s="627">
        <v>7.1000000000000004E-3</v>
      </c>
    </row>
    <row r="55" spans="2:3" x14ac:dyDescent="0.3">
      <c r="B55" s="37">
        <f t="shared" si="1"/>
        <v>45301</v>
      </c>
      <c r="C55" s="627">
        <v>7.1999999999999998E-3</v>
      </c>
    </row>
    <row r="56" spans="2:3" x14ac:dyDescent="0.3">
      <c r="B56" s="37">
        <f t="shared" si="1"/>
        <v>45332</v>
      </c>
      <c r="C56" s="627">
        <v>6.7999999999999996E-3</v>
      </c>
    </row>
    <row r="57" spans="2:3" x14ac:dyDescent="0.3">
      <c r="B57" s="37">
        <f t="shared" si="1"/>
        <v>45363</v>
      </c>
      <c r="C57" s="627">
        <v>7.1999999999999998E-3</v>
      </c>
    </row>
    <row r="58" spans="2:3" x14ac:dyDescent="0.3">
      <c r="B58" s="37">
        <f t="shared" si="1"/>
        <v>45394</v>
      </c>
      <c r="C58" s="627">
        <v>7.0000000000000001E-3</v>
      </c>
    </row>
    <row r="59" spans="2:3" x14ac:dyDescent="0.3">
      <c r="B59" s="37">
        <f t="shared" si="1"/>
        <v>45425</v>
      </c>
      <c r="C59" s="627">
        <v>7.1999999999999998E-3</v>
      </c>
    </row>
    <row r="60" spans="2:3" x14ac:dyDescent="0.3">
      <c r="B60" s="37">
        <f t="shared" si="1"/>
        <v>45456</v>
      </c>
      <c r="C60" s="627">
        <v>7.0000000000000001E-3</v>
      </c>
    </row>
    <row r="61" spans="2:3" x14ac:dyDescent="0.3">
      <c r="B61" s="37">
        <f t="shared" si="1"/>
        <v>45487</v>
      </c>
      <c r="C61" s="627">
        <v>7.0000000000000001E-3</v>
      </c>
    </row>
    <row r="62" spans="2:3" x14ac:dyDescent="0.3">
      <c r="B62" s="37">
        <f t="shared" si="1"/>
        <v>45518</v>
      </c>
      <c r="C62" s="627">
        <v>7.0000000000000001E-3</v>
      </c>
    </row>
    <row r="63" spans="2:3" x14ac:dyDescent="0.3">
      <c r="B63" s="37">
        <f t="shared" si="1"/>
        <v>45549</v>
      </c>
      <c r="C63" s="627">
        <v>7.0000000000000001E-3</v>
      </c>
    </row>
    <row r="64" spans="2:3" x14ac:dyDescent="0.3">
      <c r="B64" s="37">
        <f>+B63+31</f>
        <v>45580</v>
      </c>
      <c r="C64" s="627">
        <v>7.0000000000000001E-3</v>
      </c>
    </row>
    <row r="65" spans="2:3" x14ac:dyDescent="0.3">
      <c r="B65" s="37">
        <f t="shared" si="1"/>
        <v>45611</v>
      </c>
      <c r="C65" s="627">
        <v>7.0000000000000001E-3</v>
      </c>
    </row>
    <row r="66" spans="2:3" x14ac:dyDescent="0.3">
      <c r="B66" s="37">
        <f t="shared" si="1"/>
        <v>45642</v>
      </c>
      <c r="C66" s="627">
        <v>7.0000000000000001E-3</v>
      </c>
    </row>
    <row r="67" spans="2:3" x14ac:dyDescent="0.3">
      <c r="B67" s="37">
        <f t="shared" si="1"/>
        <v>45673</v>
      </c>
      <c r="C67" s="627">
        <v>7.0000000000000001E-3</v>
      </c>
    </row>
    <row r="68" spans="2:3" x14ac:dyDescent="0.3">
      <c r="B68" s="37">
        <f t="shared" si="1"/>
        <v>45704</v>
      </c>
      <c r="C68" s="627">
        <v>7.0000000000000001E-3</v>
      </c>
    </row>
    <row r="69" spans="2:3" x14ac:dyDescent="0.3">
      <c r="B69" s="37">
        <f t="shared" si="1"/>
        <v>45735</v>
      </c>
      <c r="C69" s="627">
        <v>7.0000000000000001E-3</v>
      </c>
    </row>
    <row r="70" spans="2:3" x14ac:dyDescent="0.3">
      <c r="B70" s="37">
        <f t="shared" si="1"/>
        <v>45766</v>
      </c>
      <c r="C70" s="627">
        <v>7.0000000000000001E-3</v>
      </c>
    </row>
    <row r="71" spans="2:3" x14ac:dyDescent="0.3">
      <c r="B71" s="37">
        <f t="shared" si="1"/>
        <v>45797</v>
      </c>
      <c r="C71" s="627">
        <v>7.0000000000000001E-3</v>
      </c>
    </row>
    <row r="72" spans="2:3" x14ac:dyDescent="0.3">
      <c r="B72" s="37">
        <f t="shared" si="1"/>
        <v>45828</v>
      </c>
      <c r="C72" s="627">
        <v>7.0000000000000001E-3</v>
      </c>
    </row>
    <row r="73" spans="2:3" x14ac:dyDescent="0.3">
      <c r="B73" s="37"/>
      <c r="C73" s="86"/>
    </row>
    <row r="74" spans="2:3" x14ac:dyDescent="0.3">
      <c r="B74" s="37"/>
      <c r="C74" s="86"/>
    </row>
    <row r="75" spans="2:3" x14ac:dyDescent="0.3">
      <c r="B75" s="37"/>
      <c r="C75" s="86"/>
    </row>
    <row r="76" spans="2:3" x14ac:dyDescent="0.3">
      <c r="B76" s="37"/>
      <c r="C76" s="86"/>
    </row>
    <row r="77" spans="2:3" x14ac:dyDescent="0.3">
      <c r="B77" s="37"/>
      <c r="C77" s="86"/>
    </row>
    <row r="78" spans="2:3" x14ac:dyDescent="0.3">
      <c r="B78" s="37"/>
      <c r="C78" s="86"/>
    </row>
    <row r="79" spans="2:3" x14ac:dyDescent="0.3">
      <c r="B79" s="37"/>
      <c r="C79" s="86"/>
    </row>
    <row r="80" spans="2:3" x14ac:dyDescent="0.3">
      <c r="B80" s="37"/>
      <c r="C80" s="86"/>
    </row>
    <row r="81" spans="2:4" x14ac:dyDescent="0.3">
      <c r="B81" s="37"/>
      <c r="C81" s="86"/>
    </row>
    <row r="82" spans="2:4" x14ac:dyDescent="0.3">
      <c r="B82" s="37"/>
      <c r="C82" s="86"/>
    </row>
    <row r="83" spans="2:4" x14ac:dyDescent="0.3">
      <c r="B83" s="37"/>
      <c r="C83" s="86"/>
    </row>
    <row r="84" spans="2:4" x14ac:dyDescent="0.3">
      <c r="B84" s="37"/>
      <c r="C84" s="86"/>
    </row>
    <row r="85" spans="2:4" x14ac:dyDescent="0.3">
      <c r="B85" s="37"/>
      <c r="C85" s="86"/>
    </row>
    <row r="86" spans="2:4" x14ac:dyDescent="0.3">
      <c r="B86" s="37"/>
      <c r="C86" s="86"/>
    </row>
    <row r="87" spans="2:4" x14ac:dyDescent="0.3">
      <c r="B87" s="37"/>
      <c r="C87" s="86"/>
    </row>
    <row r="88" spans="2:4" x14ac:dyDescent="0.3">
      <c r="B88" s="37"/>
      <c r="C88" s="86"/>
    </row>
    <row r="89" spans="2:4" x14ac:dyDescent="0.3">
      <c r="B89" s="37"/>
      <c r="C89" s="86"/>
    </row>
    <row r="90" spans="2:4" x14ac:dyDescent="0.3">
      <c r="B90" s="37"/>
      <c r="C90" s="86"/>
    </row>
    <row r="91" spans="2:4" x14ac:dyDescent="0.3">
      <c r="B91" s="37"/>
      <c r="C91" s="86"/>
    </row>
    <row r="92" spans="2:4" x14ac:dyDescent="0.3">
      <c r="B92" s="37"/>
      <c r="C92" s="86"/>
      <c r="D92" s="329"/>
    </row>
    <row r="93" spans="2:4" x14ac:dyDescent="0.3">
      <c r="B93" s="230" t="s">
        <v>528</v>
      </c>
      <c r="C93" s="86">
        <f>+AVERAGE(C37:C73)</f>
        <v>6.2138888888888903E-3</v>
      </c>
    </row>
    <row r="94" spans="2:4" x14ac:dyDescent="0.3">
      <c r="B94" s="230" t="s">
        <v>1044</v>
      </c>
      <c r="C94" s="86">
        <f>+AVERAGE(C49:C72)</f>
        <v>6.9875000000000033E-3</v>
      </c>
    </row>
    <row r="95" spans="2:4" x14ac:dyDescent="0.3">
      <c r="B95" s="230"/>
      <c r="C95" s="86"/>
    </row>
    <row r="96" spans="2:4" x14ac:dyDescent="0.3">
      <c r="C96" s="329"/>
    </row>
    <row r="97" spans="3:3" x14ac:dyDescent="0.3">
      <c r="C97" s="329"/>
    </row>
    <row r="98" spans="3:3" x14ac:dyDescent="0.3">
      <c r="C98" s="329"/>
    </row>
    <row r="99" spans="3:3" x14ac:dyDescent="0.3">
      <c r="C99" s="329"/>
    </row>
    <row r="100" spans="3:3" x14ac:dyDescent="0.3">
      <c r="C100" s="329"/>
    </row>
    <row r="101" spans="3:3" x14ac:dyDescent="0.3">
      <c r="C101" s="329"/>
    </row>
    <row r="102" spans="3:3" x14ac:dyDescent="0.3">
      <c r="C102" s="329"/>
    </row>
    <row r="103" spans="3:3" x14ac:dyDescent="0.3">
      <c r="C103" s="329"/>
    </row>
    <row r="104" spans="3:3" x14ac:dyDescent="0.3">
      <c r="C104" s="329"/>
    </row>
    <row r="105" spans="3:3" x14ac:dyDescent="0.3">
      <c r="C105" s="329"/>
    </row>
    <row r="106" spans="3:3" x14ac:dyDescent="0.3">
      <c r="C106" s="329"/>
    </row>
    <row r="107" spans="3:3" x14ac:dyDescent="0.3">
      <c r="C107" s="329"/>
    </row>
    <row r="108" spans="3:3" x14ac:dyDescent="0.3">
      <c r="C108" s="329"/>
    </row>
    <row r="109" spans="3:3" x14ac:dyDescent="0.3">
      <c r="C109" s="329"/>
    </row>
    <row r="110" spans="3:3" x14ac:dyDescent="0.3">
      <c r="C110" s="329"/>
    </row>
    <row r="111" spans="3:3" x14ac:dyDescent="0.3">
      <c r="C111" s="329"/>
    </row>
    <row r="112" spans="3:3" x14ac:dyDescent="0.3">
      <c r="C112" s="329"/>
    </row>
    <row r="113" spans="3:3" x14ac:dyDescent="0.3">
      <c r="C113" s="329"/>
    </row>
    <row r="114" spans="3:3" x14ac:dyDescent="0.3">
      <c r="C114" s="329"/>
    </row>
    <row r="115" spans="3:3" x14ac:dyDescent="0.3">
      <c r="C115" s="329"/>
    </row>
    <row r="116" spans="3:3" x14ac:dyDescent="0.3">
      <c r="C116" s="329"/>
    </row>
    <row r="117" spans="3:3" x14ac:dyDescent="0.3">
      <c r="C117" s="329"/>
    </row>
    <row r="118" spans="3:3" x14ac:dyDescent="0.3">
      <c r="C118" s="329"/>
    </row>
    <row r="119" spans="3:3" x14ac:dyDescent="0.3">
      <c r="C119" s="329"/>
    </row>
    <row r="120" spans="3:3" x14ac:dyDescent="0.3">
      <c r="C120" s="329"/>
    </row>
    <row r="121" spans="3:3" x14ac:dyDescent="0.3">
      <c r="C121" s="329"/>
    </row>
    <row r="122" spans="3:3" x14ac:dyDescent="0.3">
      <c r="C122" s="329"/>
    </row>
    <row r="123" spans="3:3" x14ac:dyDescent="0.3">
      <c r="C123" s="329"/>
    </row>
    <row r="124" spans="3:3" x14ac:dyDescent="0.3">
      <c r="C124" s="329"/>
    </row>
    <row r="125" spans="3:3" x14ac:dyDescent="0.3">
      <c r="C125" s="329"/>
    </row>
    <row r="126" spans="3:3" x14ac:dyDescent="0.3">
      <c r="C126" s="329"/>
    </row>
    <row r="127" spans="3:3" x14ac:dyDescent="0.3">
      <c r="C127" s="329"/>
    </row>
  </sheetData>
  <mergeCells count="5">
    <mergeCell ref="B33:F33"/>
    <mergeCell ref="B34:F34"/>
    <mergeCell ref="A1:G1"/>
    <mergeCell ref="A2:G2"/>
    <mergeCell ref="A3:G3"/>
  </mergeCells>
  <pageMargins left="0.7" right="0.7" top="0.75" bottom="0.75" header="0.3" footer="0.3"/>
  <pageSetup scale="78" orientation="landscape" verticalDpi="0" r:id="rId1"/>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pageSetUpPr fitToPage="1"/>
  </sheetPr>
  <dimension ref="A1:M27"/>
  <sheetViews>
    <sheetView topLeftCell="A4" workbookViewId="0">
      <selection activeCell="J16" sqref="J16"/>
    </sheetView>
  </sheetViews>
  <sheetFormatPr defaultColWidth="9.140625" defaultRowHeight="20.25" x14ac:dyDescent="0.3"/>
  <cols>
    <col min="1" max="1" width="3.85546875" style="266" customWidth="1"/>
    <col min="2" max="2" width="4.28515625" style="266" customWidth="1"/>
    <col min="3" max="3" width="30.85546875" style="266" customWidth="1"/>
    <col min="4" max="9" width="9.140625" style="266"/>
    <col min="10" max="10" width="16.85546875" style="266" bestFit="1" customWidth="1"/>
    <col min="11" max="11" width="5.140625" style="266" customWidth="1"/>
    <col min="12" max="12" width="34" style="266" customWidth="1"/>
    <col min="13" max="13" width="16.7109375" style="266" customWidth="1"/>
    <col min="14" max="16384" width="9.140625" style="266"/>
  </cols>
  <sheetData>
    <row r="1" spans="1:13" x14ac:dyDescent="0.3">
      <c r="F1" s="304" t="s">
        <v>0</v>
      </c>
    </row>
    <row r="2" spans="1:13" x14ac:dyDescent="0.3">
      <c r="F2" s="304" t="s">
        <v>987</v>
      </c>
    </row>
    <row r="3" spans="1:13" x14ac:dyDescent="0.3">
      <c r="D3" s="230"/>
      <c r="E3" s="230"/>
      <c r="F3" s="248" t="s">
        <v>988</v>
      </c>
      <c r="G3" s="230"/>
      <c r="H3" s="230"/>
    </row>
    <row r="6" spans="1:13" x14ac:dyDescent="0.3">
      <c r="A6" s="266" t="s">
        <v>886</v>
      </c>
      <c r="L6" s="304" t="s">
        <v>989</v>
      </c>
      <c r="M6" s="304" t="s">
        <v>990</v>
      </c>
    </row>
    <row r="7" spans="1:13" x14ac:dyDescent="0.3">
      <c r="B7" s="266" t="s">
        <v>802</v>
      </c>
      <c r="L7" s="200" t="s">
        <v>991</v>
      </c>
      <c r="M7" s="200" t="s">
        <v>992</v>
      </c>
    </row>
    <row r="8" spans="1:13" x14ac:dyDescent="0.3">
      <c r="A8" s="304">
        <v>1</v>
      </c>
      <c r="C8" s="266" t="s">
        <v>993</v>
      </c>
      <c r="J8" s="9">
        <v>2992</v>
      </c>
      <c r="L8" s="304" t="s">
        <v>994</v>
      </c>
      <c r="M8" s="266">
        <v>561.1</v>
      </c>
    </row>
    <row r="9" spans="1:13" x14ac:dyDescent="0.3">
      <c r="A9" s="304"/>
      <c r="J9" s="308"/>
      <c r="L9" s="304"/>
    </row>
    <row r="10" spans="1:13" x14ac:dyDescent="0.3">
      <c r="A10" s="304">
        <f>+A8+1</f>
        <v>2</v>
      </c>
      <c r="C10" s="266" t="s">
        <v>995</v>
      </c>
      <c r="J10" s="244">
        <v>557425</v>
      </c>
      <c r="L10" s="304" t="s">
        <v>996</v>
      </c>
      <c r="M10" s="266">
        <v>561.20000000000005</v>
      </c>
    </row>
    <row r="11" spans="1:13" x14ac:dyDescent="0.3">
      <c r="A11" s="304"/>
      <c r="J11" s="308"/>
      <c r="L11" s="304"/>
    </row>
    <row r="12" spans="1:13" x14ac:dyDescent="0.3">
      <c r="A12" s="304">
        <f>+A10+1</f>
        <v>3</v>
      </c>
      <c r="C12" s="266" t="s">
        <v>997</v>
      </c>
      <c r="J12" s="244">
        <v>0</v>
      </c>
      <c r="L12" s="304" t="s">
        <v>998</v>
      </c>
      <c r="M12" s="266">
        <v>561.29999999999995</v>
      </c>
    </row>
    <row r="13" spans="1:13" x14ac:dyDescent="0.3">
      <c r="A13" s="304"/>
      <c r="J13" s="88"/>
      <c r="L13" s="304"/>
    </row>
    <row r="14" spans="1:13" x14ac:dyDescent="0.3">
      <c r="A14" s="304">
        <f>+A12+1</f>
        <v>4</v>
      </c>
      <c r="C14" s="266" t="s">
        <v>999</v>
      </c>
      <c r="J14" s="38">
        <v>112921</v>
      </c>
      <c r="L14" s="304" t="s">
        <v>1000</v>
      </c>
    </row>
    <row r="15" spans="1:13" x14ac:dyDescent="0.3">
      <c r="A15" s="304"/>
      <c r="L15" s="304"/>
    </row>
    <row r="16" spans="1:13" ht="40.5" customHeight="1" x14ac:dyDescent="0.3">
      <c r="A16" s="304">
        <f>+A14+1</f>
        <v>5</v>
      </c>
      <c r="C16" s="266" t="s">
        <v>69</v>
      </c>
      <c r="J16" s="308">
        <f>+SUM(J8:J14)</f>
        <v>673338</v>
      </c>
      <c r="L16" s="307" t="str">
        <f>"(Line "&amp;A8&amp;" + Line "&amp;A10&amp;" + Line "&amp;A12&amp;" + Line "&amp;A14&amp;")"</f>
        <v>(Line 1 + Line 2 + Line 3 + Line 4)</v>
      </c>
    </row>
    <row r="17" spans="1:12" x14ac:dyDescent="0.3">
      <c r="A17" s="304"/>
      <c r="J17" s="308"/>
      <c r="L17" s="304"/>
    </row>
    <row r="18" spans="1:12" ht="110.25" customHeight="1" x14ac:dyDescent="0.3">
      <c r="A18" s="304">
        <f>+A16+1</f>
        <v>6</v>
      </c>
      <c r="B18" s="266" t="s">
        <v>1001</v>
      </c>
      <c r="J18" s="244">
        <v>13398050</v>
      </c>
      <c r="L18" s="472" t="s">
        <v>1002</v>
      </c>
    </row>
    <row r="19" spans="1:12" x14ac:dyDescent="0.3">
      <c r="A19" s="304"/>
      <c r="L19" s="304"/>
    </row>
    <row r="20" spans="1:12" x14ac:dyDescent="0.3">
      <c r="A20" s="304">
        <f>+A18+1</f>
        <v>7</v>
      </c>
      <c r="B20" s="266" t="s">
        <v>1003</v>
      </c>
      <c r="J20" s="8">
        <f>+J16/J18</f>
        <v>5.0256417911561754E-2</v>
      </c>
      <c r="L20" s="304" t="str">
        <f>"(Line "&amp;A16&amp;" / Line "&amp;A18&amp;")"</f>
        <v>(Line 5 / Line 6)</v>
      </c>
    </row>
    <row r="21" spans="1:12" x14ac:dyDescent="0.3">
      <c r="A21" s="304"/>
    </row>
    <row r="22" spans="1:12" x14ac:dyDescent="0.3">
      <c r="A22" s="304"/>
    </row>
    <row r="23" spans="1:12" x14ac:dyDescent="0.3">
      <c r="A23" s="304"/>
    </row>
    <row r="24" spans="1:12" x14ac:dyDescent="0.3">
      <c r="A24" s="304"/>
    </row>
    <row r="25" spans="1:12" x14ac:dyDescent="0.3">
      <c r="A25" s="304"/>
    </row>
    <row r="26" spans="1:12" x14ac:dyDescent="0.3">
      <c r="A26" s="304"/>
    </row>
    <row r="27" spans="1:12" x14ac:dyDescent="0.3">
      <c r="A27" s="304"/>
    </row>
  </sheetData>
  <pageMargins left="0.7" right="0.7" top="0.75" bottom="0.75" header="0.3" footer="0.3"/>
  <pageSetup scale="78" orientation="portrait" r:id="rId1"/>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dimension ref="A1:N40"/>
  <sheetViews>
    <sheetView topLeftCell="A22" zoomScale="80" zoomScaleNormal="80" workbookViewId="0">
      <selection activeCell="B39" sqref="B39"/>
    </sheetView>
  </sheetViews>
  <sheetFormatPr defaultColWidth="9.140625" defaultRowHeight="20.25" x14ac:dyDescent="0.3"/>
  <cols>
    <col min="1" max="1" width="6.140625" style="266" customWidth="1"/>
    <col min="2" max="2" width="31" style="266" customWidth="1"/>
    <col min="3" max="3" width="17.85546875" style="266" customWidth="1"/>
    <col min="4" max="4" width="15" style="266" customWidth="1"/>
    <col min="5" max="5" width="9.140625" style="266"/>
    <col min="6" max="6" width="20.7109375" style="266" bestFit="1" customWidth="1"/>
    <col min="7" max="7" width="9.140625" style="266"/>
    <col min="8" max="8" width="19.28515625" style="266" customWidth="1"/>
    <col min="9" max="9" width="9.140625" style="266"/>
    <col min="10" max="10" width="19" style="266" bestFit="1" customWidth="1"/>
    <col min="11" max="11" width="9.140625" style="266"/>
    <col min="12" max="12" width="12.28515625" style="266" bestFit="1" customWidth="1"/>
    <col min="13" max="13" width="9.140625" style="266"/>
    <col min="14" max="14" width="22.28515625" style="266" customWidth="1"/>
    <col min="15" max="16384" width="9.140625" style="266"/>
  </cols>
  <sheetData>
    <row r="1" spans="1:14" x14ac:dyDescent="0.3">
      <c r="B1" s="645" t="str">
        <f>+'9 - Excess ADIT'!I2</f>
        <v>Dayton Power and Light</v>
      </c>
      <c r="C1" s="645"/>
      <c r="D1" s="645"/>
      <c r="E1" s="645"/>
      <c r="F1" s="645"/>
      <c r="G1" s="645"/>
      <c r="H1" s="645"/>
      <c r="I1" s="645"/>
      <c r="J1" s="645"/>
      <c r="K1" s="645"/>
      <c r="L1" s="645"/>
      <c r="M1" s="645"/>
    </row>
    <row r="2" spans="1:14" x14ac:dyDescent="0.3">
      <c r="B2" s="645" t="str">
        <f>+'9 - Excess ADIT'!I3</f>
        <v>ATTACHMENT H-15A, Effective April 17, 2024; Docket No. ER24-1268</v>
      </c>
      <c r="C2" s="645"/>
      <c r="D2" s="645"/>
      <c r="E2" s="645"/>
      <c r="F2" s="645"/>
      <c r="G2" s="645"/>
      <c r="H2" s="645"/>
      <c r="I2" s="645"/>
      <c r="J2" s="645"/>
      <c r="K2" s="645"/>
      <c r="L2" s="645"/>
      <c r="M2" s="645"/>
    </row>
    <row r="3" spans="1:14" x14ac:dyDescent="0.3">
      <c r="B3" s="645" t="s">
        <v>1004</v>
      </c>
      <c r="C3" s="645"/>
      <c r="D3" s="645"/>
      <c r="E3" s="645"/>
      <c r="F3" s="645"/>
      <c r="G3" s="645"/>
      <c r="H3" s="645"/>
      <c r="I3" s="645"/>
      <c r="J3" s="645"/>
      <c r="K3" s="645"/>
      <c r="L3" s="645"/>
      <c r="M3" s="645"/>
    </row>
    <row r="4" spans="1:14" x14ac:dyDescent="0.3">
      <c r="B4" s="688" t="s">
        <v>1005</v>
      </c>
      <c r="C4" s="688"/>
      <c r="D4" s="688"/>
      <c r="E4" s="688"/>
      <c r="F4" s="688"/>
      <c r="G4" s="688"/>
      <c r="H4" s="688"/>
      <c r="I4" s="688"/>
      <c r="J4" s="688"/>
      <c r="K4" s="688"/>
      <c r="L4" s="688"/>
      <c r="M4" s="688"/>
    </row>
    <row r="5" spans="1:14" x14ac:dyDescent="0.3">
      <c r="B5" s="302"/>
      <c r="C5" s="302"/>
      <c r="D5" s="302"/>
      <c r="E5" s="302"/>
      <c r="F5" s="302"/>
      <c r="G5" s="302"/>
      <c r="H5" s="302"/>
      <c r="I5" s="302"/>
      <c r="J5" s="302"/>
      <c r="K5" s="302"/>
      <c r="L5" s="302"/>
      <c r="M5" s="302"/>
    </row>
    <row r="6" spans="1:14" x14ac:dyDescent="0.3">
      <c r="H6" s="641" t="s">
        <v>1006</v>
      </c>
      <c r="I6" s="641"/>
      <c r="J6" s="641"/>
      <c r="K6" s="641"/>
      <c r="L6" s="641"/>
    </row>
    <row r="7" spans="1:14" ht="71.25" customHeight="1" x14ac:dyDescent="0.3">
      <c r="A7" s="266" t="s">
        <v>886</v>
      </c>
      <c r="B7" s="7" t="s">
        <v>823</v>
      </c>
      <c r="C7" s="7"/>
      <c r="D7" s="7" t="s">
        <v>515</v>
      </c>
      <c r="E7" s="7"/>
      <c r="F7" s="7" t="s">
        <v>450</v>
      </c>
      <c r="G7" s="7"/>
      <c r="H7" s="7" t="s">
        <v>58</v>
      </c>
      <c r="I7" s="7"/>
      <c r="J7" s="7" t="s">
        <v>1007</v>
      </c>
      <c r="K7" s="7"/>
      <c r="L7" s="7" t="s">
        <v>331</v>
      </c>
      <c r="N7" s="25" t="s">
        <v>1008</v>
      </c>
    </row>
    <row r="9" spans="1:14" x14ac:dyDescent="0.3">
      <c r="A9" s="266">
        <v>1</v>
      </c>
      <c r="B9" s="266" t="s">
        <v>1009</v>
      </c>
      <c r="D9" s="266">
        <v>920</v>
      </c>
      <c r="F9" s="576">
        <v>18480367</v>
      </c>
      <c r="G9" s="97"/>
      <c r="H9" s="199">
        <v>2710426</v>
      </c>
      <c r="I9" s="263"/>
      <c r="J9" s="199">
        <v>15730142</v>
      </c>
      <c r="K9" s="263"/>
      <c r="L9" s="199">
        <v>39799</v>
      </c>
      <c r="N9" s="263">
        <f>+L9</f>
        <v>39799</v>
      </c>
    </row>
    <row r="10" spans="1:14" x14ac:dyDescent="0.3">
      <c r="G10" s="97"/>
      <c r="H10" s="263"/>
      <c r="I10" s="263"/>
      <c r="J10" s="263"/>
      <c r="K10" s="263"/>
      <c r="L10" s="263"/>
      <c r="N10" s="263"/>
    </row>
    <row r="11" spans="1:14" x14ac:dyDescent="0.3">
      <c r="A11" s="266">
        <f>+A9+1</f>
        <v>2</v>
      </c>
      <c r="B11" s="266" t="s">
        <v>1010</v>
      </c>
      <c r="D11" s="266">
        <v>921</v>
      </c>
      <c r="F11" s="576">
        <v>7970011</v>
      </c>
      <c r="G11" s="97"/>
      <c r="H11" s="199">
        <v>703781</v>
      </c>
      <c r="I11" s="263"/>
      <c r="J11" s="199">
        <v>7266230</v>
      </c>
      <c r="K11" s="263"/>
      <c r="L11" s="199" t="s">
        <v>565</v>
      </c>
      <c r="N11" s="263" t="str">
        <f>+L11</f>
        <v xml:space="preserve"> -   </v>
      </c>
    </row>
    <row r="12" spans="1:14" x14ac:dyDescent="0.3">
      <c r="G12" s="97"/>
      <c r="H12" s="263"/>
      <c r="I12" s="263"/>
      <c r="J12" s="263"/>
      <c r="K12" s="263"/>
      <c r="L12" s="263"/>
      <c r="N12" s="263"/>
    </row>
    <row r="13" spans="1:14" x14ac:dyDescent="0.3">
      <c r="A13" s="266">
        <f>+A11+1</f>
        <v>3</v>
      </c>
      <c r="B13" s="266" t="s">
        <v>1011</v>
      </c>
      <c r="D13" s="266">
        <v>922</v>
      </c>
      <c r="F13" s="576">
        <v>-1887606</v>
      </c>
      <c r="G13" s="97"/>
      <c r="H13" s="199">
        <v>-224548</v>
      </c>
      <c r="I13" s="263"/>
      <c r="J13" s="199">
        <v>-1663058</v>
      </c>
      <c r="K13" s="263"/>
      <c r="L13" s="199" t="s">
        <v>565</v>
      </c>
      <c r="N13" s="263" t="str">
        <f>+L13</f>
        <v xml:space="preserve"> -   </v>
      </c>
    </row>
    <row r="14" spans="1:14" x14ac:dyDescent="0.3">
      <c r="G14" s="97"/>
      <c r="H14" s="263"/>
      <c r="I14" s="263"/>
      <c r="J14" s="263"/>
      <c r="K14" s="263"/>
      <c r="L14" s="263"/>
      <c r="N14" s="263"/>
    </row>
    <row r="15" spans="1:14" x14ac:dyDescent="0.3">
      <c r="A15" s="266">
        <f>+A13+1</f>
        <v>4</v>
      </c>
      <c r="B15" s="266" t="s">
        <v>1012</v>
      </c>
      <c r="D15" s="266">
        <v>923</v>
      </c>
      <c r="F15" s="576">
        <v>24134691</v>
      </c>
      <c r="G15" s="97"/>
      <c r="H15" s="199">
        <v>1175755</v>
      </c>
      <c r="I15" s="263"/>
      <c r="J15" s="199">
        <v>22958923</v>
      </c>
      <c r="K15" s="263"/>
      <c r="L15" s="199">
        <v>13</v>
      </c>
      <c r="N15" s="263">
        <f>+L15</f>
        <v>13</v>
      </c>
    </row>
    <row r="16" spans="1:14" x14ac:dyDescent="0.3">
      <c r="G16" s="97"/>
      <c r="H16" s="263"/>
      <c r="I16" s="263"/>
      <c r="J16" s="263"/>
      <c r="K16" s="263"/>
      <c r="L16" s="263"/>
      <c r="N16" s="263"/>
    </row>
    <row r="17" spans="1:14" x14ac:dyDescent="0.3">
      <c r="A17" s="266">
        <f>+A15+1</f>
        <v>5</v>
      </c>
      <c r="B17" s="266" t="s">
        <v>1013</v>
      </c>
      <c r="D17" s="266">
        <v>924</v>
      </c>
      <c r="F17" s="576">
        <v>5877742</v>
      </c>
      <c r="G17" s="97"/>
      <c r="H17" s="199">
        <v>3834266</v>
      </c>
      <c r="I17" s="263"/>
      <c r="J17" s="199">
        <v>2043476</v>
      </c>
      <c r="K17" s="263"/>
      <c r="L17" s="199" t="s">
        <v>565</v>
      </c>
      <c r="N17" s="263" t="str">
        <f>+L17</f>
        <v xml:space="preserve"> -   </v>
      </c>
    </row>
    <row r="18" spans="1:14" x14ac:dyDescent="0.3">
      <c r="G18" s="97"/>
      <c r="H18" s="263"/>
      <c r="I18" s="263"/>
      <c r="J18" s="263"/>
      <c r="K18" s="263"/>
      <c r="L18" s="263"/>
      <c r="N18" s="263"/>
    </row>
    <row r="19" spans="1:14" x14ac:dyDescent="0.3">
      <c r="A19" s="266">
        <f>+A17+1</f>
        <v>6</v>
      </c>
      <c r="B19" s="266" t="s">
        <v>1014</v>
      </c>
      <c r="D19" s="266">
        <v>925</v>
      </c>
      <c r="F19" s="576">
        <v>4591462</v>
      </c>
      <c r="G19" s="97"/>
      <c r="H19" s="199">
        <v>657834</v>
      </c>
      <c r="I19" s="263"/>
      <c r="J19" s="199">
        <v>3930270</v>
      </c>
      <c r="K19" s="263"/>
      <c r="L19" s="576">
        <v>3358</v>
      </c>
      <c r="N19" s="263">
        <f>+L19</f>
        <v>3358</v>
      </c>
    </row>
    <row r="20" spans="1:14" x14ac:dyDescent="0.3">
      <c r="G20" s="97"/>
      <c r="H20" s="263"/>
      <c r="I20" s="263"/>
      <c r="J20" s="263"/>
      <c r="K20" s="263"/>
      <c r="L20" s="263"/>
      <c r="N20" s="263"/>
    </row>
    <row r="21" spans="1:14" x14ac:dyDescent="0.3">
      <c r="A21" s="266">
        <f>+A19+1</f>
        <v>7</v>
      </c>
      <c r="B21" s="266" t="s">
        <v>1015</v>
      </c>
      <c r="D21" s="266">
        <v>926</v>
      </c>
      <c r="F21" s="576">
        <v>12497117</v>
      </c>
      <c r="G21" s="97"/>
      <c r="H21" s="199">
        <v>1041226</v>
      </c>
      <c r="I21" s="263"/>
      <c r="J21" s="199">
        <v>11449258</v>
      </c>
      <c r="K21" s="263"/>
      <c r="L21" s="199">
        <v>6633</v>
      </c>
      <c r="N21" s="263">
        <f>+L21</f>
        <v>6633</v>
      </c>
    </row>
    <row r="22" spans="1:14" x14ac:dyDescent="0.3">
      <c r="G22" s="97"/>
      <c r="H22" s="263"/>
      <c r="I22" s="263"/>
      <c r="J22" s="263"/>
      <c r="K22" s="263"/>
      <c r="L22" s="263"/>
      <c r="N22" s="263"/>
    </row>
    <row r="23" spans="1:14" x14ac:dyDescent="0.3">
      <c r="A23" s="266">
        <f>+A21+1</f>
        <v>8</v>
      </c>
      <c r="B23" s="266" t="s">
        <v>1016</v>
      </c>
      <c r="D23" s="266">
        <v>927</v>
      </c>
      <c r="F23" s="577" t="s">
        <v>1017</v>
      </c>
      <c r="G23" s="97"/>
      <c r="H23" s="199" t="s">
        <v>1017</v>
      </c>
      <c r="I23" s="263"/>
      <c r="J23" s="199" t="s">
        <v>1017</v>
      </c>
      <c r="K23" s="263"/>
      <c r="L23" s="199" t="s">
        <v>565</v>
      </c>
      <c r="N23" s="263" t="str">
        <f>+L23</f>
        <v xml:space="preserve"> -   </v>
      </c>
    </row>
    <row r="24" spans="1:14" x14ac:dyDescent="0.3">
      <c r="G24" s="97"/>
      <c r="H24" s="263"/>
      <c r="I24" s="263"/>
      <c r="J24" s="263"/>
      <c r="K24" s="263"/>
      <c r="L24" s="263"/>
      <c r="N24" s="263"/>
    </row>
    <row r="25" spans="1:14" x14ac:dyDescent="0.3">
      <c r="A25" s="266">
        <f>+A23+1</f>
        <v>9</v>
      </c>
      <c r="B25" s="266" t="s">
        <v>1018</v>
      </c>
      <c r="D25" s="266">
        <v>928</v>
      </c>
      <c r="F25" s="576">
        <v>4916422</v>
      </c>
      <c r="G25" s="97"/>
      <c r="H25" s="199">
        <v>159396</v>
      </c>
      <c r="I25" s="263"/>
      <c r="J25" s="199">
        <v>4757026</v>
      </c>
      <c r="K25" s="263"/>
      <c r="L25" s="199" t="s">
        <v>565</v>
      </c>
      <c r="N25" s="263" t="str">
        <f>+L25</f>
        <v xml:space="preserve"> -   </v>
      </c>
    </row>
    <row r="26" spans="1:14" x14ac:dyDescent="0.3">
      <c r="G26" s="97"/>
      <c r="H26" s="263"/>
      <c r="I26" s="263"/>
      <c r="J26" s="263"/>
      <c r="K26" s="263"/>
      <c r="L26" s="263"/>
      <c r="N26" s="263"/>
    </row>
    <row r="27" spans="1:14" x14ac:dyDescent="0.3">
      <c r="A27" s="266">
        <f>+A25+1</f>
        <v>10</v>
      </c>
      <c r="B27" s="266" t="s">
        <v>1019</v>
      </c>
      <c r="D27" s="266">
        <v>929</v>
      </c>
      <c r="F27" s="576">
        <v>-1408475</v>
      </c>
      <c r="G27" s="97"/>
      <c r="H27" s="199" t="s">
        <v>565</v>
      </c>
      <c r="I27" s="263"/>
      <c r="J27" s="199">
        <v>-1408475</v>
      </c>
      <c r="K27" s="263"/>
      <c r="L27" s="199" t="s">
        <v>565</v>
      </c>
      <c r="N27" s="263" t="str">
        <f>+L27</f>
        <v xml:space="preserve"> -   </v>
      </c>
    </row>
    <row r="28" spans="1:14" x14ac:dyDescent="0.3">
      <c r="G28" s="97"/>
      <c r="H28" s="263"/>
      <c r="I28" s="263"/>
      <c r="J28" s="263"/>
      <c r="K28" s="263"/>
      <c r="L28" s="263"/>
      <c r="N28" s="263"/>
    </row>
    <row r="29" spans="1:14" x14ac:dyDescent="0.3">
      <c r="A29" s="266">
        <f>+A27+1</f>
        <v>11</v>
      </c>
      <c r="B29" s="266" t="s">
        <v>1020</v>
      </c>
      <c r="D29" s="266">
        <v>930.1</v>
      </c>
      <c r="F29" s="576">
        <v>313083</v>
      </c>
      <c r="G29" s="97"/>
      <c r="H29" s="199">
        <v>31899</v>
      </c>
      <c r="I29" s="263"/>
      <c r="J29" s="199">
        <v>281184</v>
      </c>
      <c r="K29" s="263"/>
      <c r="L29" s="199" t="s">
        <v>565</v>
      </c>
      <c r="N29" s="263" t="str">
        <f>+L29</f>
        <v xml:space="preserve"> -   </v>
      </c>
    </row>
    <row r="30" spans="1:14" x14ac:dyDescent="0.3">
      <c r="G30" s="97"/>
      <c r="H30" s="263"/>
      <c r="I30" s="263"/>
      <c r="J30" s="263"/>
      <c r="K30" s="263"/>
      <c r="L30" s="263"/>
      <c r="N30" s="263"/>
    </row>
    <row r="31" spans="1:14" x14ac:dyDescent="0.3">
      <c r="A31" s="266">
        <f>+A29+1</f>
        <v>12</v>
      </c>
      <c r="B31" s="266" t="s">
        <v>1021</v>
      </c>
      <c r="D31" s="266">
        <v>930.2</v>
      </c>
      <c r="F31" s="576">
        <v>657990</v>
      </c>
      <c r="G31" s="97"/>
      <c r="H31" s="199">
        <v>23010</v>
      </c>
      <c r="I31" s="263"/>
      <c r="J31" s="199">
        <v>634980</v>
      </c>
      <c r="K31" s="263"/>
      <c r="L31" s="199" t="s">
        <v>565</v>
      </c>
      <c r="N31" s="263" t="str">
        <f>+L31</f>
        <v xml:space="preserve"> -   </v>
      </c>
    </row>
    <row r="32" spans="1:14" x14ac:dyDescent="0.3">
      <c r="G32" s="97"/>
      <c r="H32" s="263"/>
      <c r="I32" s="263"/>
      <c r="J32" s="263"/>
      <c r="K32" s="263"/>
      <c r="L32" s="263"/>
      <c r="N32" s="263"/>
    </row>
    <row r="33" spans="1:14" x14ac:dyDescent="0.3">
      <c r="A33" s="266">
        <f>+A31+1</f>
        <v>13</v>
      </c>
      <c r="B33" s="266" t="s">
        <v>1022</v>
      </c>
      <c r="D33" s="266">
        <v>931</v>
      </c>
      <c r="F33" s="576">
        <v>92967</v>
      </c>
      <c r="G33" s="97"/>
      <c r="H33" s="199">
        <v>2440</v>
      </c>
      <c r="I33" s="263"/>
      <c r="J33" s="199">
        <v>90527</v>
      </c>
      <c r="K33" s="263"/>
      <c r="L33" s="199" t="s">
        <v>565</v>
      </c>
      <c r="N33" s="263" t="str">
        <f>+L33</f>
        <v xml:space="preserve"> -   </v>
      </c>
    </row>
    <row r="34" spans="1:14" x14ac:dyDescent="0.3">
      <c r="G34" s="97"/>
      <c r="H34" s="263"/>
      <c r="I34" s="263"/>
      <c r="J34" s="263"/>
      <c r="K34" s="263"/>
      <c r="L34" s="263"/>
      <c r="N34" s="263"/>
    </row>
    <row r="35" spans="1:14" x14ac:dyDescent="0.3">
      <c r="A35" s="266">
        <f>+A33+1</f>
        <v>14</v>
      </c>
      <c r="B35" s="266" t="s">
        <v>1023</v>
      </c>
      <c r="D35" s="266">
        <v>935</v>
      </c>
      <c r="F35" s="576">
        <v>4174296</v>
      </c>
      <c r="G35" s="97"/>
      <c r="H35" s="199">
        <v>97460</v>
      </c>
      <c r="I35" s="263"/>
      <c r="J35" s="199">
        <v>4076836</v>
      </c>
      <c r="K35" s="263"/>
      <c r="L35" s="199" t="s">
        <v>565</v>
      </c>
      <c r="N35" s="263" t="str">
        <f>+L35</f>
        <v xml:space="preserve"> -   </v>
      </c>
    </row>
    <row r="36" spans="1:14" x14ac:dyDescent="0.3">
      <c r="F36" s="6"/>
      <c r="G36" s="97"/>
      <c r="H36" s="6"/>
      <c r="I36" s="97"/>
      <c r="J36" s="6"/>
      <c r="K36" s="97"/>
      <c r="L36" s="6"/>
      <c r="N36" s="97"/>
    </row>
    <row r="37" spans="1:14" x14ac:dyDescent="0.3">
      <c r="A37" s="266">
        <f>+A35+1</f>
        <v>15</v>
      </c>
      <c r="B37" s="266" t="s">
        <v>69</v>
      </c>
      <c r="F37" s="263">
        <f>+H37+J37+L37</f>
        <v>105972391</v>
      </c>
      <c r="G37" s="263"/>
      <c r="H37" s="263">
        <f>+SUM(H9:H35)+2808145</f>
        <v>13021090</v>
      </c>
      <c r="I37" s="263"/>
      <c r="J37" s="263">
        <f>+SUM(J9:J35)+22754179</f>
        <v>92901498</v>
      </c>
      <c r="K37" s="263"/>
      <c r="L37" s="263">
        <f>+SUM(L9:L35)</f>
        <v>49803</v>
      </c>
      <c r="M37" s="263"/>
      <c r="N37" s="263">
        <f>+SUM(N9:N35)</f>
        <v>49803</v>
      </c>
    </row>
    <row r="38" spans="1:14" x14ac:dyDescent="0.3">
      <c r="F38" s="308"/>
    </row>
    <row r="39" spans="1:14" x14ac:dyDescent="0.3">
      <c r="B39" s="639" t="s">
        <v>1048</v>
      </c>
      <c r="C39" s="639"/>
      <c r="D39" s="639"/>
      <c r="E39" s="639"/>
      <c r="F39" s="639"/>
      <c r="G39" s="639"/>
      <c r="H39" s="640"/>
      <c r="I39" s="639"/>
      <c r="J39" s="639"/>
      <c r="K39" s="639"/>
      <c r="L39" s="639"/>
    </row>
    <row r="40" spans="1:14" x14ac:dyDescent="0.3">
      <c r="J40" s="263"/>
    </row>
  </sheetData>
  <mergeCells count="5">
    <mergeCell ref="B1:M1"/>
    <mergeCell ref="B2:M2"/>
    <mergeCell ref="B3:M3"/>
    <mergeCell ref="B4:M4"/>
    <mergeCell ref="H6:L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89318521683403E-2"/>
  </sheetPr>
  <dimension ref="A1:U121"/>
  <sheetViews>
    <sheetView showGridLines="0" topLeftCell="A19" zoomScale="60" zoomScaleNormal="60" workbookViewId="0">
      <selection activeCell="G35" sqref="G35"/>
    </sheetView>
  </sheetViews>
  <sheetFormatPr defaultColWidth="18.7109375" defaultRowHeight="20.25" x14ac:dyDescent="0.3"/>
  <cols>
    <col min="1" max="1" width="5.5703125" style="266" customWidth="1"/>
    <col min="2" max="2" width="65.7109375" style="27" customWidth="1"/>
    <col min="3" max="3" width="88.5703125" style="266" customWidth="1"/>
    <col min="4" max="4" width="22.7109375" style="266" customWidth="1"/>
    <col min="5" max="5" width="28.7109375" style="266" customWidth="1"/>
    <col min="6" max="6" width="24.28515625" style="266" customWidth="1"/>
    <col min="7" max="7" width="24" style="266" bestFit="1" customWidth="1"/>
    <col min="8" max="8" width="24" style="266" customWidth="1"/>
    <col min="9" max="9" width="124.7109375" style="266" customWidth="1"/>
    <col min="10" max="16384" width="18.7109375" style="266"/>
  </cols>
  <sheetData>
    <row r="1" spans="1:9" x14ac:dyDescent="0.3">
      <c r="B1" s="645" t="str">
        <f>+'Appendix A'!A3</f>
        <v>Dayton Power and Light</v>
      </c>
      <c r="C1" s="645"/>
      <c r="D1" s="645"/>
      <c r="E1" s="645"/>
      <c r="F1" s="645"/>
      <c r="G1" s="645"/>
      <c r="H1" s="645"/>
      <c r="I1" s="645"/>
    </row>
    <row r="2" spans="1:9" x14ac:dyDescent="0.3">
      <c r="B2" s="645" t="s">
        <v>256</v>
      </c>
      <c r="C2" s="645"/>
      <c r="D2" s="645"/>
      <c r="E2" s="645"/>
      <c r="F2" s="645"/>
      <c r="G2" s="645"/>
      <c r="H2" s="645"/>
      <c r="I2" s="645"/>
    </row>
    <row r="3" spans="1:9" x14ac:dyDescent="0.3">
      <c r="B3" s="648" t="s">
        <v>257</v>
      </c>
      <c r="C3" s="648"/>
      <c r="D3" s="648"/>
      <c r="E3" s="648"/>
      <c r="F3" s="648"/>
      <c r="G3" s="648"/>
      <c r="H3" s="648"/>
      <c r="I3" s="648"/>
    </row>
    <row r="5" spans="1:9" x14ac:dyDescent="0.3">
      <c r="D5" s="300" t="s">
        <v>258</v>
      </c>
      <c r="E5" s="300"/>
      <c r="G5" s="300"/>
      <c r="H5" s="300"/>
      <c r="I5" s="299"/>
    </row>
    <row r="6" spans="1:9" x14ac:dyDescent="0.3">
      <c r="D6" s="300" t="s">
        <v>58</v>
      </c>
      <c r="E6" s="300" t="s">
        <v>259</v>
      </c>
      <c r="F6" s="300" t="s">
        <v>260</v>
      </c>
      <c r="G6" s="300"/>
      <c r="H6" s="300" t="s">
        <v>69</v>
      </c>
      <c r="I6" s="366"/>
    </row>
    <row r="7" spans="1:9" x14ac:dyDescent="0.3">
      <c r="D7" s="300" t="s">
        <v>261</v>
      </c>
      <c r="E7" s="300" t="s">
        <v>261</v>
      </c>
      <c r="F7" s="300" t="s">
        <v>261</v>
      </c>
      <c r="G7" s="300"/>
      <c r="H7" s="300" t="s">
        <v>262</v>
      </c>
      <c r="I7" s="366"/>
    </row>
    <row r="8" spans="1:9" s="298" customFormat="1" x14ac:dyDescent="0.3"/>
    <row r="9" spans="1:9" x14ac:dyDescent="0.3">
      <c r="A9" s="304">
        <v>1</v>
      </c>
      <c r="C9" s="198" t="s">
        <v>263</v>
      </c>
      <c r="D9" s="297">
        <f>+E45</f>
        <v>0</v>
      </c>
      <c r="E9" s="297">
        <f>+F45</f>
        <v>23339762.690000001</v>
      </c>
      <c r="F9" s="297">
        <f>+G45</f>
        <v>6371862.9199999999</v>
      </c>
      <c r="G9" s="297"/>
      <c r="H9" s="297"/>
      <c r="I9" s="308" t="str">
        <f>"(Line "&amp;A45&amp;")"</f>
        <v>(Line 26)</v>
      </c>
    </row>
    <row r="10" spans="1:9" x14ac:dyDescent="0.3">
      <c r="A10" s="304">
        <f>+A9+1</f>
        <v>2</v>
      </c>
      <c r="C10" s="198" t="s">
        <v>264</v>
      </c>
      <c r="D10" s="297">
        <f>+E64</f>
        <v>-7035858.9648396447</v>
      </c>
      <c r="E10" s="297">
        <f t="shared" ref="E10:F10" si="0">+F64</f>
        <v>0</v>
      </c>
      <c r="F10" s="297">
        <f t="shared" si="0"/>
        <v>-6828963.7599999998</v>
      </c>
      <c r="G10" s="297"/>
      <c r="H10" s="297"/>
      <c r="I10" s="308" t="str">
        <f>"(Line "&amp;A64&amp;")"</f>
        <v>(Line 29)</v>
      </c>
    </row>
    <row r="11" spans="1:9" x14ac:dyDescent="0.3">
      <c r="A11" s="304">
        <f>+A10+1</f>
        <v>3</v>
      </c>
      <c r="C11" s="198" t="s">
        <v>265</v>
      </c>
      <c r="D11" s="296">
        <f>+E92</f>
        <v>0</v>
      </c>
      <c r="E11" s="296">
        <f t="shared" ref="E11:F11" si="1">+F92</f>
        <v>0</v>
      </c>
      <c r="F11" s="296">
        <f t="shared" si="1"/>
        <v>0</v>
      </c>
      <c r="G11" s="296"/>
      <c r="H11" s="297"/>
      <c r="I11" s="308" t="str">
        <f>"(Line "&amp;A92&amp;")"</f>
        <v>(Line 40)</v>
      </c>
    </row>
    <row r="12" spans="1:9" x14ac:dyDescent="0.3">
      <c r="A12" s="304">
        <f t="shared" ref="A12:A17" si="2">+A11+1</f>
        <v>4</v>
      </c>
      <c r="C12" s="198" t="s">
        <v>92</v>
      </c>
      <c r="D12" s="297">
        <f>+SUM(D9:D11)</f>
        <v>-7035858.9648396447</v>
      </c>
      <c r="E12" s="297">
        <f t="shared" ref="E12:F12" si="3">+SUM(E9:E11)</f>
        <v>23339762.690000001</v>
      </c>
      <c r="F12" s="297">
        <f t="shared" si="3"/>
        <v>-457100.83999999985</v>
      </c>
      <c r="G12" s="297"/>
      <c r="H12" s="297"/>
      <c r="I12" s="308" t="str">
        <f>"(Line "&amp;A9&amp;" + Line "&amp;A10&amp;" + Line "&amp;A11&amp;")"</f>
        <v>(Line 1 + Line 2 + Line 3)</v>
      </c>
    </row>
    <row r="13" spans="1:9" x14ac:dyDescent="0.3">
      <c r="A13" s="304">
        <f t="shared" si="2"/>
        <v>5</v>
      </c>
      <c r="C13" s="198" t="s">
        <v>14</v>
      </c>
      <c r="F13" s="295">
        <f>'Appendix A'!H16</f>
        <v>0.11010683301047983</v>
      </c>
      <c r="I13" s="308" t="str">
        <f>"(Appendix A, Line "&amp;'Appendix A'!A16&amp;")"</f>
        <v>(Appendix A, Line 5)</v>
      </c>
    </row>
    <row r="14" spans="1:9" x14ac:dyDescent="0.3">
      <c r="A14" s="304">
        <f t="shared" si="2"/>
        <v>6</v>
      </c>
      <c r="C14" s="198" t="s">
        <v>22</v>
      </c>
      <c r="E14" s="295">
        <f>'Appendix A'!H27</f>
        <v>0.29799930525418156</v>
      </c>
      <c r="I14" s="308" t="str">
        <f>"(Appendix A, Line "&amp;'Appendix A'!A27&amp;")"</f>
        <v>(Appendix A, Line 12)</v>
      </c>
    </row>
    <row r="15" spans="1:9" x14ac:dyDescent="0.3">
      <c r="A15" s="304">
        <f>+A14+1</f>
        <v>7</v>
      </c>
      <c r="C15" s="198" t="s">
        <v>266</v>
      </c>
      <c r="D15" s="297">
        <f>+D12</f>
        <v>-7035858.9648396447</v>
      </c>
      <c r="E15" s="297">
        <f>+E14*E12</f>
        <v>6955233.0664174678</v>
      </c>
      <c r="F15" s="297">
        <f>+F13*F12</f>
        <v>-50329.925858830044</v>
      </c>
      <c r="G15" s="297"/>
      <c r="H15" s="294">
        <f>SUM(D15:F15)</f>
        <v>-130955.82428100699</v>
      </c>
      <c r="I15" s="308" t="str">
        <f>"(Line "&amp;A12&amp;" * Line "&amp;A13&amp;" or Line "&amp;A14&amp;")"</f>
        <v>(Line 4 * Line 5 or Line 6)</v>
      </c>
    </row>
    <row r="16" spans="1:9" x14ac:dyDescent="0.3">
      <c r="A16" s="304">
        <f t="shared" si="2"/>
        <v>8</v>
      </c>
      <c r="C16" s="198" t="s">
        <v>267</v>
      </c>
      <c r="D16" s="297">
        <f>+'1C - ADIT Prior Year'!D15</f>
        <v>-8220708</v>
      </c>
      <c r="E16" s="297">
        <f>+'1C - ADIT Prior Year'!E15</f>
        <v>0</v>
      </c>
      <c r="F16" s="297">
        <f>+'1C - ADIT Prior Year'!F15</f>
        <v>-168987.23271066498</v>
      </c>
      <c r="G16" s="297"/>
      <c r="H16" s="294">
        <f t="shared" ref="H16" si="4">SUM(D16:F16)</f>
        <v>-8389695.2327106651</v>
      </c>
      <c r="I16" s="308" t="str">
        <f>"(Attachment 1C - ADIT Prior Year, Line "&amp;A15&amp;")"</f>
        <v>(Attachment 1C - ADIT Prior Year, Line 7)</v>
      </c>
    </row>
    <row r="17" spans="1:21" x14ac:dyDescent="0.3">
      <c r="A17" s="304">
        <f t="shared" si="2"/>
        <v>9</v>
      </c>
      <c r="C17" s="198" t="s">
        <v>268</v>
      </c>
      <c r="D17" s="297">
        <f>(D15+D16)/2</f>
        <v>-7628283.4824198224</v>
      </c>
      <c r="E17" s="297">
        <f>(E15+E16)/2</f>
        <v>3477616.5332087339</v>
      </c>
      <c r="F17" s="297">
        <f>(F15+F16)/2</f>
        <v>-109658.57928474751</v>
      </c>
      <c r="G17" s="297"/>
      <c r="H17" s="294">
        <f>SUM(D17:F17)</f>
        <v>-4260325.5284958361</v>
      </c>
      <c r="I17" s="308" t="str">
        <f>"(Average of Line "&amp;A15&amp;" + Line "&amp;A16&amp;")"</f>
        <v>(Average of Line 7 + Line 8)</v>
      </c>
      <c r="J17" s="308"/>
    </row>
    <row r="18" spans="1:21" x14ac:dyDescent="0.3">
      <c r="A18" s="304">
        <f>+A17+1</f>
        <v>10</v>
      </c>
      <c r="C18" s="198" t="s">
        <v>269</v>
      </c>
      <c r="D18" s="474">
        <f>+'1B - ADIT Proration'!J24</f>
        <v>-39105201.494111881</v>
      </c>
      <c r="E18" s="474">
        <f>+'1B - ADIT Proration'!N24</f>
        <v>0</v>
      </c>
      <c r="F18" s="474">
        <f>+'1B - ADIT Proration'!R24</f>
        <v>-2689075.0306924963</v>
      </c>
      <c r="G18" s="297"/>
      <c r="H18" s="293">
        <f>+D18+E18+F18</f>
        <v>-41794276.524804376</v>
      </c>
      <c r="I18" s="308" t="str">
        <f>"(Attachment 1B, Line "&amp;'1B - ADIT Proration'!A24&amp;" or Attachment 1D, Line "&amp;'1D - ADIT True-Up Proration'!A27&amp;")"</f>
        <v>(Attachment 1B, Line 14 or Attachment 1D, Line 13)</v>
      </c>
    </row>
    <row r="19" spans="1:21" x14ac:dyDescent="0.3">
      <c r="A19" s="304">
        <f>+A18+1</f>
        <v>11</v>
      </c>
      <c r="C19" s="292" t="s">
        <v>270</v>
      </c>
      <c r="D19" s="297">
        <f>+D17+D18</f>
        <v>-46733484.976531699</v>
      </c>
      <c r="E19" s="297">
        <f>+E17+E18</f>
        <v>3477616.5332087339</v>
      </c>
      <c r="F19" s="297">
        <f>+F17+F18</f>
        <v>-2798733.6099772439</v>
      </c>
      <c r="G19" s="294"/>
      <c r="H19" s="294">
        <f>+H17+H18</f>
        <v>-46054602.053300209</v>
      </c>
      <c r="I19" s="308" t="str">
        <f>"(Line "&amp;A17&amp;" + Line "&amp;A18&amp;")"</f>
        <v>(Line 9 + Line 10)</v>
      </c>
    </row>
    <row r="20" spans="1:21" x14ac:dyDescent="0.3">
      <c r="C20" s="292"/>
      <c r="D20" s="297"/>
      <c r="E20" s="297"/>
      <c r="F20" s="297"/>
      <c r="G20" s="294"/>
      <c r="H20" s="294"/>
      <c r="I20" s="332"/>
    </row>
    <row r="21" spans="1:21" x14ac:dyDescent="0.3">
      <c r="C21" s="292"/>
      <c r="D21" s="297"/>
      <c r="E21" s="297"/>
      <c r="F21" s="297"/>
      <c r="G21" s="294"/>
      <c r="H21" s="294"/>
      <c r="I21" s="332"/>
    </row>
    <row r="22" spans="1:21" x14ac:dyDescent="0.3">
      <c r="B22" s="198"/>
    </row>
    <row r="23" spans="1:21" x14ac:dyDescent="0.3">
      <c r="B23" s="266" t="s">
        <v>271</v>
      </c>
      <c r="D23" s="297"/>
    </row>
    <row r="24" spans="1:21" x14ac:dyDescent="0.3">
      <c r="B24" s="266"/>
    </row>
    <row r="25" spans="1:21" x14ac:dyDescent="0.3">
      <c r="B25" s="27" t="s">
        <v>272</v>
      </c>
    </row>
    <row r="26" spans="1:21" x14ac:dyDescent="0.3">
      <c r="B26" s="27" t="s">
        <v>273</v>
      </c>
    </row>
    <row r="27" spans="1:21" x14ac:dyDescent="0.3">
      <c r="G27" s="292"/>
      <c r="H27" s="292"/>
    </row>
    <row r="28" spans="1:21" x14ac:dyDescent="0.3">
      <c r="B28" s="302" t="s">
        <v>209</v>
      </c>
      <c r="C28" s="302" t="s">
        <v>211</v>
      </c>
      <c r="D28" s="302" t="s">
        <v>213</v>
      </c>
      <c r="E28" s="302" t="s">
        <v>215</v>
      </c>
      <c r="F28" s="302" t="s">
        <v>217</v>
      </c>
      <c r="G28" s="302" t="s">
        <v>219</v>
      </c>
      <c r="H28" s="302"/>
      <c r="I28" s="302" t="s">
        <v>221</v>
      </c>
    </row>
    <row r="29" spans="1:21" x14ac:dyDescent="0.3">
      <c r="B29" s="291" t="s">
        <v>274</v>
      </c>
      <c r="C29" s="300"/>
      <c r="D29" s="300"/>
      <c r="E29" s="300" t="s">
        <v>58</v>
      </c>
      <c r="F29" s="300" t="s">
        <v>259</v>
      </c>
      <c r="G29" s="300" t="s">
        <v>260</v>
      </c>
      <c r="H29" s="300"/>
    </row>
    <row r="30" spans="1:21" ht="40.5" customHeight="1" thickBot="1" x14ac:dyDescent="0.35">
      <c r="C30" s="300" t="s">
        <v>69</v>
      </c>
      <c r="D30" s="300" t="s">
        <v>275</v>
      </c>
      <c r="E30" s="300" t="s">
        <v>261</v>
      </c>
      <c r="F30" s="300" t="s">
        <v>261</v>
      </c>
      <c r="G30" s="300" t="s">
        <v>261</v>
      </c>
      <c r="H30" s="300"/>
      <c r="I30" s="300" t="s">
        <v>276</v>
      </c>
    </row>
    <row r="31" spans="1:21" ht="28.5" customHeight="1" x14ac:dyDescent="0.3">
      <c r="A31" s="304">
        <f>+A19+1</f>
        <v>12</v>
      </c>
      <c r="B31" s="516" t="s">
        <v>277</v>
      </c>
      <c r="C31" s="517">
        <f>+SUM(D31:G31)</f>
        <v>622214.69999999995</v>
      </c>
      <c r="D31" s="518">
        <v>0</v>
      </c>
      <c r="E31" s="518">
        <v>0</v>
      </c>
      <c r="F31" s="518">
        <v>0</v>
      </c>
      <c r="G31" s="518">
        <v>622214.69999999995</v>
      </c>
      <c r="H31" s="539"/>
      <c r="I31" s="549" t="s">
        <v>278</v>
      </c>
      <c r="Q31" s="287"/>
      <c r="R31" s="287"/>
      <c r="S31" s="287"/>
      <c r="T31" s="287"/>
      <c r="U31" s="287"/>
    </row>
    <row r="32" spans="1:21" ht="28.5" customHeight="1" x14ac:dyDescent="0.3">
      <c r="A32" s="304">
        <f>+A31+1</f>
        <v>13</v>
      </c>
      <c r="B32" s="521" t="s">
        <v>279</v>
      </c>
      <c r="C32" s="522">
        <f>+SUM(D32:G32)</f>
        <v>2549102.62</v>
      </c>
      <c r="D32" s="523">
        <v>0</v>
      </c>
      <c r="E32" s="523">
        <v>0</v>
      </c>
      <c r="F32" s="523">
        <v>0</v>
      </c>
      <c r="G32" s="523">
        <v>2549102.62</v>
      </c>
      <c r="H32" s="524"/>
      <c r="I32" s="520" t="s">
        <v>280</v>
      </c>
      <c r="Q32" s="287"/>
      <c r="R32" s="287"/>
      <c r="S32" s="287"/>
      <c r="T32" s="287"/>
      <c r="U32" s="287"/>
    </row>
    <row r="33" spans="1:21" ht="39.75" customHeight="1" x14ac:dyDescent="0.3">
      <c r="A33" s="304">
        <f t="shared" ref="A33:A44" si="5">+A32+1</f>
        <v>14</v>
      </c>
      <c r="B33" s="521" t="s">
        <v>281</v>
      </c>
      <c r="C33" s="522">
        <f>+SUM(D33:G33)</f>
        <v>486008.98</v>
      </c>
      <c r="D33" s="523">
        <v>0</v>
      </c>
      <c r="E33" s="523">
        <v>0</v>
      </c>
      <c r="F33" s="523">
        <v>0</v>
      </c>
      <c r="G33" s="523">
        <v>486008.98</v>
      </c>
      <c r="H33" s="524"/>
      <c r="I33" s="520" t="s">
        <v>278</v>
      </c>
      <c r="Q33" s="287"/>
      <c r="R33" s="287"/>
      <c r="S33" s="287"/>
      <c r="T33" s="287"/>
      <c r="U33" s="287"/>
    </row>
    <row r="34" spans="1:21" ht="39.75" customHeight="1" x14ac:dyDescent="0.3">
      <c r="A34" s="304">
        <f t="shared" si="5"/>
        <v>15</v>
      </c>
      <c r="B34" s="521" t="s">
        <v>282</v>
      </c>
      <c r="C34" s="522">
        <f t="shared" ref="C34:C39" si="6">+SUM(D34:G34)</f>
        <v>41761.03</v>
      </c>
      <c r="D34" s="523">
        <v>41761.03</v>
      </c>
      <c r="E34" s="523">
        <v>0</v>
      </c>
      <c r="F34" s="523">
        <v>0</v>
      </c>
      <c r="G34" s="523">
        <v>0</v>
      </c>
      <c r="H34" s="524"/>
      <c r="I34" s="520" t="s">
        <v>283</v>
      </c>
      <c r="Q34" s="287"/>
      <c r="R34" s="287"/>
      <c r="S34" s="287"/>
      <c r="T34" s="287"/>
      <c r="U34" s="287"/>
    </row>
    <row r="35" spans="1:21" ht="39.75" customHeight="1" x14ac:dyDescent="0.3">
      <c r="A35" s="304">
        <f t="shared" si="5"/>
        <v>16</v>
      </c>
      <c r="B35" s="521" t="s">
        <v>284</v>
      </c>
      <c r="C35" s="522">
        <f t="shared" si="6"/>
        <v>641377.29</v>
      </c>
      <c r="D35" s="523">
        <v>0</v>
      </c>
      <c r="E35" s="523">
        <v>0</v>
      </c>
      <c r="F35" s="523">
        <v>0</v>
      </c>
      <c r="G35" s="523">
        <v>641377.29</v>
      </c>
      <c r="H35" s="524"/>
      <c r="I35" s="520" t="s">
        <v>285</v>
      </c>
      <c r="Q35" s="287"/>
      <c r="R35" s="287"/>
      <c r="S35" s="287"/>
      <c r="T35" s="287"/>
      <c r="U35" s="287"/>
    </row>
    <row r="36" spans="1:21" ht="39.75" customHeight="1" x14ac:dyDescent="0.3">
      <c r="A36" s="304">
        <f t="shared" si="5"/>
        <v>17</v>
      </c>
      <c r="B36" s="521" t="s">
        <v>286</v>
      </c>
      <c r="C36" s="522">
        <f t="shared" si="6"/>
        <v>0</v>
      </c>
      <c r="D36" s="523">
        <v>0</v>
      </c>
      <c r="E36" s="523">
        <v>0</v>
      </c>
      <c r="F36" s="523">
        <v>0</v>
      </c>
      <c r="G36" s="523">
        <v>0</v>
      </c>
      <c r="H36" s="524"/>
      <c r="I36" s="520" t="s">
        <v>287</v>
      </c>
      <c r="Q36" s="287"/>
      <c r="R36" s="287"/>
      <c r="S36" s="287"/>
      <c r="T36" s="287"/>
      <c r="U36" s="287"/>
    </row>
    <row r="37" spans="1:21" ht="39.75" customHeight="1" x14ac:dyDescent="0.3">
      <c r="A37" s="304">
        <f t="shared" si="5"/>
        <v>18</v>
      </c>
      <c r="B37" s="521" t="s">
        <v>288</v>
      </c>
      <c r="C37" s="522">
        <f t="shared" si="6"/>
        <v>74062.350000000006</v>
      </c>
      <c r="D37" s="523">
        <v>0</v>
      </c>
      <c r="E37" s="523">
        <v>0</v>
      </c>
      <c r="F37" s="523">
        <v>0</v>
      </c>
      <c r="G37" s="523">
        <v>74062.350000000006</v>
      </c>
      <c r="H37" s="524"/>
      <c r="I37" s="520" t="s">
        <v>289</v>
      </c>
      <c r="Q37" s="287"/>
      <c r="R37" s="287"/>
      <c r="S37" s="287"/>
      <c r="T37" s="287"/>
      <c r="U37" s="287"/>
    </row>
    <row r="38" spans="1:21" ht="39.75" customHeight="1" x14ac:dyDescent="0.3">
      <c r="A38" s="304">
        <f t="shared" si="5"/>
        <v>19</v>
      </c>
      <c r="B38" s="521" t="s">
        <v>290</v>
      </c>
      <c r="C38" s="522">
        <f t="shared" si="6"/>
        <v>749173.33</v>
      </c>
      <c r="D38" s="523">
        <v>749173.33</v>
      </c>
      <c r="E38" s="523">
        <v>0</v>
      </c>
      <c r="F38" s="523">
        <v>0</v>
      </c>
      <c r="G38" s="523">
        <v>0</v>
      </c>
      <c r="H38" s="524"/>
      <c r="I38" s="520" t="s">
        <v>291</v>
      </c>
      <c r="Q38" s="287"/>
      <c r="R38" s="287"/>
      <c r="S38" s="287"/>
      <c r="T38" s="287"/>
      <c r="U38" s="287"/>
    </row>
    <row r="39" spans="1:21" ht="39.75" customHeight="1" x14ac:dyDescent="0.3">
      <c r="A39" s="304">
        <f t="shared" si="5"/>
        <v>20</v>
      </c>
      <c r="B39" s="521" t="s">
        <v>292</v>
      </c>
      <c r="C39" s="522">
        <f t="shared" si="6"/>
        <v>0</v>
      </c>
      <c r="D39" s="523">
        <v>0</v>
      </c>
      <c r="E39" s="523">
        <v>0</v>
      </c>
      <c r="F39" s="523">
        <v>0</v>
      </c>
      <c r="G39" s="523">
        <v>0</v>
      </c>
      <c r="H39" s="524"/>
      <c r="I39" s="520" t="s">
        <v>293</v>
      </c>
      <c r="Q39" s="287"/>
      <c r="R39" s="287"/>
      <c r="S39" s="287"/>
      <c r="T39" s="287"/>
      <c r="U39" s="287"/>
    </row>
    <row r="40" spans="1:21" ht="39.75" customHeight="1" x14ac:dyDescent="0.3">
      <c r="A40" s="304">
        <f t="shared" si="5"/>
        <v>21</v>
      </c>
      <c r="B40" s="521" t="s">
        <v>294</v>
      </c>
      <c r="C40" s="522">
        <f>+SUM(D40:G40)</f>
        <v>1279098.6499999999</v>
      </c>
      <c r="D40" s="523">
        <v>0</v>
      </c>
      <c r="E40" s="523">
        <v>0</v>
      </c>
      <c r="F40" s="523">
        <v>0</v>
      </c>
      <c r="G40" s="523">
        <v>1279098.6499999999</v>
      </c>
      <c r="H40" s="524"/>
      <c r="I40" s="520" t="s">
        <v>289</v>
      </c>
      <c r="Q40" s="287"/>
      <c r="R40" s="287"/>
      <c r="S40" s="287"/>
      <c r="T40" s="287"/>
      <c r="U40" s="287"/>
    </row>
    <row r="41" spans="1:21" ht="39.75" customHeight="1" x14ac:dyDescent="0.3">
      <c r="A41" s="304">
        <f t="shared" si="5"/>
        <v>22</v>
      </c>
      <c r="B41" s="521" t="s">
        <v>295</v>
      </c>
      <c r="C41" s="522">
        <f>+SUM(D41:G41)</f>
        <v>23339762.690000001</v>
      </c>
      <c r="D41" s="523">
        <v>0</v>
      </c>
      <c r="E41" s="523">
        <v>0</v>
      </c>
      <c r="F41" s="523">
        <v>23339762.690000001</v>
      </c>
      <c r="G41" s="523">
        <v>0</v>
      </c>
      <c r="H41" s="524"/>
      <c r="I41" s="520" t="s">
        <v>296</v>
      </c>
      <c r="Q41" s="287"/>
      <c r="R41" s="287"/>
      <c r="S41" s="287"/>
      <c r="T41" s="287"/>
      <c r="U41" s="287"/>
    </row>
    <row r="42" spans="1:21" ht="39.75" customHeight="1" x14ac:dyDescent="0.3">
      <c r="A42" s="304">
        <f>+A41+1</f>
        <v>23</v>
      </c>
      <c r="B42" s="521" t="s">
        <v>297</v>
      </c>
      <c r="C42" s="522">
        <f>+SUM(D42:G42)</f>
        <v>719998.33</v>
      </c>
      <c r="D42" s="523">
        <v>0</v>
      </c>
      <c r="E42" s="523">
        <v>0</v>
      </c>
      <c r="F42" s="523">
        <v>0</v>
      </c>
      <c r="G42" s="523">
        <v>719998.33</v>
      </c>
      <c r="H42" s="524"/>
      <c r="I42" s="527" t="s">
        <v>298</v>
      </c>
      <c r="Q42" s="287"/>
      <c r="R42" s="287"/>
      <c r="S42" s="287"/>
      <c r="T42" s="287"/>
      <c r="U42" s="287"/>
    </row>
    <row r="43" spans="1:21" ht="25.15" customHeight="1" x14ac:dyDescent="0.3">
      <c r="A43" s="304">
        <f t="shared" si="5"/>
        <v>24</v>
      </c>
      <c r="B43" s="281" t="s">
        <v>299</v>
      </c>
      <c r="C43" s="280">
        <f t="shared" ref="C43:G43" si="7">SUM(C31:C42)</f>
        <v>30502559.969999999</v>
      </c>
      <c r="D43" s="280">
        <f t="shared" si="7"/>
        <v>790934.36</v>
      </c>
      <c r="E43" s="280">
        <f t="shared" si="7"/>
        <v>0</v>
      </c>
      <c r="F43" s="280">
        <f t="shared" si="7"/>
        <v>23339762.690000001</v>
      </c>
      <c r="G43" s="280">
        <f t="shared" si="7"/>
        <v>6371862.9199999999</v>
      </c>
      <c r="H43" s="280"/>
      <c r="I43" s="279"/>
      <c r="Q43" s="287"/>
      <c r="R43" s="287"/>
      <c r="S43" s="287"/>
      <c r="T43" s="287"/>
      <c r="U43" s="287"/>
    </row>
    <row r="44" spans="1:21" ht="25.15" customHeight="1" x14ac:dyDescent="0.3">
      <c r="A44" s="304">
        <f t="shared" si="5"/>
        <v>25</v>
      </c>
      <c r="B44" s="278" t="s">
        <v>300</v>
      </c>
      <c r="C44" s="277">
        <f>SUM(D44:G44)</f>
        <v>41761.03</v>
      </c>
      <c r="D44" s="277">
        <f>D34</f>
        <v>41761.03</v>
      </c>
      <c r="E44" s="276">
        <f>E34</f>
        <v>0</v>
      </c>
      <c r="F44" s="275">
        <f>F34</f>
        <v>0</v>
      </c>
      <c r="G44" s="275">
        <f>G34</f>
        <v>0</v>
      </c>
      <c r="H44" s="275"/>
      <c r="I44" s="274" t="s">
        <v>301</v>
      </c>
      <c r="Q44" s="287"/>
      <c r="R44" s="287"/>
      <c r="S44" s="287"/>
      <c r="T44" s="287"/>
      <c r="U44" s="287"/>
    </row>
    <row r="45" spans="1:21" ht="35.1" customHeight="1" thickBot="1" x14ac:dyDescent="0.35">
      <c r="A45" s="304">
        <f>+A44+1</f>
        <v>26</v>
      </c>
      <c r="B45" s="273" t="s">
        <v>69</v>
      </c>
      <c r="C45" s="272">
        <f>+C43-C44</f>
        <v>30460798.939999998</v>
      </c>
      <c r="D45" s="272">
        <f t="shared" ref="D45:G45" si="8">+D43-D44</f>
        <v>749173.33</v>
      </c>
      <c r="E45" s="272">
        <f t="shared" si="8"/>
        <v>0</v>
      </c>
      <c r="F45" s="272">
        <f t="shared" si="8"/>
        <v>23339762.690000001</v>
      </c>
      <c r="G45" s="272">
        <f t="shared" si="8"/>
        <v>6371862.9199999999</v>
      </c>
      <c r="H45" s="272"/>
      <c r="I45" s="271"/>
      <c r="Q45" s="287"/>
      <c r="R45" s="287"/>
      <c r="S45" s="287"/>
      <c r="T45" s="287"/>
      <c r="U45" s="287"/>
    </row>
    <row r="46" spans="1:21" ht="35.1" customHeight="1" x14ac:dyDescent="0.3">
      <c r="B46" s="266" t="s">
        <v>302</v>
      </c>
      <c r="D46" s="297"/>
      <c r="E46" s="270"/>
      <c r="F46" s="304"/>
      <c r="I46" s="269"/>
    </row>
    <row r="47" spans="1:21" ht="19.149999999999999" customHeight="1" x14ac:dyDescent="0.3">
      <c r="B47" s="646" t="s">
        <v>303</v>
      </c>
      <c r="C47" s="646"/>
      <c r="D47" s="646"/>
      <c r="E47" s="646"/>
      <c r="F47" s="646"/>
      <c r="G47" s="646"/>
      <c r="H47" s="646"/>
      <c r="I47" s="646"/>
    </row>
    <row r="48" spans="1:21" ht="18.600000000000001" customHeight="1" x14ac:dyDescent="0.3">
      <c r="B48" s="27" t="s">
        <v>304</v>
      </c>
      <c r="G48" s="304"/>
      <c r="H48" s="304"/>
      <c r="I48" s="304"/>
    </row>
    <row r="49" spans="1:21" ht="19.149999999999999" customHeight="1" x14ac:dyDescent="0.3">
      <c r="B49" s="27" t="s">
        <v>305</v>
      </c>
      <c r="G49" s="304"/>
      <c r="H49" s="304"/>
      <c r="I49" s="304"/>
    </row>
    <row r="50" spans="1:21" ht="25.5" customHeight="1" x14ac:dyDescent="0.3">
      <c r="B50" s="27" t="s">
        <v>306</v>
      </c>
      <c r="G50" s="304"/>
      <c r="H50" s="304"/>
      <c r="I50" s="304"/>
    </row>
    <row r="51" spans="1:21" ht="31.5" customHeight="1" x14ac:dyDescent="0.3">
      <c r="B51" s="646" t="s">
        <v>307</v>
      </c>
      <c r="C51" s="646"/>
      <c r="D51" s="646"/>
      <c r="E51" s="646"/>
      <c r="F51" s="646"/>
      <c r="G51" s="646"/>
      <c r="H51" s="646"/>
      <c r="I51" s="646"/>
    </row>
    <row r="52" spans="1:21" x14ac:dyDescent="0.3">
      <c r="B52" s="27" t="s">
        <v>308</v>
      </c>
      <c r="C52" s="304"/>
      <c r="D52" s="267"/>
      <c r="E52" s="304"/>
      <c r="F52" s="304"/>
      <c r="G52" s="304"/>
      <c r="H52" s="304"/>
      <c r="I52" s="268"/>
    </row>
    <row r="53" spans="1:21" x14ac:dyDescent="0.3">
      <c r="C53" s="302"/>
      <c r="D53" s="302"/>
      <c r="E53" s="302"/>
      <c r="F53" s="302"/>
      <c r="G53" s="302"/>
      <c r="H53" s="302"/>
      <c r="I53" s="268"/>
    </row>
    <row r="54" spans="1:21" x14ac:dyDescent="0.3">
      <c r="B54" s="645" t="str">
        <f>+B1</f>
        <v>Dayton Power and Light</v>
      </c>
      <c r="C54" s="647"/>
      <c r="D54" s="647"/>
      <c r="E54" s="647"/>
      <c r="F54" s="647"/>
      <c r="G54" s="647"/>
      <c r="H54" s="647"/>
      <c r="I54" s="647"/>
    </row>
    <row r="55" spans="1:21" x14ac:dyDescent="0.3">
      <c r="B55" s="645" t="str">
        <f>+B2</f>
        <v xml:space="preserve">ATTACHMENT H-15A </v>
      </c>
      <c r="C55" s="645"/>
      <c r="D55" s="645"/>
      <c r="E55" s="645"/>
      <c r="F55" s="645"/>
      <c r="G55" s="645"/>
      <c r="H55" s="645"/>
      <c r="I55" s="645"/>
    </row>
    <row r="56" spans="1:21" x14ac:dyDescent="0.3">
      <c r="B56" s="645" t="str">
        <f>+B3</f>
        <v>Attachment 1A - Accumulated Deferred Income Taxes (ADIT) Worksheet - Projected December 31, 2025</v>
      </c>
      <c r="C56" s="645"/>
      <c r="D56" s="645"/>
      <c r="E56" s="645"/>
      <c r="F56" s="645"/>
      <c r="G56" s="645"/>
      <c r="H56" s="645"/>
      <c r="I56" s="645"/>
    </row>
    <row r="57" spans="1:21" x14ac:dyDescent="0.3">
      <c r="B57" s="300"/>
      <c r="I57" s="299"/>
    </row>
    <row r="58" spans="1:21" x14ac:dyDescent="0.3">
      <c r="B58" s="302" t="s">
        <v>209</v>
      </c>
      <c r="C58" s="302" t="s">
        <v>211</v>
      </c>
      <c r="D58" s="302" t="s">
        <v>213</v>
      </c>
      <c r="E58" s="302" t="s">
        <v>215</v>
      </c>
      <c r="F58" s="302" t="s">
        <v>217</v>
      </c>
      <c r="G58" s="302" t="s">
        <v>219</v>
      </c>
      <c r="H58" s="302"/>
      <c r="I58" s="366"/>
    </row>
    <row r="59" spans="1:21" x14ac:dyDescent="0.3">
      <c r="B59" s="266"/>
      <c r="C59" s="300" t="s">
        <v>309</v>
      </c>
      <c r="D59" s="300"/>
      <c r="E59" s="300"/>
      <c r="F59" s="300"/>
      <c r="G59" s="300"/>
      <c r="H59" s="300"/>
      <c r="I59" s="366"/>
    </row>
    <row r="60" spans="1:21" x14ac:dyDescent="0.3">
      <c r="B60" s="292" t="s">
        <v>310</v>
      </c>
      <c r="C60" s="300"/>
      <c r="D60" s="300"/>
      <c r="E60" s="300" t="s">
        <v>58</v>
      </c>
      <c r="F60" s="300" t="s">
        <v>259</v>
      </c>
      <c r="G60" s="300" t="s">
        <v>260</v>
      </c>
      <c r="H60" s="300"/>
      <c r="I60" s="302" t="s">
        <v>221</v>
      </c>
    </row>
    <row r="61" spans="1:21" ht="21" thickBot="1" x14ac:dyDescent="0.35">
      <c r="C61" s="300"/>
      <c r="D61" s="300" t="str">
        <f>+D30</f>
        <v>Excluded</v>
      </c>
      <c r="E61" s="300" t="s">
        <v>261</v>
      </c>
      <c r="F61" s="300" t="s">
        <v>261</v>
      </c>
      <c r="G61" s="300" t="s">
        <v>261</v>
      </c>
      <c r="H61" s="300"/>
      <c r="I61" s="300" t="s">
        <v>276</v>
      </c>
    </row>
    <row r="62" spans="1:21" ht="47.25" customHeight="1" x14ac:dyDescent="0.3">
      <c r="A62" s="266">
        <f>+A45+1</f>
        <v>27</v>
      </c>
      <c r="B62" s="265" t="s">
        <v>311</v>
      </c>
      <c r="C62" s="289">
        <f>+SUM(D62:G62)</f>
        <v>0</v>
      </c>
      <c r="D62" s="289">
        <v>0</v>
      </c>
      <c r="E62" s="289"/>
      <c r="F62" s="289">
        <v>0</v>
      </c>
      <c r="G62" s="289">
        <v>0</v>
      </c>
      <c r="H62" s="264"/>
      <c r="I62" s="548" t="s">
        <v>312</v>
      </c>
      <c r="Q62" s="263"/>
      <c r="R62" s="263"/>
      <c r="S62" s="263"/>
      <c r="T62" s="263"/>
      <c r="U62" s="263"/>
    </row>
    <row r="63" spans="1:21" ht="46.5" customHeight="1" x14ac:dyDescent="0.3">
      <c r="A63" s="266">
        <f>+A62+1</f>
        <v>28</v>
      </c>
      <c r="B63" s="286" t="s">
        <v>313</v>
      </c>
      <c r="C63" s="285">
        <f>+SUM(D63:G63)</f>
        <v>-12417109.954839645</v>
      </c>
      <c r="D63" s="523">
        <v>1447712.77</v>
      </c>
      <c r="E63" s="523">
        <v>-7035858.9648396447</v>
      </c>
      <c r="F63" s="523">
        <v>0</v>
      </c>
      <c r="G63" s="523">
        <v>-6828963.7599999998</v>
      </c>
      <c r="H63" s="284"/>
      <c r="I63" s="540" t="s">
        <v>314</v>
      </c>
      <c r="Q63" s="263"/>
      <c r="R63" s="263"/>
      <c r="S63" s="263"/>
      <c r="T63" s="263"/>
      <c r="U63" s="263"/>
    </row>
    <row r="64" spans="1:21" ht="35.1" customHeight="1" thickBot="1" x14ac:dyDescent="0.35">
      <c r="A64" s="266">
        <f>+A63+1</f>
        <v>29</v>
      </c>
      <c r="B64" s="273" t="s">
        <v>69</v>
      </c>
      <c r="C64" s="272">
        <f>+SUM(C62:C63)</f>
        <v>-12417109.954839645</v>
      </c>
      <c r="D64" s="272">
        <f t="shared" ref="D64:G64" si="9">+SUM(D62:D63)</f>
        <v>1447712.77</v>
      </c>
      <c r="E64" s="272">
        <f t="shared" si="9"/>
        <v>-7035858.9648396447</v>
      </c>
      <c r="F64" s="272">
        <f t="shared" si="9"/>
        <v>0</v>
      </c>
      <c r="G64" s="272">
        <f t="shared" si="9"/>
        <v>-6828963.7599999998</v>
      </c>
      <c r="H64" s="272"/>
      <c r="I64" s="271"/>
      <c r="Q64" s="263"/>
      <c r="R64" s="263"/>
      <c r="S64" s="263"/>
      <c r="T64" s="263"/>
      <c r="U64" s="263"/>
    </row>
    <row r="65" spans="2:9" ht="25.15" customHeight="1" x14ac:dyDescent="0.3">
      <c r="B65" s="266" t="s">
        <v>315</v>
      </c>
      <c r="E65" s="304"/>
      <c r="F65" s="270"/>
      <c r="I65" s="268"/>
    </row>
    <row r="66" spans="2:9" ht="21" customHeight="1" x14ac:dyDescent="0.3">
      <c r="B66" s="27" t="s">
        <v>316</v>
      </c>
      <c r="G66" s="304"/>
      <c r="H66" s="304"/>
      <c r="I66" s="304"/>
    </row>
    <row r="67" spans="2:9" ht="15" customHeight="1" x14ac:dyDescent="0.3">
      <c r="B67" s="27" t="s">
        <v>304</v>
      </c>
      <c r="G67" s="304"/>
      <c r="H67" s="304"/>
      <c r="I67" s="304"/>
    </row>
    <row r="68" spans="2:9" ht="19.149999999999999" customHeight="1" x14ac:dyDescent="0.3">
      <c r="B68" s="27" t="s">
        <v>317</v>
      </c>
      <c r="G68" s="304"/>
      <c r="H68" s="304"/>
      <c r="I68" s="304"/>
    </row>
    <row r="69" spans="2:9" ht="18.600000000000001" customHeight="1" x14ac:dyDescent="0.3">
      <c r="B69" s="27" t="s">
        <v>318</v>
      </c>
      <c r="G69" s="304"/>
      <c r="H69" s="304"/>
      <c r="I69" s="304"/>
    </row>
    <row r="70" spans="2:9" ht="18.600000000000001" customHeight="1" x14ac:dyDescent="0.3">
      <c r="B70" s="646" t="s">
        <v>307</v>
      </c>
      <c r="C70" s="646"/>
      <c r="D70" s="646"/>
      <c r="E70" s="646"/>
      <c r="F70" s="646"/>
      <c r="G70" s="646"/>
      <c r="H70" s="646"/>
      <c r="I70" s="646"/>
    </row>
    <row r="71" spans="2:9" x14ac:dyDescent="0.3">
      <c r="B71" s="27" t="s">
        <v>308</v>
      </c>
      <c r="C71" s="304"/>
      <c r="D71" s="267"/>
      <c r="E71" s="304"/>
      <c r="F71" s="304"/>
      <c r="G71" s="304"/>
      <c r="H71" s="304"/>
      <c r="I71" s="268"/>
    </row>
    <row r="72" spans="2:9" x14ac:dyDescent="0.3">
      <c r="F72" s="304"/>
      <c r="G72" s="304"/>
      <c r="H72" s="304"/>
      <c r="I72" s="268"/>
    </row>
    <row r="73" spans="2:9" x14ac:dyDescent="0.3">
      <c r="F73" s="304"/>
      <c r="G73" s="304"/>
      <c r="H73" s="304"/>
      <c r="I73" s="268"/>
    </row>
    <row r="74" spans="2:9" x14ac:dyDescent="0.3">
      <c r="B74" s="302"/>
    </row>
    <row r="75" spans="2:9" x14ac:dyDescent="0.3">
      <c r="B75" s="261" t="str">
        <f>B1</f>
        <v>Dayton Power and Light</v>
      </c>
      <c r="C75" s="260"/>
      <c r="D75" s="260"/>
      <c r="E75" s="260"/>
      <c r="F75" s="260"/>
      <c r="G75" s="260"/>
      <c r="H75" s="260"/>
      <c r="I75" s="260"/>
    </row>
    <row r="76" spans="2:9" x14ac:dyDescent="0.3">
      <c r="B76" s="645" t="str">
        <f>+B55</f>
        <v xml:space="preserve">ATTACHMENT H-15A </v>
      </c>
      <c r="C76" s="645"/>
      <c r="D76" s="645"/>
      <c r="E76" s="645"/>
      <c r="F76" s="645"/>
      <c r="G76" s="645"/>
      <c r="H76" s="645"/>
      <c r="I76" s="645"/>
    </row>
    <row r="77" spans="2:9" x14ac:dyDescent="0.3">
      <c r="B77" s="645" t="str">
        <f>+B3</f>
        <v>Attachment 1A - Accumulated Deferred Income Taxes (ADIT) Worksheet - Projected December 31, 2025</v>
      </c>
      <c r="C77" s="645"/>
      <c r="D77" s="645"/>
      <c r="E77" s="645"/>
      <c r="F77" s="645"/>
      <c r="G77" s="645"/>
      <c r="H77" s="645"/>
      <c r="I77" s="645"/>
    </row>
    <row r="78" spans="2:9" x14ac:dyDescent="0.3">
      <c r="G78" s="292"/>
      <c r="H78" s="292"/>
      <c r="I78" s="268"/>
    </row>
    <row r="79" spans="2:9" x14ac:dyDescent="0.3">
      <c r="B79" s="302" t="s">
        <v>209</v>
      </c>
      <c r="C79" s="302" t="s">
        <v>211</v>
      </c>
      <c r="D79" s="302" t="s">
        <v>213</v>
      </c>
      <c r="E79" s="302" t="s">
        <v>215</v>
      </c>
      <c r="F79" s="302" t="s">
        <v>217</v>
      </c>
      <c r="G79" s="302" t="s">
        <v>219</v>
      </c>
      <c r="H79" s="302"/>
      <c r="I79" s="302" t="s">
        <v>221</v>
      </c>
    </row>
    <row r="80" spans="2:9" x14ac:dyDescent="0.3">
      <c r="B80" s="292" t="s">
        <v>319</v>
      </c>
      <c r="C80" s="302" t="s">
        <v>69</v>
      </c>
      <c r="D80" s="259"/>
      <c r="E80" s="302" t="s">
        <v>58</v>
      </c>
      <c r="F80" s="259" t="s">
        <v>259</v>
      </c>
      <c r="G80" s="259" t="s">
        <v>260</v>
      </c>
      <c r="H80" s="302"/>
    </row>
    <row r="81" spans="1:21" ht="16.149999999999999" customHeight="1" thickBot="1" x14ac:dyDescent="0.35">
      <c r="C81" s="302"/>
      <c r="D81" s="302" t="str">
        <f>+D61</f>
        <v>Excluded</v>
      </c>
      <c r="E81" s="302" t="s">
        <v>261</v>
      </c>
      <c r="F81" s="302"/>
      <c r="G81" s="302"/>
      <c r="H81" s="302"/>
      <c r="I81" s="300" t="s">
        <v>276</v>
      </c>
    </row>
    <row r="82" spans="1:21" ht="25.15" customHeight="1" x14ac:dyDescent="0.3">
      <c r="A82" s="304">
        <f>+A64+1</f>
        <v>30</v>
      </c>
      <c r="B82" s="542" t="s">
        <v>320</v>
      </c>
      <c r="C82" s="518"/>
      <c r="D82" s="518"/>
      <c r="E82" s="518"/>
      <c r="F82" s="518"/>
      <c r="G82" s="518"/>
      <c r="H82" s="518"/>
      <c r="I82" s="543" t="s">
        <v>321</v>
      </c>
      <c r="Q82" s="263"/>
      <c r="R82" s="263"/>
      <c r="S82" s="263"/>
      <c r="T82" s="263"/>
      <c r="U82" s="263"/>
    </row>
    <row r="83" spans="1:21" ht="44.25" customHeight="1" x14ac:dyDescent="0.3">
      <c r="A83" s="304">
        <f>+A82+1</f>
        <v>31</v>
      </c>
      <c r="B83" s="544" t="s">
        <v>322</v>
      </c>
      <c r="C83" s="523">
        <f>+SUM(D83:G83)</f>
        <v>-143045.45000000001</v>
      </c>
      <c r="D83" s="523">
        <v>-143045.45000000001</v>
      </c>
      <c r="E83" s="523">
        <v>0</v>
      </c>
      <c r="F83" s="523">
        <v>0</v>
      </c>
      <c r="G83" s="523">
        <v>0</v>
      </c>
      <c r="H83" s="523"/>
      <c r="I83" s="545" t="s">
        <v>323</v>
      </c>
      <c r="Q83" s="263"/>
      <c r="R83" s="263"/>
      <c r="S83" s="263"/>
      <c r="T83" s="263"/>
      <c r="U83" s="263"/>
    </row>
    <row r="84" spans="1:21" ht="57" customHeight="1" x14ac:dyDescent="0.3">
      <c r="A84" s="304">
        <f t="shared" ref="A84:A92" si="10">+A83+1</f>
        <v>32</v>
      </c>
      <c r="B84" s="544" t="s">
        <v>324</v>
      </c>
      <c r="C84" s="523">
        <f>+SUM(D84:G84)</f>
        <v>-17850534.510000002</v>
      </c>
      <c r="D84" s="523">
        <v>-17850534.510000002</v>
      </c>
      <c r="E84" s="523">
        <v>0</v>
      </c>
      <c r="F84" s="523">
        <v>0</v>
      </c>
      <c r="G84" s="523">
        <v>0</v>
      </c>
      <c r="H84" s="523"/>
      <c r="I84" s="545" t="s">
        <v>325</v>
      </c>
      <c r="Q84" s="263"/>
      <c r="R84" s="263"/>
      <c r="S84" s="263"/>
      <c r="T84" s="263"/>
      <c r="U84" s="263"/>
    </row>
    <row r="85" spans="1:21" ht="68.25" customHeight="1" x14ac:dyDescent="0.3">
      <c r="A85" s="304">
        <f t="shared" si="10"/>
        <v>33</v>
      </c>
      <c r="B85" s="544" t="s">
        <v>326</v>
      </c>
      <c r="C85" s="523">
        <f>+SUM(D85:G85)</f>
        <v>-39291403.299999997</v>
      </c>
      <c r="D85" s="523">
        <v>-39291403.299999997</v>
      </c>
      <c r="E85" s="523">
        <v>0</v>
      </c>
      <c r="F85" s="523">
        <v>0</v>
      </c>
      <c r="G85" s="523">
        <v>0</v>
      </c>
      <c r="H85" s="523"/>
      <c r="I85" s="545" t="s">
        <v>327</v>
      </c>
      <c r="Q85" s="263"/>
      <c r="R85" s="263"/>
      <c r="S85" s="263"/>
      <c r="T85" s="263"/>
      <c r="U85" s="263"/>
    </row>
    <row r="86" spans="1:21" ht="25.15" customHeight="1" x14ac:dyDescent="0.3">
      <c r="A86" s="304">
        <f t="shared" si="10"/>
        <v>34</v>
      </c>
      <c r="B86" s="544" t="s">
        <v>328</v>
      </c>
      <c r="C86" s="523">
        <f>+SUM(D86:G86)</f>
        <v>9426914.7199999988</v>
      </c>
      <c r="D86" s="523">
        <v>0</v>
      </c>
      <c r="E86" s="523">
        <v>0</v>
      </c>
      <c r="F86" s="523">
        <v>9426914.7199999988</v>
      </c>
      <c r="G86" s="523">
        <v>0</v>
      </c>
      <c r="H86" s="523"/>
      <c r="I86" s="546" t="s">
        <v>283</v>
      </c>
      <c r="Q86" s="263"/>
      <c r="R86" s="263"/>
      <c r="S86" s="263"/>
      <c r="T86" s="263"/>
      <c r="U86" s="263"/>
    </row>
    <row r="87" spans="1:21" ht="25.15" customHeight="1" x14ac:dyDescent="0.3">
      <c r="A87" s="304">
        <f t="shared" si="10"/>
        <v>35</v>
      </c>
      <c r="B87" s="544" t="s">
        <v>329</v>
      </c>
      <c r="C87" s="523">
        <f>+SUM(D87:G87)</f>
        <v>0</v>
      </c>
      <c r="D87" s="523">
        <v>0</v>
      </c>
      <c r="E87" s="523">
        <v>0</v>
      </c>
      <c r="F87" s="523">
        <v>0</v>
      </c>
      <c r="G87" s="523">
        <v>0</v>
      </c>
      <c r="H87" s="523"/>
      <c r="I87" s="546" t="s">
        <v>330</v>
      </c>
      <c r="Q87" s="263"/>
      <c r="R87" s="263"/>
      <c r="S87" s="263"/>
      <c r="T87" s="263"/>
      <c r="U87" s="263"/>
    </row>
    <row r="88" spans="1:21" ht="35.25" customHeight="1" x14ac:dyDescent="0.3">
      <c r="A88" s="304">
        <f>+A87+1</f>
        <v>36</v>
      </c>
      <c r="B88" s="544" t="s">
        <v>331</v>
      </c>
      <c r="C88" s="523">
        <f>+C89-SUM(C82:C87)</f>
        <v>8837457.6600000039</v>
      </c>
      <c r="D88" s="523">
        <f>+C88</f>
        <v>8837457.6600000039</v>
      </c>
      <c r="E88" s="523">
        <v>0</v>
      </c>
      <c r="F88" s="523">
        <v>0</v>
      </c>
      <c r="G88" s="523">
        <v>0</v>
      </c>
      <c r="H88" s="523"/>
      <c r="I88" s="546" t="s">
        <v>332</v>
      </c>
      <c r="Q88" s="263"/>
      <c r="R88" s="263"/>
      <c r="S88" s="263"/>
      <c r="T88" s="263"/>
      <c r="U88" s="263"/>
    </row>
    <row r="89" spans="1:21" ht="25.15" customHeight="1" x14ac:dyDescent="0.3">
      <c r="A89" s="304">
        <f t="shared" si="10"/>
        <v>37</v>
      </c>
      <c r="B89" s="278" t="s">
        <v>333</v>
      </c>
      <c r="C89" s="541">
        <v>-39020610.879999995</v>
      </c>
      <c r="D89" s="541">
        <f>SUM(D80:D88)</f>
        <v>-48447525.599999994</v>
      </c>
      <c r="E89" s="541">
        <f>SUM(E80:E88)</f>
        <v>0</v>
      </c>
      <c r="F89" s="541">
        <f>SUM(F80:F88)</f>
        <v>9426914.7199999988</v>
      </c>
      <c r="G89" s="541">
        <f t="shared" ref="G89" si="11">SUM(G80:G88)</f>
        <v>0</v>
      </c>
      <c r="H89" s="541"/>
      <c r="I89" s="274"/>
      <c r="Q89" s="263"/>
      <c r="R89" s="263"/>
      <c r="S89" s="263"/>
      <c r="T89" s="263"/>
      <c r="U89" s="263"/>
    </row>
    <row r="90" spans="1:21" ht="25.15" customHeight="1" x14ac:dyDescent="0.3">
      <c r="A90" s="304">
        <f t="shared" si="10"/>
        <v>38</v>
      </c>
      <c r="B90" s="278" t="s">
        <v>334</v>
      </c>
      <c r="C90" s="277">
        <f t="shared" ref="C90:G90" si="12">+C86</f>
        <v>9426914.7199999988</v>
      </c>
      <c r="D90" s="277">
        <f t="shared" si="12"/>
        <v>0</v>
      </c>
      <c r="E90" s="277">
        <f t="shared" si="12"/>
        <v>0</v>
      </c>
      <c r="F90" s="277">
        <f t="shared" si="12"/>
        <v>9426914.7199999988</v>
      </c>
      <c r="G90" s="277">
        <f t="shared" si="12"/>
        <v>0</v>
      </c>
      <c r="H90" s="277"/>
      <c r="I90" s="274"/>
      <c r="Q90" s="263"/>
      <c r="R90" s="263"/>
      <c r="S90" s="263"/>
      <c r="T90" s="263"/>
      <c r="U90" s="263"/>
    </row>
    <row r="91" spans="1:21" ht="25.15" customHeight="1" x14ac:dyDescent="0.3">
      <c r="A91" s="304">
        <f t="shared" si="10"/>
        <v>39</v>
      </c>
      <c r="B91" s="278" t="s">
        <v>335</v>
      </c>
      <c r="C91" s="277">
        <f t="shared" ref="C91:G91" si="13">+C83</f>
        <v>-143045.45000000001</v>
      </c>
      <c r="D91" s="277">
        <f t="shared" si="13"/>
        <v>-143045.45000000001</v>
      </c>
      <c r="E91" s="277">
        <f t="shared" si="13"/>
        <v>0</v>
      </c>
      <c r="F91" s="277">
        <f t="shared" si="13"/>
        <v>0</v>
      </c>
      <c r="G91" s="277">
        <f t="shared" si="13"/>
        <v>0</v>
      </c>
      <c r="H91" s="277"/>
      <c r="I91" s="274" t="s">
        <v>336</v>
      </c>
      <c r="Q91" s="263"/>
      <c r="R91" s="263"/>
      <c r="S91" s="263"/>
      <c r="T91" s="263"/>
      <c r="U91" s="263"/>
    </row>
    <row r="92" spans="1:21" ht="35.1" customHeight="1" thickBot="1" x14ac:dyDescent="0.35">
      <c r="A92" s="304">
        <f t="shared" si="10"/>
        <v>40</v>
      </c>
      <c r="B92" s="547" t="s">
        <v>69</v>
      </c>
      <c r="C92" s="272">
        <f>+C89-C90-C91</f>
        <v>-48304480.149999991</v>
      </c>
      <c r="D92" s="272">
        <f t="shared" ref="D92:G92" si="14">+D89-D90-D91</f>
        <v>-48304480.149999991</v>
      </c>
      <c r="E92" s="272">
        <f t="shared" si="14"/>
        <v>0</v>
      </c>
      <c r="F92" s="272">
        <f t="shared" si="14"/>
        <v>0</v>
      </c>
      <c r="G92" s="272">
        <f t="shared" si="14"/>
        <v>0</v>
      </c>
      <c r="H92" s="272"/>
      <c r="I92" s="271"/>
      <c r="Q92" s="263"/>
      <c r="R92" s="263"/>
      <c r="S92" s="263"/>
      <c r="T92" s="263"/>
      <c r="U92" s="263"/>
    </row>
    <row r="93" spans="1:21" x14ac:dyDescent="0.3">
      <c r="C93" s="297"/>
      <c r="D93" s="297"/>
      <c r="E93" s="297"/>
      <c r="F93" s="297"/>
      <c r="G93" s="297"/>
      <c r="H93" s="297"/>
      <c r="I93" s="268"/>
      <c r="Q93" s="263"/>
      <c r="R93" s="263"/>
      <c r="S93" s="263"/>
      <c r="T93" s="263"/>
      <c r="U93" s="263"/>
    </row>
    <row r="94" spans="1:21" ht="20.45" customHeight="1" x14ac:dyDescent="0.3">
      <c r="B94" s="266" t="s">
        <v>337</v>
      </c>
      <c r="E94" s="304"/>
      <c r="F94" s="304"/>
      <c r="I94" s="250"/>
    </row>
    <row r="95" spans="1:21" ht="21" customHeight="1" x14ac:dyDescent="0.3">
      <c r="B95" s="27" t="str">
        <f>+B66</f>
        <v>1.  ADIT items related only to Non-Electric Operations or Production are directly assigned to Column C</v>
      </c>
      <c r="G95" s="304"/>
      <c r="H95" s="304"/>
      <c r="I95" s="304"/>
    </row>
    <row r="96" spans="1:21" ht="19.149999999999999" customHeight="1" x14ac:dyDescent="0.3">
      <c r="B96" s="27" t="s">
        <v>304</v>
      </c>
      <c r="G96" s="304"/>
      <c r="H96" s="304"/>
      <c r="I96" s="304"/>
    </row>
    <row r="97" spans="2:9" ht="17.45" customHeight="1" x14ac:dyDescent="0.3">
      <c r="B97" s="27" t="s">
        <v>317</v>
      </c>
      <c r="G97" s="304"/>
      <c r="H97" s="304"/>
      <c r="I97" s="304"/>
    </row>
    <row r="98" spans="2:9" ht="19.149999999999999" customHeight="1" x14ac:dyDescent="0.3">
      <c r="B98" s="27" t="s">
        <v>318</v>
      </c>
      <c r="G98" s="304"/>
      <c r="H98" s="304"/>
      <c r="I98" s="304"/>
    </row>
    <row r="99" spans="2:9" ht="19.149999999999999" customHeight="1" x14ac:dyDescent="0.3">
      <c r="B99" s="646" t="s">
        <v>307</v>
      </c>
      <c r="C99" s="646"/>
      <c r="D99" s="646"/>
      <c r="E99" s="646"/>
      <c r="F99" s="646"/>
      <c r="G99" s="646"/>
      <c r="H99" s="646"/>
      <c r="I99" s="646"/>
    </row>
    <row r="100" spans="2:9" x14ac:dyDescent="0.3">
      <c r="B100" s="27" t="s">
        <v>308</v>
      </c>
      <c r="C100" s="304"/>
      <c r="D100" s="267"/>
      <c r="E100" s="304"/>
      <c r="F100" s="304"/>
      <c r="G100" s="304"/>
      <c r="H100" s="304"/>
      <c r="I100" s="268"/>
    </row>
    <row r="101" spans="2:9" x14ac:dyDescent="0.3">
      <c r="C101" s="260"/>
      <c r="D101" s="260"/>
      <c r="E101" s="260"/>
      <c r="F101" s="260"/>
      <c r="G101" s="260"/>
      <c r="H101" s="260"/>
      <c r="I101" s="260"/>
    </row>
    <row r="102" spans="2:9" x14ac:dyDescent="0.3">
      <c r="B102" s="645"/>
      <c r="C102" s="645"/>
      <c r="D102" s="645"/>
      <c r="E102" s="645"/>
      <c r="F102" s="645"/>
      <c r="G102" s="645"/>
      <c r="H102" s="645"/>
      <c r="I102" s="645"/>
    </row>
    <row r="103" spans="2:9" x14ac:dyDescent="0.3">
      <c r="B103" s="266"/>
    </row>
    <row r="104" spans="2:9" x14ac:dyDescent="0.3">
      <c r="B104" s="266"/>
    </row>
    <row r="105" spans="2:9" x14ac:dyDescent="0.3">
      <c r="B105" s="266"/>
    </row>
    <row r="106" spans="2:9" x14ac:dyDescent="0.3">
      <c r="B106" s="198"/>
      <c r="D106" s="249"/>
      <c r="E106" s="249"/>
      <c r="F106" s="249"/>
      <c r="G106" s="249"/>
      <c r="H106" s="249"/>
      <c r="I106" s="249"/>
    </row>
    <row r="107" spans="2:9" x14ac:dyDescent="0.3">
      <c r="B107" s="198"/>
      <c r="D107" s="249"/>
      <c r="E107" s="249"/>
      <c r="F107" s="249"/>
      <c r="G107" s="249"/>
      <c r="H107" s="249"/>
      <c r="I107" s="249"/>
    </row>
    <row r="108" spans="2:9" x14ac:dyDescent="0.3">
      <c r="D108" s="304"/>
      <c r="E108" s="304"/>
    </row>
    <row r="109" spans="2:9" x14ac:dyDescent="0.3">
      <c r="D109" s="263"/>
      <c r="E109" s="263"/>
    </row>
    <row r="110" spans="2:9" x14ac:dyDescent="0.3">
      <c r="D110" s="263"/>
      <c r="E110" s="263"/>
    </row>
    <row r="111" spans="2:9" x14ac:dyDescent="0.3">
      <c r="D111" s="263"/>
      <c r="E111" s="263"/>
    </row>
    <row r="112" spans="2:9" x14ac:dyDescent="0.3">
      <c r="D112" s="263"/>
      <c r="E112" s="263"/>
    </row>
    <row r="113" spans="2:5" x14ac:dyDescent="0.3">
      <c r="D113" s="263"/>
      <c r="E113" s="263"/>
    </row>
    <row r="114" spans="2:5" x14ac:dyDescent="0.3">
      <c r="D114" s="263"/>
      <c r="E114" s="263"/>
    </row>
    <row r="115" spans="2:5" x14ac:dyDescent="0.3">
      <c r="D115" s="263"/>
      <c r="E115" s="263"/>
    </row>
    <row r="116" spans="2:5" x14ac:dyDescent="0.3">
      <c r="D116" s="263"/>
      <c r="E116" s="263"/>
    </row>
    <row r="117" spans="2:5" x14ac:dyDescent="0.3">
      <c r="D117" s="263"/>
      <c r="E117" s="263"/>
    </row>
    <row r="118" spans="2:5" x14ac:dyDescent="0.3">
      <c r="D118" s="263"/>
      <c r="E118" s="263"/>
    </row>
    <row r="119" spans="2:5" x14ac:dyDescent="0.3">
      <c r="B119" s="266"/>
      <c r="D119" s="263"/>
      <c r="E119" s="263"/>
    </row>
    <row r="120" spans="2:5" x14ac:dyDescent="0.3">
      <c r="D120" s="263"/>
      <c r="E120" s="263"/>
    </row>
    <row r="121" spans="2:5" x14ac:dyDescent="0.3">
      <c r="B121" s="266"/>
      <c r="D121" s="263"/>
      <c r="E121" s="263"/>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I1"/>
    <mergeCell ref="B3:I3"/>
    <mergeCell ref="B2:I2"/>
    <mergeCell ref="B56:I56"/>
    <mergeCell ref="B76:I76"/>
    <mergeCell ref="B102:I102"/>
    <mergeCell ref="B47:I47"/>
    <mergeCell ref="B51:I51"/>
    <mergeCell ref="B77:I77"/>
    <mergeCell ref="B54:I54"/>
    <mergeCell ref="B55:I55"/>
    <mergeCell ref="B70:I70"/>
    <mergeCell ref="B99:I99"/>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tabColor theme="0" tint="-4.9989318521683403E-2"/>
    <pageSetUpPr fitToPage="1"/>
  </sheetPr>
  <dimension ref="A1:S31"/>
  <sheetViews>
    <sheetView topLeftCell="A7" zoomScale="70" zoomScaleNormal="70" workbookViewId="0">
      <selection activeCell="P11" sqref="P11"/>
    </sheetView>
  </sheetViews>
  <sheetFormatPr defaultColWidth="9.140625" defaultRowHeight="20.25" x14ac:dyDescent="0.3"/>
  <cols>
    <col min="1" max="1" width="4.5703125" style="266" customWidth="1"/>
    <col min="2" max="2" width="37.85546875" style="266" customWidth="1"/>
    <col min="3" max="3" width="12.28515625" style="266" bestFit="1" customWidth="1"/>
    <col min="4" max="4" width="12.140625" style="266" customWidth="1"/>
    <col min="5" max="5" width="17.42578125" style="266" customWidth="1"/>
    <col min="6" max="6" width="12.140625" style="266" customWidth="1"/>
    <col min="7" max="7" width="13.5703125" style="266" bestFit="1" customWidth="1"/>
    <col min="8" max="8" width="18.28515625" style="266" customWidth="1"/>
    <col min="9" max="10" width="18" style="266" bestFit="1" customWidth="1"/>
    <col min="11" max="13" width="14.7109375" style="266" customWidth="1"/>
    <col min="14" max="14" width="19.42578125" style="266" customWidth="1"/>
    <col min="15" max="15" width="18" style="266" bestFit="1" customWidth="1"/>
    <col min="16" max="16" width="11.28515625" style="266" customWidth="1"/>
    <col min="17" max="18" width="16.140625" style="266" bestFit="1" customWidth="1"/>
    <col min="19" max="19" width="20" style="266" bestFit="1" customWidth="1"/>
    <col min="20" max="16384" width="9.140625" style="266"/>
  </cols>
  <sheetData>
    <row r="1" spans="1:19" x14ac:dyDescent="0.3">
      <c r="H1" s="302" t="s">
        <v>0</v>
      </c>
      <c r="S1" s="299"/>
    </row>
    <row r="2" spans="1:19" x14ac:dyDescent="0.3">
      <c r="H2" s="302" t="s">
        <v>338</v>
      </c>
    </row>
    <row r="3" spans="1:19" x14ac:dyDescent="0.3">
      <c r="B3" s="304"/>
      <c r="C3" s="302"/>
      <c r="D3" s="301"/>
      <c r="E3" s="301"/>
      <c r="F3" s="301"/>
      <c r="G3" s="301"/>
      <c r="H3" s="301" t="s">
        <v>339</v>
      </c>
      <c r="I3" s="248"/>
      <c r="J3" s="301"/>
      <c r="K3" s="301"/>
      <c r="L3" s="301"/>
      <c r="M3" s="302"/>
      <c r="N3" s="302"/>
      <c r="O3" s="302"/>
      <c r="P3" s="302"/>
      <c r="Q3" s="302"/>
      <c r="R3" s="302"/>
    </row>
    <row r="4" spans="1:19" x14ac:dyDescent="0.3">
      <c r="B4" s="27" t="s">
        <v>340</v>
      </c>
      <c r="C4" s="302"/>
      <c r="D4" s="302"/>
      <c r="E4" s="302"/>
      <c r="F4" s="302"/>
      <c r="G4" s="302"/>
      <c r="H4" s="302"/>
      <c r="I4" s="304"/>
      <c r="J4" s="302"/>
      <c r="K4" s="302"/>
      <c r="L4" s="302"/>
      <c r="M4" s="302"/>
      <c r="N4" s="302"/>
      <c r="O4" s="302"/>
      <c r="P4" s="302"/>
      <c r="Q4" s="302"/>
      <c r="R4" s="302"/>
    </row>
    <row r="5" spans="1:19" x14ac:dyDescent="0.3">
      <c r="B5" s="266" t="s">
        <v>341</v>
      </c>
      <c r="C5" s="302"/>
      <c r="D5" s="302"/>
      <c r="E5" s="302"/>
      <c r="F5" s="302"/>
      <c r="G5" s="302"/>
      <c r="H5" s="302"/>
      <c r="I5" s="304"/>
      <c r="J5" s="302"/>
      <c r="K5" s="302"/>
      <c r="L5" s="302"/>
      <c r="M5" s="302"/>
      <c r="N5" s="302"/>
      <c r="O5" s="302"/>
      <c r="P5" s="302"/>
      <c r="Q5" s="302"/>
      <c r="R5" s="302"/>
    </row>
    <row r="6" spans="1:19" x14ac:dyDescent="0.3">
      <c r="B6" s="247" t="s">
        <v>342</v>
      </c>
    </row>
    <row r="7" spans="1:19" x14ac:dyDescent="0.3">
      <c r="B7" s="27" t="s">
        <v>343</v>
      </c>
    </row>
    <row r="8" spans="1:19" x14ac:dyDescent="0.3">
      <c r="B8" s="304" t="s">
        <v>344</v>
      </c>
      <c r="C8" s="304" t="s">
        <v>345</v>
      </c>
      <c r="D8" s="304" t="s">
        <v>346</v>
      </c>
      <c r="E8" s="304" t="s">
        <v>347</v>
      </c>
      <c r="F8" s="304" t="s">
        <v>348</v>
      </c>
      <c r="G8" s="304" t="s">
        <v>349</v>
      </c>
      <c r="H8" s="304" t="s">
        <v>350</v>
      </c>
      <c r="I8" s="304" t="s">
        <v>351</v>
      </c>
      <c r="J8" s="304" t="s">
        <v>352</v>
      </c>
      <c r="K8" s="304" t="s">
        <v>353</v>
      </c>
      <c r="L8" s="304" t="s">
        <v>354</v>
      </c>
      <c r="M8" s="304" t="s">
        <v>355</v>
      </c>
      <c r="N8" s="304" t="s">
        <v>356</v>
      </c>
      <c r="O8" s="304" t="s">
        <v>357</v>
      </c>
      <c r="P8" s="304" t="s">
        <v>358</v>
      </c>
      <c r="Q8" s="304" t="s">
        <v>359</v>
      </c>
      <c r="R8" s="304" t="s">
        <v>360</v>
      </c>
      <c r="S8" s="304" t="s">
        <v>361</v>
      </c>
    </row>
    <row r="9" spans="1:19" ht="141.75" x14ac:dyDescent="0.3">
      <c r="B9" s="246" t="s">
        <v>362</v>
      </c>
      <c r="C9" s="246" t="s">
        <v>363</v>
      </c>
      <c r="D9" s="246" t="s">
        <v>364</v>
      </c>
      <c r="E9" s="246" t="s">
        <v>365</v>
      </c>
      <c r="F9" s="246" t="s">
        <v>366</v>
      </c>
      <c r="G9" s="246" t="s">
        <v>367</v>
      </c>
      <c r="H9" s="246" t="s">
        <v>368</v>
      </c>
      <c r="I9" s="246" t="s">
        <v>58</v>
      </c>
      <c r="J9" s="246" t="s">
        <v>369</v>
      </c>
      <c r="K9" s="246" t="s">
        <v>370</v>
      </c>
      <c r="L9" s="246" t="s">
        <v>22</v>
      </c>
      <c r="M9" s="246" t="s">
        <v>371</v>
      </c>
      <c r="N9" s="246" t="s">
        <v>372</v>
      </c>
      <c r="O9" s="246" t="s">
        <v>373</v>
      </c>
      <c r="P9" s="246" t="s">
        <v>70</v>
      </c>
      <c r="Q9" s="246" t="s">
        <v>374</v>
      </c>
      <c r="R9" s="246" t="s">
        <v>375</v>
      </c>
      <c r="S9" s="246" t="s">
        <v>376</v>
      </c>
    </row>
    <row r="10" spans="1:19" x14ac:dyDescent="0.3">
      <c r="B10" s="27"/>
      <c r="C10" s="304"/>
      <c r="D10" s="304"/>
      <c r="E10" s="304"/>
      <c r="F10" s="304"/>
      <c r="G10" s="304"/>
      <c r="H10" s="304"/>
      <c r="I10" s="304"/>
      <c r="R10" s="403"/>
      <c r="S10" s="403"/>
    </row>
    <row r="11" spans="1:19" ht="81" x14ac:dyDescent="0.3">
      <c r="A11" s="304">
        <v>1</v>
      </c>
      <c r="B11" s="245" t="s">
        <v>377</v>
      </c>
      <c r="C11" s="304">
        <v>0</v>
      </c>
      <c r="D11" s="304"/>
      <c r="E11" s="304"/>
      <c r="F11" s="304"/>
      <c r="G11" s="329">
        <f>365/365</f>
        <v>1</v>
      </c>
      <c r="H11" s="308">
        <f>+J11+N11+R11</f>
        <v>-40230467.959883042</v>
      </c>
      <c r="I11" s="244">
        <v>-38018261.520000003</v>
      </c>
      <c r="J11" s="308">
        <f>G11*I11</f>
        <v>-38018261.520000003</v>
      </c>
      <c r="K11" s="244">
        <v>0</v>
      </c>
      <c r="L11" s="295">
        <f>+'Appendix A'!$H$27</f>
        <v>0.29799930525418156</v>
      </c>
      <c r="M11" s="308">
        <f>+K11*L11</f>
        <v>0</v>
      </c>
      <c r="N11" s="308">
        <f>+G11*M11</f>
        <v>0</v>
      </c>
      <c r="O11" s="244">
        <v>-20091454.629999999</v>
      </c>
      <c r="P11" s="295">
        <f>+'Appendix A'!$H$16</f>
        <v>0.11010683301047983</v>
      </c>
      <c r="Q11" s="308">
        <f>+O11*P11</f>
        <v>-2212206.4398830417</v>
      </c>
      <c r="R11" s="308">
        <f>+G11*Q11</f>
        <v>-2212206.4398830417</v>
      </c>
      <c r="S11" s="263">
        <f>+J11+N11+R11</f>
        <v>-40230467.959883042</v>
      </c>
    </row>
    <row r="12" spans="1:19" x14ac:dyDescent="0.3">
      <c r="A12" s="304">
        <f>+A11+1</f>
        <v>2</v>
      </c>
      <c r="B12" s="266" t="s">
        <v>378</v>
      </c>
      <c r="C12" s="304">
        <v>0</v>
      </c>
      <c r="D12" s="243">
        <v>31</v>
      </c>
      <c r="E12" s="242">
        <f>E13+D13</f>
        <v>335</v>
      </c>
      <c r="F12" s="242">
        <f>SUM(D12:D23)</f>
        <v>365</v>
      </c>
      <c r="G12" s="329">
        <f>335/365</f>
        <v>0.9178082191780822</v>
      </c>
      <c r="H12" s="308">
        <f t="shared" ref="H12:H24" si="0">+J12+N12+R12</f>
        <v>-258194.11988597593</v>
      </c>
      <c r="I12" s="244">
        <v>-195531.34083333364</v>
      </c>
      <c r="J12" s="308">
        <f t="shared" ref="J12:J23" si="1">G12*I12</f>
        <v>-179460.27172374458</v>
      </c>
      <c r="K12" s="308">
        <v>0</v>
      </c>
      <c r="L12" s="295">
        <f>+'Appendix A'!$H$27</f>
        <v>0.29799930525418156</v>
      </c>
      <c r="M12" s="308">
        <f t="shared" ref="M12:M23" si="2">+K12*L12</f>
        <v>0</v>
      </c>
      <c r="N12" s="308">
        <f t="shared" ref="N12:N23" si="3">+G12*M12</f>
        <v>0</v>
      </c>
      <c r="O12" s="244">
        <v>-779103.6958333333</v>
      </c>
      <c r="P12" s="295">
        <f>+'Appendix A'!$H$16</f>
        <v>0.11010683301047983</v>
      </c>
      <c r="Q12" s="308">
        <f t="shared" ref="Q12:Q23" si="4">+O12*P12</f>
        <v>-85784.640534968494</v>
      </c>
      <c r="R12" s="308">
        <f t="shared" ref="R12:R23" si="5">+G12*Q12</f>
        <v>-78733.848162231356</v>
      </c>
      <c r="S12" s="263">
        <f t="shared" ref="S12:S24" si="6">+J12+N12+R12</f>
        <v>-258194.11988597593</v>
      </c>
    </row>
    <row r="13" spans="1:19" x14ac:dyDescent="0.3">
      <c r="A13" s="304">
        <f t="shared" ref="A13:A24" si="7">+A12+1</f>
        <v>3</v>
      </c>
      <c r="B13" s="266" t="s">
        <v>379</v>
      </c>
      <c r="C13" s="304">
        <f>+$C$12</f>
        <v>0</v>
      </c>
      <c r="D13" s="241">
        <v>28</v>
      </c>
      <c r="E13" s="242">
        <f t="shared" ref="E13:E20" si="8">E14+D14</f>
        <v>307</v>
      </c>
      <c r="F13" s="242">
        <f>F12</f>
        <v>365</v>
      </c>
      <c r="G13" s="329">
        <f>307/365</f>
        <v>0.84109589041095889</v>
      </c>
      <c r="H13" s="308">
        <f t="shared" si="0"/>
        <v>-236613.71583580482</v>
      </c>
      <c r="I13" s="244">
        <f>$I$12</f>
        <v>-195531.34083333364</v>
      </c>
      <c r="J13" s="308">
        <f t="shared" si="1"/>
        <v>-164460.60722146145</v>
      </c>
      <c r="K13" s="308">
        <v>0</v>
      </c>
      <c r="L13" s="295">
        <f>+'Appendix A'!$H$27</f>
        <v>0.29799930525418156</v>
      </c>
      <c r="M13" s="308">
        <f t="shared" si="2"/>
        <v>0</v>
      </c>
      <c r="N13" s="308">
        <f t="shared" si="3"/>
        <v>0</v>
      </c>
      <c r="O13" s="244">
        <f>$O$12</f>
        <v>-779103.6958333333</v>
      </c>
      <c r="P13" s="295">
        <f>+'Appendix A'!$H$16</f>
        <v>0.11010683301047983</v>
      </c>
      <c r="Q13" s="308">
        <f t="shared" si="4"/>
        <v>-85784.640534968494</v>
      </c>
      <c r="R13" s="308">
        <f t="shared" si="5"/>
        <v>-72153.108614343364</v>
      </c>
      <c r="S13" s="263">
        <f t="shared" si="6"/>
        <v>-236613.71583580482</v>
      </c>
    </row>
    <row r="14" spans="1:19" x14ac:dyDescent="0.3">
      <c r="A14" s="304">
        <f t="shared" si="7"/>
        <v>4</v>
      </c>
      <c r="B14" s="266" t="s">
        <v>380</v>
      </c>
      <c r="C14" s="304">
        <f t="shared" ref="C14:C23" si="9">+$C$12</f>
        <v>0</v>
      </c>
      <c r="D14" s="243">
        <v>31</v>
      </c>
      <c r="E14" s="242">
        <f t="shared" si="8"/>
        <v>276</v>
      </c>
      <c r="F14" s="242">
        <f t="shared" ref="F14:F23" si="10">F13</f>
        <v>365</v>
      </c>
      <c r="G14" s="329">
        <f>276/365</f>
        <v>0.75616438356164384</v>
      </c>
      <c r="H14" s="308">
        <f t="shared" si="0"/>
        <v>-212721.12563740107</v>
      </c>
      <c r="I14" s="244">
        <f t="shared" ref="I14:I23" si="11">$I$12</f>
        <v>-195531.34083333364</v>
      </c>
      <c r="J14" s="308">
        <f t="shared" si="1"/>
        <v>-147853.83580821942</v>
      </c>
      <c r="K14" s="308">
        <v>0</v>
      </c>
      <c r="L14" s="295">
        <f>+'Appendix A'!$H$27</f>
        <v>0.29799930525418156</v>
      </c>
      <c r="M14" s="308">
        <f t="shared" si="2"/>
        <v>0</v>
      </c>
      <c r="N14" s="308">
        <f t="shared" si="3"/>
        <v>0</v>
      </c>
      <c r="O14" s="244">
        <f t="shared" ref="O14:O23" si="12">$O$12</f>
        <v>-779103.6958333333</v>
      </c>
      <c r="P14" s="295">
        <f>+'Appendix A'!$H$16</f>
        <v>0.11010683301047983</v>
      </c>
      <c r="Q14" s="308">
        <f t="shared" si="4"/>
        <v>-85784.640534968494</v>
      </c>
      <c r="R14" s="308">
        <f t="shared" si="5"/>
        <v>-64867.289829181653</v>
      </c>
      <c r="S14" s="263">
        <f t="shared" si="6"/>
        <v>-212721.12563740107</v>
      </c>
    </row>
    <row r="15" spans="1:19" x14ac:dyDescent="0.3">
      <c r="A15" s="304">
        <f t="shared" si="7"/>
        <v>5</v>
      </c>
      <c r="B15" s="266" t="s">
        <v>381</v>
      </c>
      <c r="C15" s="304">
        <f t="shared" si="9"/>
        <v>0</v>
      </c>
      <c r="D15" s="243">
        <v>30</v>
      </c>
      <c r="E15" s="242">
        <f t="shared" si="8"/>
        <v>246</v>
      </c>
      <c r="F15" s="242">
        <f t="shared" si="10"/>
        <v>365</v>
      </c>
      <c r="G15" s="329">
        <f>246/365</f>
        <v>0.67397260273972603</v>
      </c>
      <c r="H15" s="308">
        <f t="shared" si="0"/>
        <v>-189599.26415507487</v>
      </c>
      <c r="I15" s="244">
        <f t="shared" si="11"/>
        <v>-195531.34083333364</v>
      </c>
      <c r="J15" s="308">
        <f t="shared" si="1"/>
        <v>-131782.76669863035</v>
      </c>
      <c r="K15" s="308">
        <v>0</v>
      </c>
      <c r="L15" s="295">
        <f>+'Appendix A'!$H$27</f>
        <v>0.29799930525418156</v>
      </c>
      <c r="M15" s="308">
        <f t="shared" si="2"/>
        <v>0</v>
      </c>
      <c r="N15" s="308">
        <f t="shared" si="3"/>
        <v>0</v>
      </c>
      <c r="O15" s="244">
        <f t="shared" si="12"/>
        <v>-779103.6958333333</v>
      </c>
      <c r="P15" s="295">
        <f>+'Appendix A'!$H$16</f>
        <v>0.11010683301047983</v>
      </c>
      <c r="Q15" s="308">
        <f t="shared" si="4"/>
        <v>-85784.640534968494</v>
      </c>
      <c r="R15" s="308">
        <f t="shared" si="5"/>
        <v>-57816.497456444522</v>
      </c>
      <c r="S15" s="263">
        <f t="shared" si="6"/>
        <v>-189599.26415507487</v>
      </c>
    </row>
    <row r="16" spans="1:19" x14ac:dyDescent="0.3">
      <c r="A16" s="304">
        <f t="shared" si="7"/>
        <v>6</v>
      </c>
      <c r="B16" s="266" t="s">
        <v>382</v>
      </c>
      <c r="C16" s="304">
        <f t="shared" si="9"/>
        <v>0</v>
      </c>
      <c r="D16" s="243">
        <v>31</v>
      </c>
      <c r="E16" s="242">
        <f t="shared" si="8"/>
        <v>215</v>
      </c>
      <c r="F16" s="242">
        <f t="shared" si="10"/>
        <v>365</v>
      </c>
      <c r="G16" s="329">
        <f>215/365</f>
        <v>0.58904109589041098</v>
      </c>
      <c r="H16" s="308">
        <f t="shared" si="0"/>
        <v>-165706.67395667112</v>
      </c>
      <c r="I16" s="244">
        <f t="shared" si="11"/>
        <v>-195531.34083333364</v>
      </c>
      <c r="J16" s="308">
        <f t="shared" si="1"/>
        <v>-115175.99528538832</v>
      </c>
      <c r="K16" s="308">
        <v>0</v>
      </c>
      <c r="L16" s="295">
        <f>+'Appendix A'!$H$27</f>
        <v>0.29799930525418156</v>
      </c>
      <c r="M16" s="308">
        <f t="shared" si="2"/>
        <v>0</v>
      </c>
      <c r="N16" s="308">
        <f t="shared" si="3"/>
        <v>0</v>
      </c>
      <c r="O16" s="244">
        <f t="shared" si="12"/>
        <v>-779103.6958333333</v>
      </c>
      <c r="P16" s="295">
        <f>+'Appendix A'!$H$16</f>
        <v>0.11010683301047983</v>
      </c>
      <c r="Q16" s="308">
        <f t="shared" si="4"/>
        <v>-85784.640534968494</v>
      </c>
      <c r="R16" s="308">
        <f t="shared" si="5"/>
        <v>-50530.678671282811</v>
      </c>
      <c r="S16" s="263">
        <f t="shared" si="6"/>
        <v>-165706.67395667112</v>
      </c>
    </row>
    <row r="17" spans="1:19" x14ac:dyDescent="0.3">
      <c r="A17" s="304">
        <f t="shared" si="7"/>
        <v>7</v>
      </c>
      <c r="B17" s="266" t="s">
        <v>383</v>
      </c>
      <c r="C17" s="304">
        <f t="shared" si="9"/>
        <v>0</v>
      </c>
      <c r="D17" s="243">
        <v>30</v>
      </c>
      <c r="E17" s="242">
        <f t="shared" si="8"/>
        <v>185</v>
      </c>
      <c r="F17" s="242">
        <f t="shared" si="10"/>
        <v>365</v>
      </c>
      <c r="G17" s="329">
        <f>185/365</f>
        <v>0.50684931506849318</v>
      </c>
      <c r="H17" s="308">
        <f t="shared" si="0"/>
        <v>-142584.81247434492</v>
      </c>
      <c r="I17" s="244">
        <f t="shared" si="11"/>
        <v>-195531.34083333364</v>
      </c>
      <c r="J17" s="308">
        <f t="shared" si="1"/>
        <v>-99104.92617579925</v>
      </c>
      <c r="K17" s="308">
        <v>0</v>
      </c>
      <c r="L17" s="295">
        <f>+'Appendix A'!$H$27</f>
        <v>0.29799930525418156</v>
      </c>
      <c r="M17" s="308">
        <f t="shared" si="2"/>
        <v>0</v>
      </c>
      <c r="N17" s="308">
        <f t="shared" si="3"/>
        <v>0</v>
      </c>
      <c r="O17" s="244">
        <f t="shared" si="12"/>
        <v>-779103.6958333333</v>
      </c>
      <c r="P17" s="295">
        <f>+'Appendix A'!$H$16</f>
        <v>0.11010683301047983</v>
      </c>
      <c r="Q17" s="308">
        <f t="shared" si="4"/>
        <v>-85784.640534968494</v>
      </c>
      <c r="R17" s="308">
        <f t="shared" si="5"/>
        <v>-43479.88629854568</v>
      </c>
      <c r="S17" s="263">
        <f t="shared" si="6"/>
        <v>-142584.81247434492</v>
      </c>
    </row>
    <row r="18" spans="1:19" x14ac:dyDescent="0.3">
      <c r="A18" s="304">
        <f t="shared" si="7"/>
        <v>8</v>
      </c>
      <c r="B18" s="266" t="s">
        <v>384</v>
      </c>
      <c r="C18" s="304">
        <f t="shared" si="9"/>
        <v>0</v>
      </c>
      <c r="D18" s="243">
        <v>31</v>
      </c>
      <c r="E18" s="242">
        <f t="shared" si="8"/>
        <v>154</v>
      </c>
      <c r="F18" s="242">
        <f t="shared" si="10"/>
        <v>365</v>
      </c>
      <c r="G18" s="329">
        <f>154/365</f>
        <v>0.42191780821917807</v>
      </c>
      <c r="H18" s="308">
        <f t="shared" si="0"/>
        <v>-118692.22227594117</v>
      </c>
      <c r="I18" s="244">
        <f t="shared" si="11"/>
        <v>-195531.34083333364</v>
      </c>
      <c r="J18" s="308">
        <f t="shared" si="1"/>
        <v>-82498.154762557198</v>
      </c>
      <c r="K18" s="308">
        <v>0</v>
      </c>
      <c r="L18" s="295">
        <f>+'Appendix A'!$H$27</f>
        <v>0.29799930525418156</v>
      </c>
      <c r="M18" s="308">
        <f t="shared" si="2"/>
        <v>0</v>
      </c>
      <c r="N18" s="308">
        <f t="shared" si="3"/>
        <v>0</v>
      </c>
      <c r="O18" s="244">
        <f t="shared" si="12"/>
        <v>-779103.6958333333</v>
      </c>
      <c r="P18" s="295">
        <f>+'Appendix A'!$H$16</f>
        <v>0.11010683301047983</v>
      </c>
      <c r="Q18" s="308">
        <f t="shared" si="4"/>
        <v>-85784.640534968494</v>
      </c>
      <c r="R18" s="308">
        <f t="shared" si="5"/>
        <v>-36194.067513383969</v>
      </c>
      <c r="S18" s="263">
        <f t="shared" si="6"/>
        <v>-118692.22227594117</v>
      </c>
    </row>
    <row r="19" spans="1:19" x14ac:dyDescent="0.3">
      <c r="A19" s="304">
        <f t="shared" si="7"/>
        <v>9</v>
      </c>
      <c r="B19" s="266" t="s">
        <v>385</v>
      </c>
      <c r="C19" s="304">
        <f t="shared" si="9"/>
        <v>0</v>
      </c>
      <c r="D19" s="243">
        <v>31</v>
      </c>
      <c r="E19" s="242">
        <f t="shared" si="8"/>
        <v>123</v>
      </c>
      <c r="F19" s="242">
        <f t="shared" si="10"/>
        <v>365</v>
      </c>
      <c r="G19" s="329">
        <f>123/365</f>
        <v>0.33698630136986302</v>
      </c>
      <c r="H19" s="308">
        <f t="shared" si="0"/>
        <v>-94799.632077537433</v>
      </c>
      <c r="I19" s="244">
        <f t="shared" si="11"/>
        <v>-195531.34083333364</v>
      </c>
      <c r="J19" s="308">
        <f t="shared" si="1"/>
        <v>-65891.383349315176</v>
      </c>
      <c r="K19" s="308">
        <v>0</v>
      </c>
      <c r="L19" s="295">
        <f>+'Appendix A'!$H$27</f>
        <v>0.29799930525418156</v>
      </c>
      <c r="M19" s="308">
        <f t="shared" si="2"/>
        <v>0</v>
      </c>
      <c r="N19" s="308">
        <f t="shared" si="3"/>
        <v>0</v>
      </c>
      <c r="O19" s="244">
        <f t="shared" si="12"/>
        <v>-779103.6958333333</v>
      </c>
      <c r="P19" s="295">
        <f>+'Appendix A'!$H$16</f>
        <v>0.11010683301047983</v>
      </c>
      <c r="Q19" s="308">
        <f t="shared" si="4"/>
        <v>-85784.640534968494</v>
      </c>
      <c r="R19" s="308">
        <f t="shared" si="5"/>
        <v>-28908.248728222261</v>
      </c>
      <c r="S19" s="263">
        <f t="shared" si="6"/>
        <v>-94799.632077537433</v>
      </c>
    </row>
    <row r="20" spans="1:19" x14ac:dyDescent="0.3">
      <c r="A20" s="304">
        <f t="shared" si="7"/>
        <v>10</v>
      </c>
      <c r="B20" s="266" t="s">
        <v>386</v>
      </c>
      <c r="C20" s="304">
        <f t="shared" si="9"/>
        <v>0</v>
      </c>
      <c r="D20" s="243">
        <v>30</v>
      </c>
      <c r="E20" s="242">
        <f t="shared" si="8"/>
        <v>93</v>
      </c>
      <c r="F20" s="242">
        <f t="shared" si="10"/>
        <v>365</v>
      </c>
      <c r="G20" s="329">
        <f>93/365</f>
        <v>0.25479452054794521</v>
      </c>
      <c r="H20" s="308">
        <f t="shared" si="0"/>
        <v>-71677.77059521123</v>
      </c>
      <c r="I20" s="244">
        <f t="shared" si="11"/>
        <v>-195531.34083333364</v>
      </c>
      <c r="J20" s="308">
        <f t="shared" si="1"/>
        <v>-49820.314239726111</v>
      </c>
      <c r="K20" s="308">
        <v>0</v>
      </c>
      <c r="L20" s="295">
        <f>+'Appendix A'!$H$27</f>
        <v>0.29799930525418156</v>
      </c>
      <c r="M20" s="308">
        <f t="shared" si="2"/>
        <v>0</v>
      </c>
      <c r="N20" s="308">
        <f t="shared" si="3"/>
        <v>0</v>
      </c>
      <c r="O20" s="244">
        <f t="shared" si="12"/>
        <v>-779103.6958333333</v>
      </c>
      <c r="P20" s="295">
        <f>+'Appendix A'!$H$16</f>
        <v>0.11010683301047983</v>
      </c>
      <c r="Q20" s="308">
        <f t="shared" si="4"/>
        <v>-85784.640534968494</v>
      </c>
      <c r="R20" s="308">
        <f t="shared" si="5"/>
        <v>-21857.456355485123</v>
      </c>
      <c r="S20" s="263">
        <f t="shared" si="6"/>
        <v>-71677.77059521123</v>
      </c>
    </row>
    <row r="21" spans="1:19" x14ac:dyDescent="0.3">
      <c r="A21" s="304">
        <f t="shared" si="7"/>
        <v>11</v>
      </c>
      <c r="B21" s="266" t="s">
        <v>387</v>
      </c>
      <c r="C21" s="304">
        <f t="shared" si="9"/>
        <v>0</v>
      </c>
      <c r="D21" s="243">
        <v>31</v>
      </c>
      <c r="E21" s="242">
        <f>E22+D22</f>
        <v>62</v>
      </c>
      <c r="F21" s="242">
        <f t="shared" si="10"/>
        <v>365</v>
      </c>
      <c r="G21" s="329">
        <f>62/365</f>
        <v>0.16986301369863013</v>
      </c>
      <c r="H21" s="308">
        <f t="shared" si="0"/>
        <v>-47785.180396807482</v>
      </c>
      <c r="I21" s="244">
        <f t="shared" si="11"/>
        <v>-195531.34083333364</v>
      </c>
      <c r="J21" s="308">
        <f t="shared" si="1"/>
        <v>-33213.542826484067</v>
      </c>
      <c r="K21" s="308">
        <v>0</v>
      </c>
      <c r="L21" s="295">
        <f>+'Appendix A'!$H$27</f>
        <v>0.29799930525418156</v>
      </c>
      <c r="M21" s="308">
        <f t="shared" si="2"/>
        <v>0</v>
      </c>
      <c r="N21" s="308">
        <f t="shared" si="3"/>
        <v>0</v>
      </c>
      <c r="O21" s="244">
        <f t="shared" si="12"/>
        <v>-779103.6958333333</v>
      </c>
      <c r="P21" s="295">
        <f>+'Appendix A'!$H$16</f>
        <v>0.11010683301047983</v>
      </c>
      <c r="Q21" s="308">
        <f t="shared" si="4"/>
        <v>-85784.640534968494</v>
      </c>
      <c r="R21" s="308">
        <f t="shared" si="5"/>
        <v>-14571.637570323415</v>
      </c>
      <c r="S21" s="263">
        <f t="shared" si="6"/>
        <v>-47785.180396807482</v>
      </c>
    </row>
    <row r="22" spans="1:19" x14ac:dyDescent="0.3">
      <c r="A22" s="304">
        <f t="shared" si="7"/>
        <v>12</v>
      </c>
      <c r="B22" s="266" t="s">
        <v>388</v>
      </c>
      <c r="C22" s="304">
        <f t="shared" si="9"/>
        <v>0</v>
      </c>
      <c r="D22" s="243">
        <v>30</v>
      </c>
      <c r="E22" s="242">
        <f>E23+D23</f>
        <v>32</v>
      </c>
      <c r="F22" s="242">
        <f t="shared" si="10"/>
        <v>365</v>
      </c>
      <c r="G22" s="329">
        <f>32/365</f>
        <v>8.7671232876712329E-2</v>
      </c>
      <c r="H22" s="308">
        <f t="shared" si="0"/>
        <v>-24663.318914481286</v>
      </c>
      <c r="I22" s="244">
        <f t="shared" si="11"/>
        <v>-195531.34083333364</v>
      </c>
      <c r="J22" s="308">
        <f t="shared" si="1"/>
        <v>-17142.473716895005</v>
      </c>
      <c r="K22" s="308">
        <v>0</v>
      </c>
      <c r="L22" s="295">
        <f>+'Appendix A'!$H$27</f>
        <v>0.29799930525418156</v>
      </c>
      <c r="M22" s="308">
        <f t="shared" si="2"/>
        <v>0</v>
      </c>
      <c r="N22" s="308">
        <f t="shared" si="3"/>
        <v>0</v>
      </c>
      <c r="O22" s="244">
        <f t="shared" si="12"/>
        <v>-779103.6958333333</v>
      </c>
      <c r="P22" s="295">
        <f>+'Appendix A'!$H$16</f>
        <v>0.11010683301047983</v>
      </c>
      <c r="Q22" s="308">
        <f t="shared" si="4"/>
        <v>-85784.640534968494</v>
      </c>
      <c r="R22" s="308">
        <f t="shared" si="5"/>
        <v>-7520.845197586279</v>
      </c>
      <c r="S22" s="263">
        <f t="shared" si="6"/>
        <v>-24663.318914481286</v>
      </c>
    </row>
    <row r="23" spans="1:19" ht="24.75" x14ac:dyDescent="0.6">
      <c r="A23" s="304">
        <f t="shared" si="7"/>
        <v>13</v>
      </c>
      <c r="B23" s="266" t="s">
        <v>389</v>
      </c>
      <c r="C23" s="304">
        <f t="shared" si="9"/>
        <v>0</v>
      </c>
      <c r="D23" s="243">
        <v>31</v>
      </c>
      <c r="E23" s="242">
        <v>1</v>
      </c>
      <c r="F23" s="242">
        <f t="shared" si="10"/>
        <v>365</v>
      </c>
      <c r="G23" s="329">
        <f>1/365</f>
        <v>2.7397260273972603E-3</v>
      </c>
      <c r="H23" s="240">
        <f t="shared" si="0"/>
        <v>-770.72871607754018</v>
      </c>
      <c r="I23" s="244">
        <f t="shared" si="11"/>
        <v>-195531.34083333364</v>
      </c>
      <c r="J23" s="240">
        <f t="shared" si="1"/>
        <v>-535.70230365296891</v>
      </c>
      <c r="K23" s="240">
        <v>0</v>
      </c>
      <c r="L23" s="295">
        <f>+'Appendix A'!$H$27</f>
        <v>0.29799930525418156</v>
      </c>
      <c r="M23" s="308">
        <f t="shared" si="2"/>
        <v>0</v>
      </c>
      <c r="N23" s="240">
        <f t="shared" si="3"/>
        <v>0</v>
      </c>
      <c r="O23" s="244">
        <f t="shared" si="12"/>
        <v>-779103.6958333333</v>
      </c>
      <c r="P23" s="295">
        <f>+'Appendix A'!$H$16</f>
        <v>0.11010683301047983</v>
      </c>
      <c r="Q23" s="308">
        <f t="shared" si="4"/>
        <v>-85784.640534968494</v>
      </c>
      <c r="R23" s="240">
        <f t="shared" si="5"/>
        <v>-235.02641242457122</v>
      </c>
      <c r="S23" s="239">
        <f t="shared" si="6"/>
        <v>-770.72871607754018</v>
      </c>
    </row>
    <row r="24" spans="1:19" x14ac:dyDescent="0.3">
      <c r="A24" s="304">
        <f t="shared" si="7"/>
        <v>14</v>
      </c>
      <c r="B24" s="303" t="s">
        <v>390</v>
      </c>
      <c r="D24" s="263">
        <f>+SUM(D12:D23)</f>
        <v>365</v>
      </c>
      <c r="H24" s="308">
        <f t="shared" si="0"/>
        <v>-41794276.524804376</v>
      </c>
      <c r="I24" s="308">
        <f>SUM(I11:I23)</f>
        <v>-40364637.610000037</v>
      </c>
      <c r="J24" s="308">
        <f t="shared" ref="J24:O24" si="13">SUM(J11:J23)</f>
        <v>-39105201.494111881</v>
      </c>
      <c r="K24" s="308">
        <f t="shared" si="13"/>
        <v>0</v>
      </c>
      <c r="L24" s="308"/>
      <c r="M24" s="308"/>
      <c r="N24" s="308">
        <f t="shared" ref="N24" si="14">SUM(N11:N23)</f>
        <v>0</v>
      </c>
      <c r="O24" s="308">
        <f t="shared" si="13"/>
        <v>-29440698.979999993</v>
      </c>
      <c r="P24" s="308"/>
      <c r="Q24" s="308"/>
      <c r="R24" s="308">
        <f t="shared" ref="R24" si="15">SUM(R11:R23)</f>
        <v>-2689075.0306924963</v>
      </c>
      <c r="S24" s="263">
        <f t="shared" si="6"/>
        <v>-41794276.524804376</v>
      </c>
    </row>
    <row r="25" spans="1:19" x14ac:dyDescent="0.3">
      <c r="A25" s="304"/>
      <c r="B25" s="303"/>
      <c r="D25" s="263"/>
      <c r="H25" s="263"/>
      <c r="I25" s="263"/>
      <c r="J25" s="263"/>
      <c r="K25" s="263"/>
      <c r="L25" s="263"/>
      <c r="M25" s="263"/>
      <c r="N25" s="263"/>
      <c r="O25" s="263"/>
      <c r="P25" s="263"/>
      <c r="Q25" s="263"/>
      <c r="R25" s="263"/>
    </row>
    <row r="26" spans="1:19" x14ac:dyDescent="0.3">
      <c r="A26" s="304"/>
      <c r="B26" s="303"/>
      <c r="D26" s="263"/>
      <c r="H26" s="263"/>
      <c r="I26" s="263"/>
      <c r="J26" s="263"/>
      <c r="K26" s="263"/>
      <c r="L26" s="263"/>
      <c r="M26" s="263"/>
      <c r="N26" s="263"/>
      <c r="O26" s="263"/>
      <c r="P26" s="263"/>
      <c r="Q26" s="263"/>
      <c r="R26" s="263"/>
    </row>
    <row r="27" spans="1:19" x14ac:dyDescent="0.3">
      <c r="B27" s="266" t="s">
        <v>391</v>
      </c>
    </row>
    <row r="31" spans="1:19" x14ac:dyDescent="0.3">
      <c r="B31" s="238"/>
    </row>
  </sheetData>
  <phoneticPr fontId="5" type="noConversion"/>
  <pageMargins left="0.7" right="0.7" top="0.75" bottom="0.75" header="0.3" footer="0.3"/>
  <pageSetup scale="35" orientation="landscape" verticalDpi="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AB115"/>
  <sheetViews>
    <sheetView showGridLines="0" topLeftCell="A70" zoomScale="70" zoomScaleNormal="70" workbookViewId="0">
      <selection activeCell="D29" sqref="D29"/>
    </sheetView>
  </sheetViews>
  <sheetFormatPr defaultColWidth="18.7109375" defaultRowHeight="20.25" x14ac:dyDescent="0.3"/>
  <cols>
    <col min="1" max="1" width="5.85546875" style="266" customWidth="1"/>
    <col min="2" max="2" width="65.7109375" style="27" customWidth="1"/>
    <col min="3" max="3" width="38.7109375" style="266" bestFit="1" customWidth="1"/>
    <col min="4" max="4" width="22.7109375" style="266" customWidth="1"/>
    <col min="5" max="5" width="23.7109375" style="266" customWidth="1"/>
    <col min="6" max="6" width="24.7109375" style="266" customWidth="1"/>
    <col min="7" max="7" width="24" style="266" bestFit="1" customWidth="1"/>
    <col min="8" max="8" width="24" style="266" customWidth="1"/>
    <col min="9" max="9" width="135.28515625" style="266" customWidth="1"/>
    <col min="10" max="10" width="19.28515625" style="266" customWidth="1"/>
    <col min="11" max="16384" width="18.7109375" style="266"/>
  </cols>
  <sheetData>
    <row r="1" spans="1:10" x14ac:dyDescent="0.3">
      <c r="B1" s="645" t="str">
        <f>+'Appendix A'!A3</f>
        <v>Dayton Power and Light</v>
      </c>
      <c r="C1" s="647"/>
      <c r="D1" s="647"/>
      <c r="E1" s="647"/>
      <c r="F1" s="647"/>
      <c r="G1" s="647"/>
      <c r="H1" s="647"/>
      <c r="I1" s="647"/>
    </row>
    <row r="2" spans="1:10" x14ac:dyDescent="0.3">
      <c r="B2" s="645" t="str">
        <f>+'1A - ADIT Current Year'!B2:I2</f>
        <v xml:space="preserve">ATTACHMENT H-15A </v>
      </c>
      <c r="C2" s="645"/>
      <c r="D2" s="645"/>
      <c r="E2" s="645"/>
      <c r="F2" s="645"/>
      <c r="G2" s="645"/>
      <c r="H2" s="645"/>
      <c r="I2" s="645"/>
    </row>
    <row r="3" spans="1:10" x14ac:dyDescent="0.3">
      <c r="B3" s="648" t="s">
        <v>392</v>
      </c>
      <c r="C3" s="648"/>
      <c r="D3" s="648"/>
      <c r="E3" s="648"/>
      <c r="F3" s="648"/>
      <c r="G3" s="648"/>
      <c r="H3" s="648"/>
      <c r="I3" s="648"/>
    </row>
    <row r="4" spans="1:10" x14ac:dyDescent="0.3">
      <c r="B4" s="300"/>
    </row>
    <row r="5" spans="1:10" x14ac:dyDescent="0.3">
      <c r="B5" s="266"/>
      <c r="D5" s="300" t="s">
        <v>258</v>
      </c>
      <c r="E5" s="300"/>
      <c r="G5" s="300"/>
      <c r="H5" s="300"/>
    </row>
    <row r="6" spans="1:10" x14ac:dyDescent="0.3">
      <c r="D6" s="300" t="s">
        <v>58</v>
      </c>
      <c r="E6" s="300" t="s">
        <v>259</v>
      </c>
      <c r="F6" s="300" t="s">
        <v>260</v>
      </c>
      <c r="G6" s="300"/>
      <c r="H6" s="300" t="s">
        <v>69</v>
      </c>
      <c r="I6" s="299"/>
    </row>
    <row r="7" spans="1:10" x14ac:dyDescent="0.3">
      <c r="D7" s="300" t="s">
        <v>261</v>
      </c>
      <c r="E7" s="300" t="s">
        <v>261</v>
      </c>
      <c r="F7" s="300" t="s">
        <v>261</v>
      </c>
      <c r="G7" s="300"/>
      <c r="H7" s="300" t="s">
        <v>262</v>
      </c>
      <c r="I7" s="366"/>
    </row>
    <row r="8" spans="1:10" x14ac:dyDescent="0.3">
      <c r="B8" s="298"/>
      <c r="C8" s="298"/>
      <c r="D8" s="298"/>
      <c r="E8" s="298"/>
      <c r="F8" s="298"/>
      <c r="H8" s="298"/>
      <c r="I8" s="366"/>
      <c r="J8" s="298"/>
    </row>
    <row r="9" spans="1:10" x14ac:dyDescent="0.3">
      <c r="A9" s="304">
        <v>1</v>
      </c>
      <c r="C9" s="292" t="s">
        <v>274</v>
      </c>
      <c r="D9" s="297">
        <f>+E40</f>
        <v>0</v>
      </c>
      <c r="E9" s="297">
        <f>+F40</f>
        <v>0</v>
      </c>
      <c r="F9" s="297">
        <f>+G40</f>
        <v>1944004</v>
      </c>
      <c r="G9" s="297"/>
      <c r="H9" s="297"/>
      <c r="I9" s="308" t="str">
        <f>"(Line "&amp;A40&amp;")"</f>
        <v>(Line 22)</v>
      </c>
    </row>
    <row r="10" spans="1:10" x14ac:dyDescent="0.3">
      <c r="A10" s="304">
        <f>+A9+1</f>
        <v>2</v>
      </c>
      <c r="C10" s="292" t="s">
        <v>310</v>
      </c>
      <c r="D10" s="297">
        <f>+E61</f>
        <v>-8220708</v>
      </c>
      <c r="E10" s="297">
        <f>+F61</f>
        <v>0</v>
      </c>
      <c r="F10" s="297">
        <f>+G61</f>
        <v>-4392792</v>
      </c>
      <c r="G10" s="297"/>
      <c r="H10" s="297"/>
      <c r="I10" s="308" t="str">
        <f>"(Line "&amp;A61&amp;")"</f>
        <v>(Line 25)</v>
      </c>
    </row>
    <row r="11" spans="1:10" x14ac:dyDescent="0.3">
      <c r="A11" s="304">
        <f>+A10+1</f>
        <v>3</v>
      </c>
      <c r="C11" s="237" t="s">
        <v>319</v>
      </c>
      <c r="D11" s="296">
        <f>+E87</f>
        <v>0</v>
      </c>
      <c r="E11" s="296">
        <f>+F87</f>
        <v>0</v>
      </c>
      <c r="F11" s="296">
        <f>+G87</f>
        <v>914031</v>
      </c>
      <c r="G11" s="296"/>
      <c r="H11" s="297"/>
      <c r="I11" s="308" t="str">
        <f>"(Line "&amp;A87&amp;")"</f>
        <v>(Line 36)</v>
      </c>
    </row>
    <row r="12" spans="1:10" x14ac:dyDescent="0.3">
      <c r="A12" s="304">
        <f>+A11+1</f>
        <v>4</v>
      </c>
      <c r="C12" s="292" t="s">
        <v>92</v>
      </c>
      <c r="D12" s="297">
        <f>+SUM(D9:D11)</f>
        <v>-8220708</v>
      </c>
      <c r="E12" s="297">
        <f t="shared" ref="E12:F12" si="0">+SUM(E9:E11)</f>
        <v>0</v>
      </c>
      <c r="F12" s="297">
        <f t="shared" si="0"/>
        <v>-1534757</v>
      </c>
      <c r="G12" s="297"/>
      <c r="H12" s="297"/>
      <c r="I12" s="308" t="str">
        <f>"(Line "&amp;A9&amp;" + Line "&amp;A10&amp;" + "&amp;A11&amp;")"</f>
        <v>(Line 1 + Line 2 + 3)</v>
      </c>
    </row>
    <row r="13" spans="1:10" x14ac:dyDescent="0.3">
      <c r="A13" s="304">
        <f t="shared" ref="A13:A14" si="1">+A12+1</f>
        <v>5</v>
      </c>
      <c r="C13" s="292" t="s">
        <v>14</v>
      </c>
      <c r="F13" s="295">
        <f>'Appendix A'!H16</f>
        <v>0.11010683301047983</v>
      </c>
      <c r="I13" s="308" t="str">
        <f>"(Appendix A, Line "&amp;'Appendix A'!A16&amp;")"</f>
        <v>(Appendix A, Line 5)</v>
      </c>
    </row>
    <row r="14" spans="1:10" x14ac:dyDescent="0.3">
      <c r="A14" s="304">
        <f t="shared" si="1"/>
        <v>6</v>
      </c>
      <c r="C14" s="292" t="s">
        <v>22</v>
      </c>
      <c r="E14" s="295">
        <f>'Appendix A'!H27</f>
        <v>0.29799930525418156</v>
      </c>
      <c r="I14" s="308" t="str">
        <f>"(Appendix A, Line "&amp;'Appendix A'!A27&amp;")"</f>
        <v>(Appendix A, Line 12)</v>
      </c>
    </row>
    <row r="15" spans="1:10" x14ac:dyDescent="0.3">
      <c r="A15" s="304">
        <f>+A14+1</f>
        <v>7</v>
      </c>
      <c r="C15" s="292" t="s">
        <v>266</v>
      </c>
      <c r="D15" s="297">
        <f>+D12</f>
        <v>-8220708</v>
      </c>
      <c r="E15" s="297">
        <f>+E14*E12</f>
        <v>0</v>
      </c>
      <c r="F15" s="297">
        <f>+F13*F12</f>
        <v>-168987.23271066498</v>
      </c>
      <c r="G15" s="297"/>
      <c r="H15" s="294">
        <f>SUM(D15:G15)</f>
        <v>-8389695.2327106651</v>
      </c>
      <c r="I15" s="308" t="str">
        <f>"(Line "&amp;A12&amp;" * Line "&amp;A13&amp;" or Line "&amp;A14&amp;")"</f>
        <v>(Line 4 * Line 5 or Line 6)</v>
      </c>
    </row>
    <row r="16" spans="1:10" ht="29.25" customHeight="1" x14ac:dyDescent="0.3">
      <c r="A16" s="304"/>
      <c r="C16" s="292"/>
      <c r="D16" s="297"/>
      <c r="E16" s="297"/>
      <c r="F16" s="297"/>
      <c r="G16" s="294"/>
      <c r="H16" s="294"/>
      <c r="I16" s="308"/>
    </row>
    <row r="17" spans="1:28" x14ac:dyDescent="0.3">
      <c r="A17" s="304"/>
      <c r="B17" s="27" t="s">
        <v>393</v>
      </c>
      <c r="C17" s="292"/>
      <c r="D17" s="297"/>
      <c r="E17" s="297"/>
      <c r="F17" s="297"/>
      <c r="G17" s="294"/>
      <c r="H17" s="294"/>
      <c r="I17" s="308"/>
      <c r="J17" s="308"/>
    </row>
    <row r="18" spans="1:28" x14ac:dyDescent="0.3">
      <c r="A18" s="304"/>
      <c r="B18" s="266"/>
      <c r="I18" s="308"/>
    </row>
    <row r="19" spans="1:28" x14ac:dyDescent="0.3">
      <c r="A19" s="304"/>
      <c r="B19" s="27" t="s">
        <v>272</v>
      </c>
      <c r="I19" s="308"/>
    </row>
    <row r="20" spans="1:28" x14ac:dyDescent="0.3">
      <c r="A20" s="304"/>
      <c r="B20" s="27" t="s">
        <v>273</v>
      </c>
    </row>
    <row r="21" spans="1:28" x14ac:dyDescent="0.3">
      <c r="A21" s="304"/>
      <c r="G21" s="292"/>
      <c r="H21" s="292"/>
    </row>
    <row r="22" spans="1:28" x14ac:dyDescent="0.3">
      <c r="A22" s="304"/>
      <c r="B22" s="302" t="s">
        <v>209</v>
      </c>
      <c r="C22" s="302" t="s">
        <v>211</v>
      </c>
      <c r="D22" s="302" t="s">
        <v>213</v>
      </c>
      <c r="E22" s="302" t="s">
        <v>215</v>
      </c>
      <c r="F22" s="302" t="s">
        <v>217</v>
      </c>
      <c r="G22" s="302" t="s">
        <v>219</v>
      </c>
      <c r="H22" s="302"/>
      <c r="I22" s="302" t="s">
        <v>221</v>
      </c>
    </row>
    <row r="23" spans="1:28" ht="25.15" customHeight="1" x14ac:dyDescent="0.3">
      <c r="A23" s="304"/>
      <c r="C23" s="300" t="s">
        <v>69</v>
      </c>
      <c r="D23" s="300"/>
      <c r="E23" s="300" t="s">
        <v>258</v>
      </c>
      <c r="F23" s="300"/>
      <c r="G23" s="300"/>
      <c r="H23" s="300"/>
    </row>
    <row r="24" spans="1:28" ht="41.25" customHeight="1" x14ac:dyDescent="0.3">
      <c r="A24" s="304"/>
      <c r="B24" s="291" t="s">
        <v>274</v>
      </c>
      <c r="C24" s="300"/>
      <c r="D24" s="300"/>
      <c r="E24" s="300" t="s">
        <v>58</v>
      </c>
      <c r="F24" s="300" t="s">
        <v>259</v>
      </c>
      <c r="G24" s="300" t="s">
        <v>260</v>
      </c>
      <c r="H24" s="300"/>
      <c r="X24" s="236"/>
      <c r="Y24" s="236"/>
      <c r="Z24" s="236"/>
      <c r="AA24" s="236"/>
      <c r="AB24" s="236"/>
    </row>
    <row r="25" spans="1:28" ht="25.15" customHeight="1" thickBot="1" x14ac:dyDescent="0.35">
      <c r="A25" s="304"/>
      <c r="C25" s="300"/>
      <c r="D25" s="300" t="s">
        <v>275</v>
      </c>
      <c r="E25" s="300" t="s">
        <v>261</v>
      </c>
      <c r="F25" s="300" t="s">
        <v>261</v>
      </c>
      <c r="G25" s="300" t="s">
        <v>261</v>
      </c>
      <c r="H25" s="556"/>
      <c r="I25" s="300" t="s">
        <v>276</v>
      </c>
    </row>
    <row r="26" spans="1:28" ht="42.75" customHeight="1" x14ac:dyDescent="0.3">
      <c r="A26" s="304">
        <f>+A15+1</f>
        <v>8</v>
      </c>
      <c r="B26" s="516" t="s">
        <v>277</v>
      </c>
      <c r="C26" s="517">
        <f t="shared" ref="C26:C36" si="2">+SUM(D26:G26)</f>
        <v>570019</v>
      </c>
      <c r="D26" s="518">
        <v>0</v>
      </c>
      <c r="E26" s="518">
        <v>0</v>
      </c>
      <c r="F26" s="518">
        <v>0</v>
      </c>
      <c r="G26" s="518">
        <v>570019</v>
      </c>
      <c r="H26" s="519"/>
      <c r="I26" s="520" t="s">
        <v>278</v>
      </c>
    </row>
    <row r="27" spans="1:28" ht="38.25" customHeight="1" x14ac:dyDescent="0.3">
      <c r="A27" s="304">
        <f>+A26+1</f>
        <v>9</v>
      </c>
      <c r="B27" s="521" t="s">
        <v>279</v>
      </c>
      <c r="C27" s="522">
        <f t="shared" si="2"/>
        <v>0</v>
      </c>
      <c r="D27" s="523"/>
      <c r="E27" s="523">
        <v>0</v>
      </c>
      <c r="F27" s="523">
        <v>0</v>
      </c>
      <c r="G27" s="523">
        <v>0</v>
      </c>
      <c r="H27" s="524"/>
      <c r="I27" s="520" t="s">
        <v>280</v>
      </c>
    </row>
    <row r="28" spans="1:28" ht="35.25" customHeight="1" x14ac:dyDescent="0.3">
      <c r="A28" s="304">
        <f t="shared" ref="A28:A39" si="3">+A27+1</f>
        <v>10</v>
      </c>
      <c r="B28" s="521" t="s">
        <v>281</v>
      </c>
      <c r="C28" s="522">
        <f t="shared" si="2"/>
        <v>653198</v>
      </c>
      <c r="D28" s="523">
        <v>0</v>
      </c>
      <c r="E28" s="523">
        <v>0</v>
      </c>
      <c r="F28" s="523">
        <v>0</v>
      </c>
      <c r="G28" s="523">
        <v>653198</v>
      </c>
      <c r="H28" s="524"/>
      <c r="I28" s="520" t="s">
        <v>278</v>
      </c>
    </row>
    <row r="29" spans="1:28" ht="25.15" customHeight="1" x14ac:dyDescent="0.3">
      <c r="A29" s="304">
        <f t="shared" si="3"/>
        <v>11</v>
      </c>
      <c r="B29" s="525" t="s">
        <v>282</v>
      </c>
      <c r="C29" s="522">
        <f t="shared" si="2"/>
        <v>11612</v>
      </c>
      <c r="D29" s="523">
        <v>11612</v>
      </c>
      <c r="E29" s="523">
        <v>0</v>
      </c>
      <c r="F29" s="523"/>
      <c r="G29" s="523">
        <v>0</v>
      </c>
      <c r="H29" s="524"/>
      <c r="I29" s="526" t="s">
        <v>283</v>
      </c>
    </row>
    <row r="30" spans="1:28" ht="25.15" customHeight="1" x14ac:dyDescent="0.3">
      <c r="A30" s="304">
        <f t="shared" si="3"/>
        <v>12</v>
      </c>
      <c r="B30" s="521" t="s">
        <v>284</v>
      </c>
      <c r="C30" s="522">
        <f t="shared" si="2"/>
        <v>636527</v>
      </c>
      <c r="D30" s="523">
        <v>0</v>
      </c>
      <c r="E30" s="523">
        <v>0</v>
      </c>
      <c r="F30" s="523">
        <v>0</v>
      </c>
      <c r="G30" s="523">
        <v>636527</v>
      </c>
      <c r="H30" s="524"/>
      <c r="I30" s="520" t="s">
        <v>285</v>
      </c>
    </row>
    <row r="31" spans="1:28" ht="25.15" customHeight="1" x14ac:dyDescent="0.3">
      <c r="A31" s="304">
        <f t="shared" si="3"/>
        <v>13</v>
      </c>
      <c r="B31" s="521" t="s">
        <v>286</v>
      </c>
      <c r="C31" s="522">
        <f t="shared" si="2"/>
        <v>0</v>
      </c>
      <c r="D31" s="523"/>
      <c r="E31" s="523">
        <v>0</v>
      </c>
      <c r="F31" s="523">
        <v>0</v>
      </c>
      <c r="G31" s="523">
        <v>0</v>
      </c>
      <c r="H31" s="524"/>
      <c r="I31" s="520" t="s">
        <v>394</v>
      </c>
    </row>
    <row r="32" spans="1:28" ht="25.15" customHeight="1" x14ac:dyDescent="0.3">
      <c r="A32" s="304">
        <f t="shared" si="3"/>
        <v>14</v>
      </c>
      <c r="B32" s="521" t="s">
        <v>288</v>
      </c>
      <c r="C32" s="522">
        <f t="shared" si="2"/>
        <v>84260</v>
      </c>
      <c r="D32" s="523">
        <v>0</v>
      </c>
      <c r="E32" s="523">
        <v>0</v>
      </c>
      <c r="F32" s="523">
        <v>0</v>
      </c>
      <c r="G32" s="523">
        <v>84260</v>
      </c>
      <c r="H32" s="524"/>
      <c r="I32" s="520" t="s">
        <v>289</v>
      </c>
    </row>
    <row r="33" spans="1:9" ht="35.1" customHeight="1" x14ac:dyDescent="0.3">
      <c r="A33" s="304">
        <f t="shared" si="3"/>
        <v>15</v>
      </c>
      <c r="B33" s="521" t="s">
        <v>290</v>
      </c>
      <c r="C33" s="522">
        <f t="shared" si="2"/>
        <v>687952</v>
      </c>
      <c r="D33" s="523">
        <v>687952</v>
      </c>
      <c r="E33" s="523">
        <v>0</v>
      </c>
      <c r="F33" s="523">
        <v>0</v>
      </c>
      <c r="G33" s="523">
        <v>0</v>
      </c>
      <c r="H33" s="524"/>
      <c r="I33" s="520" t="s">
        <v>291</v>
      </c>
    </row>
    <row r="34" spans="1:9" ht="35.1" customHeight="1" x14ac:dyDescent="0.3">
      <c r="A34" s="304">
        <f t="shared" si="3"/>
        <v>16</v>
      </c>
      <c r="B34" s="521" t="s">
        <v>292</v>
      </c>
      <c r="C34" s="522">
        <f t="shared" si="2"/>
        <v>0</v>
      </c>
      <c r="D34" s="523">
        <v>0</v>
      </c>
      <c r="E34" s="523">
        <v>0</v>
      </c>
      <c r="F34" s="523"/>
      <c r="G34" s="523">
        <v>0</v>
      </c>
      <c r="H34" s="524"/>
      <c r="I34" s="520" t="s">
        <v>395</v>
      </c>
    </row>
    <row r="35" spans="1:9" ht="35.1" customHeight="1" x14ac:dyDescent="0.3">
      <c r="A35" s="304">
        <f t="shared" si="3"/>
        <v>17</v>
      </c>
      <c r="B35" s="521" t="s">
        <v>396</v>
      </c>
      <c r="C35" s="522">
        <f t="shared" si="2"/>
        <v>0</v>
      </c>
      <c r="D35" s="523"/>
      <c r="E35" s="523">
        <v>0</v>
      </c>
      <c r="F35" s="523">
        <v>0</v>
      </c>
      <c r="G35" s="523">
        <v>0</v>
      </c>
      <c r="H35" s="524"/>
      <c r="I35" s="520" t="s">
        <v>397</v>
      </c>
    </row>
    <row r="36" spans="1:9" ht="35.1" customHeight="1" x14ac:dyDescent="0.3">
      <c r="A36" s="304">
        <f t="shared" si="3"/>
        <v>18</v>
      </c>
      <c r="B36" s="521" t="s">
        <v>398</v>
      </c>
      <c r="C36" s="522">
        <f t="shared" si="2"/>
        <v>-205831</v>
      </c>
      <c r="D36" s="523">
        <v>-205831</v>
      </c>
      <c r="E36" s="523">
        <v>0</v>
      </c>
      <c r="F36" s="523">
        <v>0</v>
      </c>
      <c r="G36" s="523">
        <v>0</v>
      </c>
      <c r="H36" s="524"/>
      <c r="I36" s="520" t="s">
        <v>399</v>
      </c>
    </row>
    <row r="37" spans="1:9" ht="35.1" customHeight="1" x14ac:dyDescent="0.3">
      <c r="A37" s="304">
        <f>+A36+1</f>
        <v>19</v>
      </c>
      <c r="B37" s="521" t="s">
        <v>331</v>
      </c>
      <c r="C37" s="522">
        <f>+C38-SUM(C26:C36)</f>
        <v>2575201</v>
      </c>
      <c r="D37" s="523">
        <f>+C37</f>
        <v>2575201</v>
      </c>
      <c r="E37" s="523">
        <v>0</v>
      </c>
      <c r="F37" s="523">
        <v>0</v>
      </c>
      <c r="G37" s="523">
        <v>0</v>
      </c>
      <c r="H37" s="524"/>
      <c r="I37" s="527" t="s">
        <v>298</v>
      </c>
    </row>
    <row r="38" spans="1:9" ht="35.1" customHeight="1" x14ac:dyDescent="0.3">
      <c r="A38" s="304">
        <f t="shared" si="3"/>
        <v>20</v>
      </c>
      <c r="B38" s="528" t="s">
        <v>299</v>
      </c>
      <c r="C38" s="529">
        <v>5012938</v>
      </c>
      <c r="D38" s="529">
        <f t="shared" ref="D38" si="4">SUM(D26:D37)</f>
        <v>3068934</v>
      </c>
      <c r="E38" s="529">
        <f t="shared" ref="E38:F38" si="5">SUM(E26:E37)</f>
        <v>0</v>
      </c>
      <c r="F38" s="529">
        <f t="shared" si="5"/>
        <v>0</v>
      </c>
      <c r="G38" s="529">
        <f>SUM(G26:G37)</f>
        <v>1944004</v>
      </c>
      <c r="H38" s="529"/>
      <c r="I38" s="530"/>
    </row>
    <row r="39" spans="1:9" ht="35.1" customHeight="1" x14ac:dyDescent="0.3">
      <c r="A39" s="304">
        <f t="shared" si="3"/>
        <v>21</v>
      </c>
      <c r="B39" s="531" t="s">
        <v>300</v>
      </c>
      <c r="C39" s="532">
        <f>SUM(D39:G39)</f>
        <v>11612</v>
      </c>
      <c r="D39" s="532">
        <f>D29</f>
        <v>11612</v>
      </c>
      <c r="E39" s="533">
        <f>E29</f>
        <v>0</v>
      </c>
      <c r="F39" s="534">
        <f>F29</f>
        <v>0</v>
      </c>
      <c r="G39" s="534">
        <f>G29</f>
        <v>0</v>
      </c>
      <c r="H39" s="534"/>
      <c r="I39" s="535" t="str">
        <f>+'1A - ADIT Current Year'!I44</f>
        <v>All FAS 109 items excluded from formula rate</v>
      </c>
    </row>
    <row r="40" spans="1:9" ht="38.25" customHeight="1" thickBot="1" x14ac:dyDescent="0.35">
      <c r="A40" s="304">
        <f>+A39+1</f>
        <v>22</v>
      </c>
      <c r="B40" s="536" t="s">
        <v>69</v>
      </c>
      <c r="C40" s="537">
        <f>+C38-C39</f>
        <v>5001326</v>
      </c>
      <c r="D40" s="537">
        <f t="shared" ref="D40:G40" si="6">+D38-D39</f>
        <v>3057322</v>
      </c>
      <c r="E40" s="537">
        <f t="shared" si="6"/>
        <v>0</v>
      </c>
      <c r="F40" s="537">
        <f t="shared" si="6"/>
        <v>0</v>
      </c>
      <c r="G40" s="537">
        <f t="shared" si="6"/>
        <v>1944004</v>
      </c>
      <c r="H40" s="537"/>
      <c r="I40" s="538"/>
    </row>
    <row r="41" spans="1:9" ht="30" customHeight="1" x14ac:dyDescent="0.3">
      <c r="A41" s="304"/>
      <c r="B41" s="198"/>
      <c r="C41" s="235"/>
      <c r="D41" s="294"/>
      <c r="E41" s="294"/>
      <c r="F41" s="294"/>
      <c r="G41" s="294"/>
      <c r="H41" s="294"/>
      <c r="I41" s="234"/>
    </row>
    <row r="42" spans="1:9" ht="15.75" customHeight="1" x14ac:dyDescent="0.3">
      <c r="A42" s="304"/>
      <c r="B42" s="266" t="s">
        <v>302</v>
      </c>
      <c r="D42" s="297"/>
      <c r="E42" s="270"/>
      <c r="F42" s="304"/>
      <c r="I42" s="269"/>
    </row>
    <row r="43" spans="1:9" x14ac:dyDescent="0.3">
      <c r="A43" s="304"/>
      <c r="B43" s="646" t="s">
        <v>400</v>
      </c>
      <c r="C43" s="646"/>
      <c r="D43" s="646"/>
      <c r="E43" s="646"/>
      <c r="F43" s="646"/>
      <c r="G43" s="646"/>
      <c r="H43" s="646"/>
      <c r="I43" s="646"/>
    </row>
    <row r="44" spans="1:9" x14ac:dyDescent="0.3">
      <c r="A44" s="304"/>
      <c r="B44" s="27" t="s">
        <v>304</v>
      </c>
      <c r="G44" s="304"/>
      <c r="H44" s="304"/>
      <c r="I44" s="304"/>
    </row>
    <row r="45" spans="1:9" x14ac:dyDescent="0.3">
      <c r="A45" s="304"/>
      <c r="B45" s="27" t="s">
        <v>317</v>
      </c>
      <c r="G45" s="304"/>
      <c r="H45" s="304"/>
      <c r="I45" s="304"/>
    </row>
    <row r="46" spans="1:9" x14ac:dyDescent="0.3">
      <c r="A46" s="304"/>
      <c r="B46" s="27" t="s">
        <v>401</v>
      </c>
      <c r="G46" s="304"/>
      <c r="H46" s="304"/>
      <c r="I46" s="304"/>
    </row>
    <row r="47" spans="1:9" ht="15" customHeight="1" x14ac:dyDescent="0.3">
      <c r="A47" s="304"/>
      <c r="B47" s="646" t="s">
        <v>402</v>
      </c>
      <c r="C47" s="646"/>
      <c r="D47" s="646"/>
      <c r="E47" s="646"/>
      <c r="F47" s="646"/>
      <c r="G47" s="646"/>
      <c r="H47" s="646"/>
      <c r="I47" s="646"/>
    </row>
    <row r="48" spans="1:9" x14ac:dyDescent="0.3">
      <c r="A48" s="304"/>
      <c r="B48" s="27" t="s">
        <v>308</v>
      </c>
      <c r="C48" s="304"/>
      <c r="D48" s="267"/>
      <c r="E48" s="304"/>
      <c r="F48" s="304"/>
      <c r="G48" s="304"/>
      <c r="H48" s="304"/>
      <c r="I48" s="268"/>
    </row>
    <row r="49" spans="1:9" x14ac:dyDescent="0.3">
      <c r="A49" s="304"/>
    </row>
    <row r="50" spans="1:9" x14ac:dyDescent="0.3">
      <c r="A50" s="304"/>
      <c r="C50" s="302"/>
      <c r="D50" s="302"/>
      <c r="E50" s="302"/>
      <c r="F50" s="302"/>
      <c r="G50" s="302"/>
      <c r="H50" s="302"/>
      <c r="I50" s="268"/>
    </row>
    <row r="51" spans="1:9" x14ac:dyDescent="0.3">
      <c r="A51" s="304"/>
      <c r="B51" s="645" t="str">
        <f>+B1</f>
        <v>Dayton Power and Light</v>
      </c>
      <c r="C51" s="647"/>
      <c r="D51" s="647"/>
      <c r="E51" s="647"/>
      <c r="F51" s="647"/>
      <c r="G51" s="647"/>
      <c r="H51" s="647"/>
      <c r="I51" s="647"/>
    </row>
    <row r="52" spans="1:9" x14ac:dyDescent="0.3">
      <c r="A52" s="304"/>
      <c r="B52" s="645" t="str">
        <f>+B2</f>
        <v xml:space="preserve">ATTACHMENT H-15A </v>
      </c>
      <c r="C52" s="645"/>
      <c r="D52" s="645"/>
      <c r="E52" s="645"/>
      <c r="F52" s="645"/>
      <c r="G52" s="645"/>
      <c r="H52" s="645"/>
      <c r="I52" s="645"/>
    </row>
    <row r="53" spans="1:9" x14ac:dyDescent="0.3">
      <c r="A53" s="304"/>
      <c r="B53" s="645" t="str">
        <f>+B3</f>
        <v>Attachment 1C - Accumulated Deferred Income Taxes (ADIT) Worksheet - December 31 of Prior Year</v>
      </c>
      <c r="C53" s="645"/>
      <c r="D53" s="645"/>
      <c r="E53" s="645"/>
      <c r="F53" s="645"/>
      <c r="G53" s="645"/>
      <c r="H53" s="645"/>
      <c r="I53" s="645"/>
    </row>
    <row r="54" spans="1:9" x14ac:dyDescent="0.3">
      <c r="A54" s="304"/>
      <c r="B54" s="649"/>
      <c r="C54" s="649"/>
      <c r="D54" s="649"/>
      <c r="E54" s="649"/>
      <c r="F54" s="649"/>
      <c r="G54" s="649"/>
      <c r="H54" s="649"/>
      <c r="I54" s="649"/>
    </row>
    <row r="55" spans="1:9" ht="25.15" customHeight="1" x14ac:dyDescent="0.3">
      <c r="A55" s="304"/>
      <c r="B55" s="302" t="s">
        <v>209</v>
      </c>
      <c r="C55" s="302" t="s">
        <v>211</v>
      </c>
      <c r="D55" s="302" t="s">
        <v>213</v>
      </c>
      <c r="E55" s="302" t="s">
        <v>215</v>
      </c>
      <c r="F55" s="302" t="s">
        <v>217</v>
      </c>
      <c r="G55" s="302" t="s">
        <v>219</v>
      </c>
      <c r="H55" s="302"/>
      <c r="I55" s="299"/>
    </row>
    <row r="56" spans="1:9" ht="25.15" customHeight="1" x14ac:dyDescent="0.3">
      <c r="A56" s="304"/>
      <c r="B56" s="266"/>
      <c r="C56" s="300" t="s">
        <v>69</v>
      </c>
      <c r="D56" s="300"/>
      <c r="E56" s="300" t="s">
        <v>258</v>
      </c>
      <c r="F56" s="300"/>
      <c r="G56" s="300"/>
      <c r="H56" s="300"/>
      <c r="I56" s="366"/>
    </row>
    <row r="57" spans="1:9" ht="26.45" customHeight="1" x14ac:dyDescent="0.3">
      <c r="A57" s="304"/>
      <c r="B57" s="292" t="s">
        <v>310</v>
      </c>
      <c r="C57" s="300"/>
      <c r="D57" s="300"/>
      <c r="E57" s="300" t="s">
        <v>58</v>
      </c>
      <c r="F57" s="300" t="s">
        <v>259</v>
      </c>
      <c r="G57" s="300" t="s">
        <v>260</v>
      </c>
      <c r="H57" s="300"/>
      <c r="I57" s="366"/>
    </row>
    <row r="58" spans="1:9" ht="22.15" customHeight="1" thickBot="1" x14ac:dyDescent="0.35">
      <c r="A58" s="304"/>
      <c r="C58" s="300"/>
      <c r="D58" s="300" t="str">
        <f>+D25</f>
        <v>Excluded</v>
      </c>
      <c r="E58" s="300" t="s">
        <v>261</v>
      </c>
      <c r="F58" s="300" t="s">
        <v>261</v>
      </c>
      <c r="G58" s="300" t="s">
        <v>261</v>
      </c>
      <c r="H58" s="300"/>
      <c r="I58" s="302" t="s">
        <v>403</v>
      </c>
    </row>
    <row r="59" spans="1:9" ht="27.6" customHeight="1" x14ac:dyDescent="0.3">
      <c r="A59" s="304">
        <f>+A40+1</f>
        <v>23</v>
      </c>
      <c r="B59" s="265" t="s">
        <v>311</v>
      </c>
      <c r="C59" s="517">
        <f>+SUM(D59:G59)</f>
        <v>0</v>
      </c>
      <c r="D59" s="517">
        <v>0</v>
      </c>
      <c r="E59" s="517">
        <v>0</v>
      </c>
      <c r="F59" s="517">
        <v>0</v>
      </c>
      <c r="G59" s="517">
        <v>0</v>
      </c>
      <c r="H59" s="232"/>
      <c r="I59" s="255" t="s">
        <v>404</v>
      </c>
    </row>
    <row r="60" spans="1:9" ht="52.5" customHeight="1" x14ac:dyDescent="0.3">
      <c r="A60" s="304">
        <f>+A59+1</f>
        <v>24</v>
      </c>
      <c r="B60" s="286" t="s">
        <v>313</v>
      </c>
      <c r="C60" s="522">
        <f>+SUM(D60:G60)</f>
        <v>-10585316</v>
      </c>
      <c r="D60" s="522">
        <v>2028184</v>
      </c>
      <c r="E60" s="522">
        <v>-8220708</v>
      </c>
      <c r="F60" s="522">
        <v>0</v>
      </c>
      <c r="G60" s="522">
        <v>-4392792</v>
      </c>
      <c r="H60" s="284"/>
      <c r="I60" s="262" t="s">
        <v>314</v>
      </c>
    </row>
    <row r="61" spans="1:9" ht="35.1" customHeight="1" thickBot="1" x14ac:dyDescent="0.35">
      <c r="A61" s="304">
        <f>+A60+1</f>
        <v>25</v>
      </c>
      <c r="B61" s="273" t="s">
        <v>69</v>
      </c>
      <c r="C61" s="272">
        <f>+SUM(C59:C60)</f>
        <v>-10585316</v>
      </c>
      <c r="D61" s="272">
        <f t="shared" ref="D61:G61" si="7">+SUM(D59:D60)</f>
        <v>2028184</v>
      </c>
      <c r="E61" s="272">
        <f t="shared" si="7"/>
        <v>-8220708</v>
      </c>
      <c r="F61" s="272">
        <f t="shared" si="7"/>
        <v>0</v>
      </c>
      <c r="G61" s="272">
        <f t="shared" si="7"/>
        <v>-4392792</v>
      </c>
      <c r="H61" s="272"/>
      <c r="I61" s="271"/>
    </row>
    <row r="62" spans="1:9" ht="23.45" customHeight="1" x14ac:dyDescent="0.3">
      <c r="A62" s="304"/>
      <c r="B62" s="266" t="s">
        <v>315</v>
      </c>
      <c r="C62" s="198"/>
      <c r="D62" s="198"/>
      <c r="E62" s="302"/>
      <c r="F62" s="118"/>
      <c r="H62" s="198"/>
      <c r="I62" s="234"/>
    </row>
    <row r="63" spans="1:9" ht="23.45" customHeight="1" x14ac:dyDescent="0.3">
      <c r="A63" s="304"/>
      <c r="B63" s="27" t="s">
        <v>316</v>
      </c>
      <c r="C63" s="198"/>
      <c r="D63" s="198"/>
      <c r="E63" s="198"/>
      <c r="F63" s="198"/>
      <c r="G63" s="302"/>
      <c r="H63" s="302"/>
      <c r="I63" s="302"/>
    </row>
    <row r="64" spans="1:9" x14ac:dyDescent="0.3">
      <c r="A64" s="304"/>
      <c r="B64" s="27" t="s">
        <v>304</v>
      </c>
      <c r="C64" s="198"/>
      <c r="D64" s="198"/>
      <c r="E64" s="198"/>
      <c r="F64" s="198"/>
      <c r="G64" s="302"/>
      <c r="H64" s="302"/>
      <c r="I64" s="302"/>
    </row>
    <row r="65" spans="1:9" ht="18" customHeight="1" x14ac:dyDescent="0.3">
      <c r="A65" s="304"/>
      <c r="B65" s="27" t="s">
        <v>317</v>
      </c>
      <c r="C65" s="198"/>
      <c r="D65" s="198"/>
      <c r="E65" s="198"/>
      <c r="F65" s="198"/>
      <c r="G65" s="302"/>
      <c r="H65" s="302"/>
      <c r="I65" s="302"/>
    </row>
    <row r="66" spans="1:9" ht="18" customHeight="1" x14ac:dyDescent="0.3">
      <c r="A66" s="304"/>
      <c r="B66" s="27" t="s">
        <v>318</v>
      </c>
      <c r="C66" s="198"/>
      <c r="D66" s="198"/>
      <c r="E66" s="198"/>
      <c r="F66" s="198"/>
      <c r="G66" s="302"/>
      <c r="H66" s="302"/>
      <c r="I66" s="302"/>
    </row>
    <row r="67" spans="1:9" x14ac:dyDescent="0.3">
      <c r="A67" s="304"/>
      <c r="B67" s="646" t="s">
        <v>402</v>
      </c>
      <c r="C67" s="646"/>
      <c r="D67" s="646"/>
      <c r="E67" s="646"/>
      <c r="F67" s="646"/>
      <c r="G67" s="646"/>
      <c r="H67" s="646"/>
      <c r="I67" s="646"/>
    </row>
    <row r="68" spans="1:9" x14ac:dyDescent="0.3">
      <c r="A68" s="304"/>
      <c r="B68" s="27" t="s">
        <v>308</v>
      </c>
      <c r="C68" s="304"/>
      <c r="D68" s="267"/>
      <c r="E68" s="304"/>
      <c r="F68" s="304"/>
      <c r="G68" s="304"/>
      <c r="H68" s="304"/>
      <c r="I68" s="268"/>
    </row>
    <row r="69" spans="1:9" x14ac:dyDescent="0.3">
      <c r="A69" s="304"/>
      <c r="B69" s="302"/>
    </row>
    <row r="70" spans="1:9" x14ac:dyDescent="0.3">
      <c r="A70" s="304"/>
      <c r="B70" s="261" t="str">
        <f>B1</f>
        <v>Dayton Power and Light</v>
      </c>
      <c r="C70" s="260"/>
      <c r="D70" s="260"/>
      <c r="E70" s="260"/>
      <c r="F70" s="260"/>
      <c r="G70" s="260"/>
      <c r="H70" s="260"/>
      <c r="I70" s="260"/>
    </row>
    <row r="71" spans="1:9" x14ac:dyDescent="0.3">
      <c r="A71" s="304"/>
      <c r="B71" s="645" t="str">
        <f>+B52</f>
        <v xml:space="preserve">ATTACHMENT H-15A </v>
      </c>
      <c r="C71" s="645"/>
      <c r="D71" s="645"/>
      <c r="E71" s="645"/>
      <c r="F71" s="645"/>
      <c r="G71" s="645"/>
      <c r="H71" s="645"/>
      <c r="I71" s="645"/>
    </row>
    <row r="72" spans="1:9" x14ac:dyDescent="0.3">
      <c r="A72" s="304"/>
      <c r="B72" s="645" t="str">
        <f>+B3</f>
        <v>Attachment 1C - Accumulated Deferred Income Taxes (ADIT) Worksheet - December 31 of Prior Year</v>
      </c>
      <c r="C72" s="645"/>
      <c r="D72" s="645"/>
      <c r="E72" s="645"/>
      <c r="F72" s="645"/>
      <c r="G72" s="645"/>
      <c r="H72" s="645"/>
      <c r="I72" s="645"/>
    </row>
    <row r="73" spans="1:9" ht="20.100000000000001" customHeight="1" x14ac:dyDescent="0.3">
      <c r="A73" s="304"/>
      <c r="G73" s="292"/>
      <c r="H73" s="292"/>
      <c r="I73" s="233"/>
    </row>
    <row r="74" spans="1:9" ht="36.75" customHeight="1" x14ac:dyDescent="0.3">
      <c r="A74" s="304"/>
      <c r="B74" s="302" t="s">
        <v>209</v>
      </c>
      <c r="C74" s="302" t="s">
        <v>211</v>
      </c>
      <c r="D74" s="302" t="s">
        <v>213</v>
      </c>
      <c r="E74" s="302" t="s">
        <v>215</v>
      </c>
      <c r="F74" s="302" t="s">
        <v>217</v>
      </c>
      <c r="G74" s="302" t="s">
        <v>219</v>
      </c>
      <c r="H74" s="302"/>
      <c r="I74" s="302" t="s">
        <v>221</v>
      </c>
    </row>
    <row r="75" spans="1:9" ht="33.75" customHeight="1" x14ac:dyDescent="0.3">
      <c r="A75" s="304"/>
      <c r="B75" s="292" t="s">
        <v>319</v>
      </c>
      <c r="C75" s="300" t="s">
        <v>69</v>
      </c>
      <c r="D75" s="259"/>
      <c r="E75" s="259" t="s">
        <v>405</v>
      </c>
      <c r="F75" s="259" t="s">
        <v>259</v>
      </c>
      <c r="G75" s="259" t="s">
        <v>260</v>
      </c>
      <c r="H75" s="302"/>
    </row>
    <row r="76" spans="1:9" ht="36" customHeight="1" thickBot="1" x14ac:dyDescent="0.35">
      <c r="A76" s="304"/>
      <c r="C76" s="300"/>
      <c r="D76" s="300" t="str">
        <f>+D58</f>
        <v>Excluded</v>
      </c>
      <c r="E76" s="300" t="str">
        <f>+E58</f>
        <v>Related</v>
      </c>
      <c r="F76" s="300" t="str">
        <f>+F58</f>
        <v>Related</v>
      </c>
      <c r="G76" s="300" t="str">
        <f>+G58</f>
        <v>Related</v>
      </c>
      <c r="H76" s="302"/>
    </row>
    <row r="77" spans="1:9" ht="30.75" customHeight="1" x14ac:dyDescent="0.3">
      <c r="A77" s="304">
        <f>+A61+1</f>
        <v>26</v>
      </c>
      <c r="B77" s="290" t="s">
        <v>320</v>
      </c>
      <c r="C77" s="517">
        <f>+SUM(D77:G77)</f>
        <v>0</v>
      </c>
      <c r="D77" s="517">
        <v>0</v>
      </c>
      <c r="E77" s="517">
        <v>0</v>
      </c>
      <c r="F77" s="517">
        <v>0</v>
      </c>
      <c r="G77" s="517"/>
      <c r="H77" s="264"/>
      <c r="I77" s="258" t="s">
        <v>321</v>
      </c>
    </row>
    <row r="78" spans="1:9" ht="43.5" customHeight="1" x14ac:dyDescent="0.3">
      <c r="A78" s="304">
        <f>+A77+1</f>
        <v>27</v>
      </c>
      <c r="B78" s="286" t="s">
        <v>322</v>
      </c>
      <c r="C78" s="522">
        <f>+SUM(D78:G78)</f>
        <v>-385279</v>
      </c>
      <c r="D78" s="522">
        <v>-385279</v>
      </c>
      <c r="E78" s="522">
        <v>0</v>
      </c>
      <c r="F78" s="522">
        <v>0</v>
      </c>
      <c r="G78" s="522">
        <v>0</v>
      </c>
      <c r="H78" s="284"/>
      <c r="I78" s="288" t="s">
        <v>323</v>
      </c>
    </row>
    <row r="79" spans="1:9" ht="40.5" customHeight="1" x14ac:dyDescent="0.3">
      <c r="A79" s="304">
        <f t="shared" ref="A79:A87" si="8">+A78+1</f>
        <v>28</v>
      </c>
      <c r="B79" s="286" t="s">
        <v>324</v>
      </c>
      <c r="C79" s="522">
        <f t="shared" ref="C79:C83" si="9">+SUM(D79:G79)</f>
        <v>-16926760</v>
      </c>
      <c r="D79" s="522">
        <v>-16926760</v>
      </c>
      <c r="E79" s="522">
        <v>0</v>
      </c>
      <c r="F79" s="522">
        <v>0</v>
      </c>
      <c r="G79" s="522">
        <v>0</v>
      </c>
      <c r="H79" s="284"/>
      <c r="I79" s="288" t="s">
        <v>325</v>
      </c>
    </row>
    <row r="80" spans="1:9" s="230" customFormat="1" ht="60.75" customHeight="1" x14ac:dyDescent="0.3">
      <c r="A80" s="248">
        <f t="shared" si="8"/>
        <v>29</v>
      </c>
      <c r="B80" s="231" t="s">
        <v>406</v>
      </c>
      <c r="C80" s="522">
        <f t="shared" si="9"/>
        <v>-22843062</v>
      </c>
      <c r="D80" s="522">
        <v>-22843062</v>
      </c>
      <c r="E80" s="522">
        <v>0</v>
      </c>
      <c r="F80" s="522">
        <v>0</v>
      </c>
      <c r="G80" s="522">
        <v>0</v>
      </c>
      <c r="H80" s="284"/>
      <c r="I80" s="288" t="s">
        <v>327</v>
      </c>
    </row>
    <row r="81" spans="1:9" ht="25.15" customHeight="1" x14ac:dyDescent="0.3">
      <c r="A81" s="304">
        <f t="shared" si="8"/>
        <v>30</v>
      </c>
      <c r="B81" s="283" t="s">
        <v>328</v>
      </c>
      <c r="C81" s="522">
        <f t="shared" si="9"/>
        <v>9229225</v>
      </c>
      <c r="D81" s="522">
        <v>0</v>
      </c>
      <c r="E81" s="522">
        <v>0</v>
      </c>
      <c r="F81" s="522">
        <v>9229225</v>
      </c>
      <c r="G81" s="522">
        <v>0</v>
      </c>
      <c r="H81" s="284"/>
      <c r="I81" s="282" t="s">
        <v>283</v>
      </c>
    </row>
    <row r="82" spans="1:9" ht="25.15" customHeight="1" x14ac:dyDescent="0.3">
      <c r="A82" s="304">
        <f t="shared" si="8"/>
        <v>31</v>
      </c>
      <c r="B82" s="286" t="s">
        <v>329</v>
      </c>
      <c r="C82" s="522">
        <f t="shared" si="9"/>
        <v>914031</v>
      </c>
      <c r="D82" s="522">
        <v>0</v>
      </c>
      <c r="E82" s="522">
        <v>0</v>
      </c>
      <c r="F82" s="522">
        <v>0</v>
      </c>
      <c r="G82" s="522">
        <v>914031</v>
      </c>
      <c r="H82" s="284"/>
      <c r="I82" s="288" t="s">
        <v>330</v>
      </c>
    </row>
    <row r="83" spans="1:9" ht="25.15" customHeight="1" thickBot="1" x14ac:dyDescent="0.35">
      <c r="A83" s="304">
        <f>+A82+1</f>
        <v>32</v>
      </c>
      <c r="B83" s="286" t="s">
        <v>331</v>
      </c>
      <c r="C83" s="522">
        <f t="shared" si="9"/>
        <v>11384094</v>
      </c>
      <c r="D83" s="522">
        <v>11384094</v>
      </c>
      <c r="E83" s="522">
        <v>0</v>
      </c>
      <c r="F83" s="522">
        <v>0</v>
      </c>
      <c r="G83" s="522">
        <v>0</v>
      </c>
      <c r="H83" s="284"/>
      <c r="I83" s="288" t="s">
        <v>407</v>
      </c>
    </row>
    <row r="84" spans="1:9" ht="35.1" customHeight="1" x14ac:dyDescent="0.3">
      <c r="A84" s="304">
        <f t="shared" si="8"/>
        <v>33</v>
      </c>
      <c r="B84" s="257" t="s">
        <v>333</v>
      </c>
      <c r="C84" s="256">
        <f>SUM(C77:C83)</f>
        <v>-18627751</v>
      </c>
      <c r="D84" s="256">
        <f t="shared" ref="D84:G84" si="10">SUM(D77:D83)</f>
        <v>-28771007</v>
      </c>
      <c r="E84" s="256">
        <f t="shared" si="10"/>
        <v>0</v>
      </c>
      <c r="F84" s="256">
        <f>SUM(F77:F83)</f>
        <v>9229225</v>
      </c>
      <c r="G84" s="256">
        <f t="shared" si="10"/>
        <v>914031</v>
      </c>
      <c r="H84" s="256"/>
      <c r="I84" s="255"/>
    </row>
    <row r="85" spans="1:9" x14ac:dyDescent="0.3">
      <c r="A85" s="304">
        <f t="shared" si="8"/>
        <v>34</v>
      </c>
      <c r="B85" s="254" t="s">
        <v>334</v>
      </c>
      <c r="C85" s="277">
        <f>+C81</f>
        <v>9229225</v>
      </c>
      <c r="D85" s="277">
        <f>+D81</f>
        <v>0</v>
      </c>
      <c r="E85" s="277">
        <f>+E81</f>
        <v>0</v>
      </c>
      <c r="F85" s="277">
        <f>+F81</f>
        <v>9229225</v>
      </c>
      <c r="G85" s="277">
        <f>+G81</f>
        <v>0</v>
      </c>
      <c r="H85" s="284"/>
      <c r="I85" s="274"/>
    </row>
    <row r="86" spans="1:9" x14ac:dyDescent="0.3">
      <c r="A86" s="304">
        <f t="shared" si="8"/>
        <v>35</v>
      </c>
      <c r="B86" s="253" t="s">
        <v>335</v>
      </c>
      <c r="C86" s="252">
        <f>+C78</f>
        <v>-385279</v>
      </c>
      <c r="D86" s="252">
        <f>+D78</f>
        <v>-385279</v>
      </c>
      <c r="E86" s="252">
        <f>+E78</f>
        <v>0</v>
      </c>
      <c r="F86" s="252">
        <f>+F78</f>
        <v>0</v>
      </c>
      <c r="G86" s="252">
        <f>+G78</f>
        <v>0</v>
      </c>
      <c r="H86" s="229"/>
      <c r="I86" s="251" t="s">
        <v>336</v>
      </c>
    </row>
    <row r="87" spans="1:9" ht="35.1" customHeight="1" thickBot="1" x14ac:dyDescent="0.35">
      <c r="A87" s="304">
        <f t="shared" si="8"/>
        <v>36</v>
      </c>
      <c r="B87" s="273" t="s">
        <v>69</v>
      </c>
      <c r="C87" s="272">
        <f>+C84-C85-C86</f>
        <v>-27471697</v>
      </c>
      <c r="D87" s="272">
        <f t="shared" ref="D87:G87" si="11">+D84-D85-D86</f>
        <v>-28385728</v>
      </c>
      <c r="E87" s="272">
        <f t="shared" si="11"/>
        <v>0</v>
      </c>
      <c r="F87" s="272">
        <f t="shared" si="11"/>
        <v>0</v>
      </c>
      <c r="G87" s="272">
        <f t="shared" si="11"/>
        <v>914031</v>
      </c>
      <c r="H87" s="272"/>
      <c r="I87" s="271"/>
    </row>
    <row r="88" spans="1:9" ht="28.15" customHeight="1" x14ac:dyDescent="0.3">
      <c r="A88" s="304"/>
      <c r="B88" s="266" t="s">
        <v>337</v>
      </c>
      <c r="E88" s="304"/>
      <c r="F88" s="304"/>
      <c r="I88" s="250"/>
    </row>
    <row r="89" spans="1:9" ht="19.149999999999999" customHeight="1" x14ac:dyDescent="0.3">
      <c r="A89" s="304"/>
      <c r="B89" s="27" t="str">
        <f>+B63</f>
        <v>1.  ADIT items related only to Non-Electric Operations or Production are directly assigned to Column C</v>
      </c>
      <c r="C89" s="198"/>
      <c r="D89" s="198"/>
      <c r="E89" s="198"/>
      <c r="F89" s="198"/>
      <c r="G89" s="302"/>
      <c r="H89" s="302"/>
      <c r="I89" s="302"/>
    </row>
    <row r="90" spans="1:9" ht="18.600000000000001" customHeight="1" x14ac:dyDescent="0.3">
      <c r="A90" s="304"/>
      <c r="B90" s="27" t="s">
        <v>304</v>
      </c>
      <c r="C90" s="198"/>
      <c r="D90" s="198"/>
      <c r="E90" s="198"/>
      <c r="F90" s="198"/>
      <c r="G90" s="302"/>
      <c r="H90" s="302"/>
      <c r="I90" s="302"/>
    </row>
    <row r="91" spans="1:9" ht="15" customHeight="1" x14ac:dyDescent="0.3">
      <c r="A91" s="304"/>
      <c r="B91" s="27" t="s">
        <v>317</v>
      </c>
      <c r="C91" s="198"/>
      <c r="D91" s="198"/>
      <c r="E91" s="198"/>
      <c r="F91" s="198"/>
      <c r="G91" s="302"/>
      <c r="H91" s="302"/>
      <c r="I91" s="302"/>
    </row>
    <row r="92" spans="1:9" x14ac:dyDescent="0.3">
      <c r="A92" s="304"/>
      <c r="B92" s="27" t="s">
        <v>318</v>
      </c>
      <c r="C92" s="198"/>
      <c r="D92" s="198"/>
      <c r="E92" s="198"/>
      <c r="F92" s="198"/>
      <c r="G92" s="302"/>
      <c r="H92" s="302"/>
      <c r="I92" s="302"/>
    </row>
    <row r="93" spans="1:9" ht="15.75" customHeight="1" x14ac:dyDescent="0.3">
      <c r="A93" s="304"/>
      <c r="B93" s="646" t="s">
        <v>402</v>
      </c>
      <c r="C93" s="646"/>
      <c r="D93" s="646"/>
      <c r="E93" s="646"/>
      <c r="F93" s="646"/>
      <c r="G93" s="646"/>
      <c r="H93" s="646"/>
      <c r="I93" s="646"/>
    </row>
    <row r="94" spans="1:9" ht="15.75" customHeight="1" x14ac:dyDescent="0.3">
      <c r="A94" s="304"/>
      <c r="B94" s="27" t="s">
        <v>308</v>
      </c>
      <c r="C94" s="304"/>
      <c r="D94" s="267"/>
      <c r="E94" s="304"/>
      <c r="F94" s="304"/>
      <c r="G94" s="304"/>
      <c r="H94" s="304"/>
      <c r="I94" s="268"/>
    </row>
    <row r="95" spans="1:9" x14ac:dyDescent="0.3">
      <c r="A95" s="304"/>
      <c r="C95" s="260"/>
      <c r="D95" s="260"/>
      <c r="E95" s="260"/>
      <c r="F95" s="260"/>
      <c r="G95" s="260"/>
      <c r="H95" s="260"/>
      <c r="I95" s="260"/>
    </row>
    <row r="96" spans="1:9" x14ac:dyDescent="0.3">
      <c r="A96" s="304"/>
      <c r="B96" s="645"/>
      <c r="C96" s="645"/>
      <c r="D96" s="645"/>
      <c r="E96" s="645"/>
      <c r="F96" s="645"/>
      <c r="G96" s="645"/>
      <c r="H96" s="645"/>
      <c r="I96" s="645"/>
    </row>
    <row r="97" spans="1:9" x14ac:dyDescent="0.3">
      <c r="A97" s="304"/>
      <c r="B97" s="266"/>
    </row>
    <row r="98" spans="1:9" x14ac:dyDescent="0.3">
      <c r="A98" s="304"/>
      <c r="B98" s="266"/>
    </row>
    <row r="99" spans="1:9" x14ac:dyDescent="0.3">
      <c r="A99" s="304"/>
      <c r="B99" s="266"/>
    </row>
    <row r="100" spans="1:9" x14ac:dyDescent="0.3">
      <c r="A100" s="304"/>
      <c r="B100" s="198"/>
      <c r="D100" s="249"/>
      <c r="E100" s="249"/>
      <c r="F100" s="249"/>
      <c r="G100" s="249"/>
      <c r="H100" s="249"/>
      <c r="I100" s="249"/>
    </row>
    <row r="101" spans="1:9" x14ac:dyDescent="0.3">
      <c r="B101" s="198"/>
      <c r="D101" s="249"/>
      <c r="E101" s="249"/>
      <c r="F101" s="249"/>
      <c r="G101" s="249"/>
      <c r="H101" s="249"/>
      <c r="I101" s="249"/>
    </row>
    <row r="102" spans="1:9" x14ac:dyDescent="0.3">
      <c r="D102" s="304"/>
      <c r="E102" s="304"/>
    </row>
    <row r="103" spans="1:9" x14ac:dyDescent="0.3">
      <c r="D103" s="263"/>
      <c r="E103" s="263"/>
    </row>
    <row r="104" spans="1:9" x14ac:dyDescent="0.3">
      <c r="D104" s="263"/>
      <c r="E104" s="263"/>
    </row>
    <row r="105" spans="1:9" x14ac:dyDescent="0.3">
      <c r="D105" s="263"/>
      <c r="E105" s="263"/>
    </row>
    <row r="106" spans="1:9" x14ac:dyDescent="0.3">
      <c r="D106" s="263"/>
      <c r="E106" s="263"/>
    </row>
    <row r="107" spans="1:9" x14ac:dyDescent="0.3">
      <c r="D107" s="263"/>
      <c r="E107" s="263"/>
    </row>
    <row r="108" spans="1:9" x14ac:dyDescent="0.3">
      <c r="D108" s="263"/>
      <c r="E108" s="263"/>
    </row>
    <row r="109" spans="1:9" x14ac:dyDescent="0.3">
      <c r="D109" s="263"/>
      <c r="E109" s="263"/>
    </row>
    <row r="110" spans="1:9" x14ac:dyDescent="0.3">
      <c r="D110" s="263"/>
      <c r="E110" s="263"/>
    </row>
    <row r="111" spans="1:9" x14ac:dyDescent="0.3">
      <c r="D111" s="263"/>
      <c r="E111" s="263"/>
    </row>
    <row r="112" spans="1:9" x14ac:dyDescent="0.3">
      <c r="D112" s="263"/>
      <c r="E112" s="263"/>
    </row>
    <row r="113" spans="2:5" x14ac:dyDescent="0.3">
      <c r="B113" s="266"/>
      <c r="D113" s="263"/>
      <c r="E113" s="263"/>
    </row>
    <row r="114" spans="2:5" x14ac:dyDescent="0.3">
      <c r="D114" s="263"/>
      <c r="E114" s="263"/>
    </row>
    <row r="115" spans="2:5" x14ac:dyDescent="0.3">
      <c r="B115" s="266"/>
      <c r="D115" s="263"/>
      <c r="E115" s="263"/>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sheetPr>
    <tabColor theme="0" tint="-4.9989318521683403E-2"/>
  </sheetPr>
  <dimension ref="A2:W52"/>
  <sheetViews>
    <sheetView zoomScale="70" zoomScaleNormal="70" workbookViewId="0">
      <selection activeCell="L34" sqref="L34"/>
    </sheetView>
  </sheetViews>
  <sheetFormatPr defaultColWidth="9.140625" defaultRowHeight="20.25" x14ac:dyDescent="0.3"/>
  <cols>
    <col min="1" max="1" width="6.28515625" style="266" customWidth="1"/>
    <col min="2" max="2" width="25.7109375" style="266" customWidth="1"/>
    <col min="3" max="3" width="13.28515625" style="266" customWidth="1"/>
    <col min="4" max="4" width="13.5703125" style="266" customWidth="1"/>
    <col min="5" max="5" width="15.28515625" style="266" customWidth="1"/>
    <col min="6" max="6" width="17.140625" style="266" customWidth="1"/>
    <col min="7" max="7" width="13.42578125" style="266" customWidth="1"/>
    <col min="8" max="8" width="13.85546875" style="266" customWidth="1"/>
    <col min="9" max="9" width="15.28515625" style="266" customWidth="1"/>
    <col min="10" max="10" width="24.5703125" style="266" customWidth="1"/>
    <col min="11" max="11" width="4.7109375" style="266" customWidth="1"/>
    <col min="12" max="12" width="21.85546875" style="266" customWidth="1"/>
    <col min="13" max="13" width="16.7109375" style="266" customWidth="1"/>
    <col min="14" max="14" width="18.28515625" style="266" customWidth="1"/>
    <col min="15" max="15" width="19.7109375" style="266" customWidth="1"/>
    <col min="16" max="16" width="24.85546875" style="266" customWidth="1"/>
    <col min="17" max="17" width="26.28515625" style="266" customWidth="1"/>
    <col min="18" max="19" width="9.140625" style="266"/>
    <col min="20" max="20" width="19.85546875" style="266" customWidth="1"/>
    <col min="21" max="21" width="18.42578125" style="266" bestFit="1" customWidth="1"/>
    <col min="22" max="22" width="11.7109375" style="266" bestFit="1" customWidth="1"/>
    <col min="23" max="23" width="18.42578125" style="266" bestFit="1" customWidth="1"/>
    <col min="24" max="16384" width="9.140625" style="266"/>
  </cols>
  <sheetData>
    <row r="2" spans="1:17" x14ac:dyDescent="0.3">
      <c r="I2" s="302" t="str">
        <f>+'Appendix A'!A3</f>
        <v>Dayton Power and Light</v>
      </c>
    </row>
    <row r="3" spans="1:17" x14ac:dyDescent="0.3">
      <c r="I3" s="302" t="str">
        <f>+'Appendix A'!A4</f>
        <v>ATTACHMENT H-15A, Effective April 17, 2024; Docket No. ER24-1268</v>
      </c>
    </row>
    <row r="4" spans="1:17" x14ac:dyDescent="0.3">
      <c r="E4" s="230"/>
      <c r="F4" s="230"/>
      <c r="G4" s="230"/>
      <c r="H4" s="230"/>
      <c r="I4" s="301" t="s">
        <v>408</v>
      </c>
      <c r="J4" s="301"/>
      <c r="K4" s="301"/>
      <c r="L4" s="301"/>
      <c r="M4" s="301"/>
      <c r="N4" s="302"/>
      <c r="O4" s="302"/>
    </row>
    <row r="5" spans="1:17" x14ac:dyDescent="0.3">
      <c r="B5" s="266" t="s">
        <v>409</v>
      </c>
      <c r="C5" s="298"/>
      <c r="D5" s="298"/>
      <c r="E5" s="298"/>
      <c r="I5" s="302" t="s">
        <v>410</v>
      </c>
      <c r="Q5" s="299"/>
    </row>
    <row r="7" spans="1:17" x14ac:dyDescent="0.3">
      <c r="B7" s="266" t="s">
        <v>411</v>
      </c>
    </row>
    <row r="10" spans="1:17" x14ac:dyDescent="0.3">
      <c r="A10" s="228"/>
      <c r="B10" s="227" t="s">
        <v>412</v>
      </c>
      <c r="C10" s="228"/>
      <c r="D10" s="228"/>
      <c r="E10" s="228"/>
      <c r="F10" s="228"/>
      <c r="G10" s="228"/>
      <c r="H10" s="228"/>
      <c r="I10" s="228"/>
      <c r="J10" s="228"/>
      <c r="K10" s="228"/>
      <c r="L10" s="227"/>
      <c r="M10" s="228"/>
      <c r="N10" s="228"/>
      <c r="O10" s="228"/>
      <c r="P10" s="228"/>
      <c r="Q10" s="228"/>
    </row>
    <row r="11" spans="1:17" x14ac:dyDescent="0.3">
      <c r="A11" s="228"/>
      <c r="B11" s="650" t="s">
        <v>413</v>
      </c>
      <c r="C11" s="651"/>
      <c r="D11" s="651"/>
      <c r="E11" s="651"/>
      <c r="F11" s="652"/>
      <c r="G11" s="226"/>
      <c r="H11" s="653" t="s">
        <v>414</v>
      </c>
      <c r="I11" s="654"/>
      <c r="J11" s="655"/>
      <c r="K11" s="225"/>
      <c r="L11" s="656" t="s">
        <v>415</v>
      </c>
      <c r="M11" s="657"/>
      <c r="N11" s="657"/>
      <c r="O11" s="657"/>
      <c r="P11" s="657"/>
      <c r="Q11" s="657"/>
    </row>
    <row r="12" spans="1:17" x14ac:dyDescent="0.3">
      <c r="A12" s="228"/>
      <c r="B12" s="224" t="s">
        <v>209</v>
      </c>
      <c r="C12" s="224" t="s">
        <v>211</v>
      </c>
      <c r="D12" s="224" t="s">
        <v>213</v>
      </c>
      <c r="E12" s="224" t="s">
        <v>215</v>
      </c>
      <c r="F12" s="224" t="s">
        <v>217</v>
      </c>
      <c r="G12" s="226"/>
      <c r="H12" s="224" t="s">
        <v>219</v>
      </c>
      <c r="I12" s="224" t="s">
        <v>221</v>
      </c>
      <c r="J12" s="224" t="s">
        <v>223</v>
      </c>
      <c r="K12" s="223"/>
      <c r="L12" s="222" t="s">
        <v>225</v>
      </c>
      <c r="M12" s="222" t="s">
        <v>227</v>
      </c>
      <c r="N12" s="222" t="s">
        <v>229</v>
      </c>
      <c r="O12" s="222" t="s">
        <v>231</v>
      </c>
      <c r="P12" s="222" t="s">
        <v>233</v>
      </c>
      <c r="Q12" s="222" t="s">
        <v>235</v>
      </c>
    </row>
    <row r="13" spans="1:17" ht="263.25" x14ac:dyDescent="0.3">
      <c r="A13" s="228"/>
      <c r="B13" s="221" t="s">
        <v>416</v>
      </c>
      <c r="C13" s="221" t="s">
        <v>364</v>
      </c>
      <c r="D13" s="221" t="s">
        <v>417</v>
      </c>
      <c r="E13" s="221" t="s">
        <v>418</v>
      </c>
      <c r="F13" s="221" t="s">
        <v>419</v>
      </c>
      <c r="G13" s="220"/>
      <c r="H13" s="221" t="s">
        <v>420</v>
      </c>
      <c r="I13" s="221" t="s">
        <v>421</v>
      </c>
      <c r="J13" s="221" t="s">
        <v>422</v>
      </c>
      <c r="K13" s="220"/>
      <c r="L13" s="219" t="s">
        <v>423</v>
      </c>
      <c r="M13" s="219" t="s">
        <v>424</v>
      </c>
      <c r="N13" s="219" t="s">
        <v>425</v>
      </c>
      <c r="O13" s="219" t="s">
        <v>426</v>
      </c>
      <c r="P13" s="219" t="s">
        <v>427</v>
      </c>
      <c r="Q13" s="219" t="s">
        <v>428</v>
      </c>
    </row>
    <row r="14" spans="1:17" x14ac:dyDescent="0.3">
      <c r="A14" s="228"/>
      <c r="B14" s="228"/>
      <c r="C14" s="220"/>
      <c r="D14" s="220"/>
      <c r="E14" s="220"/>
      <c r="F14" s="220"/>
      <c r="G14" s="220"/>
      <c r="H14" s="220"/>
      <c r="I14" s="220"/>
      <c r="J14" s="220"/>
      <c r="K14" s="220"/>
      <c r="L14" s="218"/>
      <c r="M14" s="218"/>
      <c r="N14" s="218"/>
      <c r="O14" s="218"/>
      <c r="P14" s="218"/>
      <c r="Q14" s="218"/>
    </row>
    <row r="15" spans="1:17" x14ac:dyDescent="0.3">
      <c r="A15" s="228">
        <v>1</v>
      </c>
      <c r="B15" s="217" t="s">
        <v>429</v>
      </c>
      <c r="C15" s="216"/>
      <c r="D15" s="242"/>
      <c r="E15" s="242"/>
      <c r="F15" s="242"/>
      <c r="G15" s="242"/>
      <c r="H15" s="215"/>
      <c r="I15" s="215"/>
      <c r="J15" s="215">
        <f>+W38</f>
        <v>0</v>
      </c>
      <c r="K15" s="214"/>
      <c r="L15" s="213" t="str">
        <f>+B15</f>
        <v>December 31st balance (FF1 274.2.b)</v>
      </c>
      <c r="M15" s="212"/>
      <c r="N15" s="212"/>
      <c r="O15" s="212"/>
      <c r="P15" s="212"/>
      <c r="Q15" s="212">
        <f>+J15</f>
        <v>0</v>
      </c>
    </row>
    <row r="16" spans="1:17" x14ac:dyDescent="0.3">
      <c r="A16" s="228">
        <f t="shared" ref="A16:A28" si="0">+A15+1</f>
        <v>2</v>
      </c>
      <c r="B16" s="216" t="s">
        <v>378</v>
      </c>
      <c r="C16" s="243">
        <v>31</v>
      </c>
      <c r="D16" s="242">
        <f t="shared" ref="D16:D26" si="1">D17+C17</f>
        <v>335</v>
      </c>
      <c r="E16" s="242">
        <f>SUM(C16:C27)</f>
        <v>365</v>
      </c>
      <c r="F16" s="329">
        <f>335/365</f>
        <v>0.9178082191780822</v>
      </c>
      <c r="G16" s="242"/>
      <c r="H16" s="211">
        <v>0</v>
      </c>
      <c r="I16" s="215">
        <f>+H16*F16</f>
        <v>0</v>
      </c>
      <c r="J16" s="215">
        <f t="shared" ref="J16:J18" si="2">+I16+J15</f>
        <v>0</v>
      </c>
      <c r="K16" s="214"/>
      <c r="L16" s="212">
        <f>+N34</f>
        <v>0</v>
      </c>
      <c r="M16" s="212">
        <f>L16-H16</f>
        <v>0</v>
      </c>
      <c r="N16" s="212">
        <f>IF(AND(H16&gt;=0,L16&gt;=0),IF(M16&gt;=0,I16,L16/H16*I16),IF(AND(H16&lt;0,L16&lt;0),IF(M16&lt;0,I16,L16/H16*I16),0))</f>
        <v>0</v>
      </c>
      <c r="O16" s="212">
        <f>IF(AND(H16&gt;=0,L16&gt;=0),IF(M16&gt;=0,M16,0),IF(AND(H16&lt;0,L16&lt;0),IF(M16&lt;0,M16,0),0))</f>
        <v>0</v>
      </c>
      <c r="P16" s="212">
        <f>IF(AND(H16&gt;=0,L16&lt;0),L16,IF(AND(H16&lt;0,L16&gt;=0),L16,0))</f>
        <v>0</v>
      </c>
      <c r="Q16" s="212">
        <f>Q15+N16+(O16+P16)*0.5</f>
        <v>0</v>
      </c>
    </row>
    <row r="17" spans="1:23" x14ac:dyDescent="0.3">
      <c r="A17" s="228">
        <f t="shared" si="0"/>
        <v>3</v>
      </c>
      <c r="B17" s="216" t="s">
        <v>379</v>
      </c>
      <c r="C17" s="241">
        <v>28</v>
      </c>
      <c r="D17" s="242">
        <f t="shared" si="1"/>
        <v>307</v>
      </c>
      <c r="E17" s="242">
        <f>E16</f>
        <v>365</v>
      </c>
      <c r="F17" s="329">
        <f>307/365</f>
        <v>0.84109589041095889</v>
      </c>
      <c r="G17" s="242"/>
      <c r="H17" s="211">
        <v>0</v>
      </c>
      <c r="I17" s="215">
        <f t="shared" ref="I17:I27" si="3">+H17*F17</f>
        <v>0</v>
      </c>
      <c r="J17" s="215">
        <f t="shared" si="2"/>
        <v>0</v>
      </c>
      <c r="K17" s="214"/>
      <c r="L17" s="212">
        <f t="shared" ref="L17:L27" si="4">+N35</f>
        <v>0</v>
      </c>
      <c r="M17" s="212">
        <f>L17-H17</f>
        <v>0</v>
      </c>
      <c r="N17" s="212">
        <f t="shared" ref="N17:N27" si="5">IF(AND(H17&gt;=0,L17&gt;=0),IF(M17&gt;=0,I17,L17/H17*I17),IF(AND(H17&lt;0,L17&lt;0),IF(M17&lt;0,I17,L17/H17*I17),0))</f>
        <v>0</v>
      </c>
      <c r="O17" s="212">
        <f t="shared" ref="O17:O27" si="6">IF(AND(H17&gt;=0,L17&gt;=0),IF(M17&gt;=0,M17,0),IF(AND(H17&lt;0,L17&lt;0),IF(M17&lt;0,M17,0),0))</f>
        <v>0</v>
      </c>
      <c r="P17" s="212">
        <f t="shared" ref="P17:P27" si="7">IF(AND(H17&gt;=0,L17&lt;0),L17,IF(AND(H17&lt;0,L17&gt;=0),L17,0))</f>
        <v>0</v>
      </c>
      <c r="Q17" s="212">
        <f>Q16+N17+(O17+P17)*0.5</f>
        <v>0</v>
      </c>
    </row>
    <row r="18" spans="1:23" x14ac:dyDescent="0.3">
      <c r="A18" s="228">
        <f t="shared" si="0"/>
        <v>4</v>
      </c>
      <c r="B18" s="216" t="s">
        <v>380</v>
      </c>
      <c r="C18" s="243">
        <v>31</v>
      </c>
      <c r="D18" s="242">
        <f t="shared" si="1"/>
        <v>276</v>
      </c>
      <c r="E18" s="242">
        <f t="shared" ref="E18:E27" si="8">E17</f>
        <v>365</v>
      </c>
      <c r="F18" s="329">
        <f>276/365</f>
        <v>0.75616438356164384</v>
      </c>
      <c r="G18" s="242"/>
      <c r="H18" s="211">
        <v>0</v>
      </c>
      <c r="I18" s="215">
        <f t="shared" si="3"/>
        <v>0</v>
      </c>
      <c r="J18" s="215">
        <f t="shared" si="2"/>
        <v>0</v>
      </c>
      <c r="K18" s="214"/>
      <c r="L18" s="212">
        <f t="shared" si="4"/>
        <v>0</v>
      </c>
      <c r="M18" s="212">
        <f t="shared" ref="M18:M27" si="9">L18-H18</f>
        <v>0</v>
      </c>
      <c r="N18" s="212">
        <f t="shared" si="5"/>
        <v>0</v>
      </c>
      <c r="O18" s="212">
        <f t="shared" si="6"/>
        <v>0</v>
      </c>
      <c r="P18" s="212">
        <f t="shared" si="7"/>
        <v>0</v>
      </c>
      <c r="Q18" s="212">
        <f>Q17+N18+(O18+P18)*0.5</f>
        <v>0</v>
      </c>
    </row>
    <row r="19" spans="1:23" x14ac:dyDescent="0.3">
      <c r="A19" s="228">
        <f t="shared" si="0"/>
        <v>5</v>
      </c>
      <c r="B19" s="216" t="s">
        <v>381</v>
      </c>
      <c r="C19" s="243">
        <v>30</v>
      </c>
      <c r="D19" s="242">
        <f t="shared" si="1"/>
        <v>246</v>
      </c>
      <c r="E19" s="242">
        <f t="shared" si="8"/>
        <v>365</v>
      </c>
      <c r="F19" s="329">
        <f>246/365</f>
        <v>0.67397260273972603</v>
      </c>
      <c r="G19" s="242"/>
      <c r="H19" s="211">
        <v>0</v>
      </c>
      <c r="I19" s="215">
        <f t="shared" si="3"/>
        <v>0</v>
      </c>
      <c r="J19" s="215">
        <f>+I19+J18</f>
        <v>0</v>
      </c>
      <c r="K19" s="214"/>
      <c r="L19" s="212">
        <f>+N37</f>
        <v>0</v>
      </c>
      <c r="M19" s="212">
        <f t="shared" si="9"/>
        <v>0</v>
      </c>
      <c r="N19" s="212">
        <f t="shared" si="5"/>
        <v>0</v>
      </c>
      <c r="O19" s="212">
        <f t="shared" si="6"/>
        <v>0</v>
      </c>
      <c r="P19" s="212">
        <f t="shared" si="7"/>
        <v>0</v>
      </c>
      <c r="Q19" s="212">
        <f>Q18+N19+(O19+P19)*0.5</f>
        <v>0</v>
      </c>
    </row>
    <row r="20" spans="1:23" x14ac:dyDescent="0.3">
      <c r="A20" s="228">
        <f t="shared" si="0"/>
        <v>6</v>
      </c>
      <c r="B20" s="216" t="s">
        <v>382</v>
      </c>
      <c r="C20" s="243">
        <v>31</v>
      </c>
      <c r="D20" s="242">
        <f t="shared" si="1"/>
        <v>215</v>
      </c>
      <c r="E20" s="242">
        <f t="shared" si="8"/>
        <v>365</v>
      </c>
      <c r="F20" s="329">
        <f>215/365</f>
        <v>0.58904109589041098</v>
      </c>
      <c r="G20" s="242"/>
      <c r="H20" s="211">
        <v>0</v>
      </c>
      <c r="I20" s="215">
        <f t="shared" si="3"/>
        <v>0</v>
      </c>
      <c r="J20" s="215">
        <f t="shared" ref="J20:J27" si="10">+I20+J19</f>
        <v>0</v>
      </c>
      <c r="K20" s="214"/>
      <c r="L20" s="212">
        <f t="shared" si="4"/>
        <v>0</v>
      </c>
      <c r="M20" s="212">
        <f t="shared" si="9"/>
        <v>0</v>
      </c>
      <c r="N20" s="212">
        <f t="shared" si="5"/>
        <v>0</v>
      </c>
      <c r="O20" s="212">
        <f t="shared" si="6"/>
        <v>0</v>
      </c>
      <c r="P20" s="212">
        <f t="shared" si="7"/>
        <v>0</v>
      </c>
      <c r="Q20" s="212">
        <f t="shared" ref="Q20:Q26" si="11">Q19+N20+(O20+P20)*0.5</f>
        <v>0</v>
      </c>
    </row>
    <row r="21" spans="1:23" x14ac:dyDescent="0.3">
      <c r="A21" s="228">
        <f t="shared" si="0"/>
        <v>7</v>
      </c>
      <c r="B21" s="216" t="s">
        <v>383</v>
      </c>
      <c r="C21" s="243">
        <v>30</v>
      </c>
      <c r="D21" s="242">
        <f t="shared" si="1"/>
        <v>185</v>
      </c>
      <c r="E21" s="242">
        <f t="shared" si="8"/>
        <v>365</v>
      </c>
      <c r="F21" s="329">
        <f>185/365</f>
        <v>0.50684931506849318</v>
      </c>
      <c r="G21" s="242"/>
      <c r="H21" s="211">
        <v>0</v>
      </c>
      <c r="I21" s="215">
        <f t="shared" si="3"/>
        <v>0</v>
      </c>
      <c r="J21" s="215">
        <f t="shared" si="10"/>
        <v>0</v>
      </c>
      <c r="K21" s="214"/>
      <c r="L21" s="212">
        <f t="shared" si="4"/>
        <v>0</v>
      </c>
      <c r="M21" s="212">
        <f t="shared" si="9"/>
        <v>0</v>
      </c>
      <c r="N21" s="212">
        <f t="shared" si="5"/>
        <v>0</v>
      </c>
      <c r="O21" s="212">
        <f t="shared" si="6"/>
        <v>0</v>
      </c>
      <c r="P21" s="212">
        <f t="shared" si="7"/>
        <v>0</v>
      </c>
      <c r="Q21" s="212">
        <f t="shared" si="11"/>
        <v>0</v>
      </c>
    </row>
    <row r="22" spans="1:23" x14ac:dyDescent="0.3">
      <c r="A22" s="228">
        <f t="shared" si="0"/>
        <v>8</v>
      </c>
      <c r="B22" s="216" t="s">
        <v>384</v>
      </c>
      <c r="C22" s="243">
        <v>31</v>
      </c>
      <c r="D22" s="242">
        <f t="shared" si="1"/>
        <v>154</v>
      </c>
      <c r="E22" s="242">
        <f t="shared" si="8"/>
        <v>365</v>
      </c>
      <c r="F22" s="329">
        <f>154/365</f>
        <v>0.42191780821917807</v>
      </c>
      <c r="G22" s="242"/>
      <c r="H22" s="211">
        <v>0</v>
      </c>
      <c r="I22" s="215">
        <f t="shared" si="3"/>
        <v>0</v>
      </c>
      <c r="J22" s="215">
        <f t="shared" si="10"/>
        <v>0</v>
      </c>
      <c r="K22" s="214"/>
      <c r="L22" s="212">
        <f t="shared" si="4"/>
        <v>0</v>
      </c>
      <c r="M22" s="212">
        <f t="shared" si="9"/>
        <v>0</v>
      </c>
      <c r="N22" s="212">
        <f t="shared" si="5"/>
        <v>0</v>
      </c>
      <c r="O22" s="212">
        <f t="shared" si="6"/>
        <v>0</v>
      </c>
      <c r="P22" s="212">
        <f t="shared" si="7"/>
        <v>0</v>
      </c>
      <c r="Q22" s="212">
        <f t="shared" si="11"/>
        <v>0</v>
      </c>
    </row>
    <row r="23" spans="1:23" x14ac:dyDescent="0.3">
      <c r="A23" s="228">
        <f t="shared" si="0"/>
        <v>9</v>
      </c>
      <c r="B23" s="216" t="s">
        <v>385</v>
      </c>
      <c r="C23" s="243">
        <v>31</v>
      </c>
      <c r="D23" s="242">
        <f t="shared" si="1"/>
        <v>123</v>
      </c>
      <c r="E23" s="242">
        <f t="shared" si="8"/>
        <v>365</v>
      </c>
      <c r="F23" s="329">
        <f>123/365</f>
        <v>0.33698630136986302</v>
      </c>
      <c r="G23" s="242"/>
      <c r="H23" s="211">
        <v>0</v>
      </c>
      <c r="I23" s="215">
        <f t="shared" si="3"/>
        <v>0</v>
      </c>
      <c r="J23" s="215">
        <f t="shared" si="10"/>
        <v>0</v>
      </c>
      <c r="K23" s="214"/>
      <c r="L23" s="212">
        <f t="shared" si="4"/>
        <v>0</v>
      </c>
      <c r="M23" s="212">
        <f t="shared" si="9"/>
        <v>0</v>
      </c>
      <c r="N23" s="212">
        <f t="shared" si="5"/>
        <v>0</v>
      </c>
      <c r="O23" s="212">
        <f t="shared" si="6"/>
        <v>0</v>
      </c>
      <c r="P23" s="212">
        <f t="shared" si="7"/>
        <v>0</v>
      </c>
      <c r="Q23" s="212">
        <f t="shared" si="11"/>
        <v>0</v>
      </c>
    </row>
    <row r="24" spans="1:23" x14ac:dyDescent="0.3">
      <c r="A24" s="228">
        <f t="shared" si="0"/>
        <v>10</v>
      </c>
      <c r="B24" s="216" t="s">
        <v>386</v>
      </c>
      <c r="C24" s="243">
        <v>30</v>
      </c>
      <c r="D24" s="242">
        <f t="shared" si="1"/>
        <v>93</v>
      </c>
      <c r="E24" s="242">
        <f t="shared" si="8"/>
        <v>365</v>
      </c>
      <c r="F24" s="329">
        <f>93/365</f>
        <v>0.25479452054794521</v>
      </c>
      <c r="G24" s="242"/>
      <c r="H24" s="211">
        <v>0</v>
      </c>
      <c r="I24" s="215">
        <f t="shared" si="3"/>
        <v>0</v>
      </c>
      <c r="J24" s="215">
        <f t="shared" si="10"/>
        <v>0</v>
      </c>
      <c r="K24" s="214"/>
      <c r="L24" s="212">
        <f t="shared" si="4"/>
        <v>0</v>
      </c>
      <c r="M24" s="212">
        <f t="shared" si="9"/>
        <v>0</v>
      </c>
      <c r="N24" s="212">
        <f t="shared" si="5"/>
        <v>0</v>
      </c>
      <c r="O24" s="212">
        <f t="shared" si="6"/>
        <v>0</v>
      </c>
      <c r="P24" s="212">
        <f t="shared" si="7"/>
        <v>0</v>
      </c>
      <c r="Q24" s="212">
        <f t="shared" si="11"/>
        <v>0</v>
      </c>
    </row>
    <row r="25" spans="1:23" x14ac:dyDescent="0.3">
      <c r="A25" s="228">
        <f t="shared" si="0"/>
        <v>11</v>
      </c>
      <c r="B25" s="216" t="s">
        <v>387</v>
      </c>
      <c r="C25" s="243">
        <v>31</v>
      </c>
      <c r="D25" s="242">
        <f t="shared" si="1"/>
        <v>62</v>
      </c>
      <c r="E25" s="242">
        <f t="shared" si="8"/>
        <v>365</v>
      </c>
      <c r="F25" s="329">
        <f>62/365</f>
        <v>0.16986301369863013</v>
      </c>
      <c r="G25" s="242"/>
      <c r="H25" s="211">
        <v>0</v>
      </c>
      <c r="I25" s="215">
        <f t="shared" si="3"/>
        <v>0</v>
      </c>
      <c r="J25" s="215">
        <f t="shared" si="10"/>
        <v>0</v>
      </c>
      <c r="K25" s="214"/>
      <c r="L25" s="212">
        <f t="shared" si="4"/>
        <v>0</v>
      </c>
      <c r="M25" s="212">
        <f t="shared" si="9"/>
        <v>0</v>
      </c>
      <c r="N25" s="212">
        <f t="shared" si="5"/>
        <v>0</v>
      </c>
      <c r="O25" s="212">
        <f t="shared" si="6"/>
        <v>0</v>
      </c>
      <c r="P25" s="212">
        <f t="shared" si="7"/>
        <v>0</v>
      </c>
      <c r="Q25" s="212">
        <f t="shared" si="11"/>
        <v>0</v>
      </c>
    </row>
    <row r="26" spans="1:23" x14ac:dyDescent="0.3">
      <c r="A26" s="228">
        <f t="shared" si="0"/>
        <v>12</v>
      </c>
      <c r="B26" s="216" t="s">
        <v>388</v>
      </c>
      <c r="C26" s="243">
        <v>30</v>
      </c>
      <c r="D26" s="242">
        <f t="shared" si="1"/>
        <v>32</v>
      </c>
      <c r="E26" s="242">
        <f t="shared" si="8"/>
        <v>365</v>
      </c>
      <c r="F26" s="329">
        <f>32/365</f>
        <v>8.7671232876712329E-2</v>
      </c>
      <c r="G26" s="242"/>
      <c r="H26" s="211">
        <v>0</v>
      </c>
      <c r="I26" s="215">
        <f t="shared" si="3"/>
        <v>0</v>
      </c>
      <c r="J26" s="215">
        <f t="shared" si="10"/>
        <v>0</v>
      </c>
      <c r="K26" s="214"/>
      <c r="L26" s="212">
        <f t="shared" si="4"/>
        <v>0</v>
      </c>
      <c r="M26" s="212">
        <f t="shared" si="9"/>
        <v>0</v>
      </c>
      <c r="N26" s="212">
        <f t="shared" si="5"/>
        <v>0</v>
      </c>
      <c r="O26" s="212">
        <f t="shared" si="6"/>
        <v>0</v>
      </c>
      <c r="P26" s="212">
        <f t="shared" si="7"/>
        <v>0</v>
      </c>
      <c r="Q26" s="212">
        <f t="shared" si="11"/>
        <v>0</v>
      </c>
    </row>
    <row r="27" spans="1:23" x14ac:dyDescent="0.3">
      <c r="A27" s="228">
        <f t="shared" si="0"/>
        <v>13</v>
      </c>
      <c r="B27" s="216" t="s">
        <v>389</v>
      </c>
      <c r="C27" s="243">
        <v>31</v>
      </c>
      <c r="D27" s="242">
        <v>1</v>
      </c>
      <c r="E27" s="242">
        <f t="shared" si="8"/>
        <v>365</v>
      </c>
      <c r="F27" s="329">
        <f>1/365</f>
        <v>2.7397260273972603E-3</v>
      </c>
      <c r="G27" s="242"/>
      <c r="H27" s="211">
        <v>0</v>
      </c>
      <c r="I27" s="215">
        <f t="shared" si="3"/>
        <v>0</v>
      </c>
      <c r="J27" s="215">
        <f t="shared" si="10"/>
        <v>0</v>
      </c>
      <c r="K27" s="214"/>
      <c r="L27" s="212">
        <f t="shared" si="4"/>
        <v>0</v>
      </c>
      <c r="M27" s="212">
        <f t="shared" si="9"/>
        <v>0</v>
      </c>
      <c r="N27" s="212">
        <f t="shared" si="5"/>
        <v>0</v>
      </c>
      <c r="O27" s="212">
        <f t="shared" si="6"/>
        <v>0</v>
      </c>
      <c r="P27" s="212">
        <f t="shared" si="7"/>
        <v>0</v>
      </c>
      <c r="Q27" s="212">
        <f>Q26+N27+(O27+P27)*0.5</f>
        <v>0</v>
      </c>
    </row>
    <row r="28" spans="1:23" x14ac:dyDescent="0.3">
      <c r="A28" s="228">
        <f t="shared" si="0"/>
        <v>14</v>
      </c>
      <c r="B28" s="210" t="s">
        <v>69</v>
      </c>
      <c r="C28" s="209">
        <f>SUM(C16:C27)</f>
        <v>365</v>
      </c>
      <c r="D28" s="210"/>
      <c r="E28" s="210"/>
      <c r="F28" s="208"/>
      <c r="G28" s="242"/>
      <c r="H28" s="207">
        <f>SUM(H16:H27)</f>
        <v>0</v>
      </c>
      <c r="I28" s="207">
        <f>SUM(I16:I27)</f>
        <v>0</v>
      </c>
      <c r="J28" s="206"/>
      <c r="K28" s="214"/>
      <c r="L28" s="207">
        <f>SUM(L16:L27)</f>
        <v>0</v>
      </c>
      <c r="M28" s="207">
        <f t="shared" ref="M28:P28" si="12">SUM(M16:M27)</f>
        <v>0</v>
      </c>
      <c r="N28" s="207">
        <f t="shared" si="12"/>
        <v>0</v>
      </c>
      <c r="O28" s="207">
        <f t="shared" si="12"/>
        <v>0</v>
      </c>
      <c r="P28" s="207">
        <f t="shared" si="12"/>
        <v>0</v>
      </c>
      <c r="Q28" s="205"/>
      <c r="T28" s="385"/>
    </row>
    <row r="29" spans="1:23" x14ac:dyDescent="0.3">
      <c r="A29" s="228"/>
      <c r="B29" s="204"/>
      <c r="C29" s="204"/>
      <c r="D29" s="204"/>
      <c r="E29" s="204"/>
      <c r="F29" s="203"/>
      <c r="G29" s="203"/>
      <c r="H29" s="228"/>
      <c r="I29" s="202"/>
      <c r="J29" s="203"/>
      <c r="K29" s="203"/>
      <c r="L29" s="228"/>
      <c r="M29" s="228"/>
      <c r="N29" s="228"/>
      <c r="O29" s="228"/>
      <c r="P29" s="228"/>
      <c r="Q29" s="228"/>
    </row>
    <row r="30" spans="1:23" ht="16.899999999999999" customHeight="1" x14ac:dyDescent="0.3"/>
    <row r="31" spans="1:23" ht="16.899999999999999" customHeight="1" x14ac:dyDescent="0.3">
      <c r="F31" s="304" t="s">
        <v>18</v>
      </c>
      <c r="J31" s="304" t="s">
        <v>430</v>
      </c>
      <c r="O31" s="304"/>
    </row>
    <row r="32" spans="1:23" ht="41.25" customHeight="1" x14ac:dyDescent="0.3">
      <c r="C32" s="201" t="s">
        <v>58</v>
      </c>
      <c r="D32" s="201"/>
      <c r="E32" s="201" t="s">
        <v>370</v>
      </c>
      <c r="F32" s="200" t="s">
        <v>431</v>
      </c>
      <c r="G32" s="200" t="s">
        <v>69</v>
      </c>
      <c r="H32" s="201"/>
      <c r="I32" s="201" t="s">
        <v>373</v>
      </c>
      <c r="J32" s="200" t="s">
        <v>431</v>
      </c>
      <c r="L32" s="200" t="s">
        <v>69</v>
      </c>
      <c r="N32" s="200" t="s">
        <v>432</v>
      </c>
      <c r="O32" s="200"/>
      <c r="P32" s="3" t="s">
        <v>433</v>
      </c>
      <c r="Q32" s="199">
        <v>0</v>
      </c>
      <c r="T32" s="230" t="s">
        <v>434</v>
      </c>
      <c r="U32" s="199">
        <v>0</v>
      </c>
      <c r="V32" s="295">
        <v>1</v>
      </c>
      <c r="W32" s="263">
        <f>+U32*V32</f>
        <v>0</v>
      </c>
    </row>
    <row r="33" spans="1:23" ht="16.899999999999999" customHeight="1" x14ac:dyDescent="0.3">
      <c r="B33" s="266" t="s">
        <v>423</v>
      </c>
    </row>
    <row r="34" spans="1:23" ht="42" customHeight="1" x14ac:dyDescent="0.3">
      <c r="A34" s="266">
        <f>+A28+1</f>
        <v>15</v>
      </c>
      <c r="B34" s="266" t="s">
        <v>378</v>
      </c>
      <c r="C34" s="308">
        <f>+($Q$32-$U$32)/12</f>
        <v>0</v>
      </c>
      <c r="D34" s="308"/>
      <c r="E34" s="308">
        <f>+($Q$36-$U$36)/12</f>
        <v>0</v>
      </c>
      <c r="F34" s="295">
        <f>+'Appendix A'!$H$27</f>
        <v>0.29799930525418156</v>
      </c>
      <c r="G34" s="308">
        <f>+E34*F34</f>
        <v>0</v>
      </c>
      <c r="H34" s="308"/>
      <c r="I34" s="308">
        <f>+($Q$34-$U$34)/12</f>
        <v>0</v>
      </c>
      <c r="J34" s="295">
        <f>+'Appendix A'!$H$16</f>
        <v>0.11010683301047983</v>
      </c>
      <c r="L34" s="308">
        <f>+I34*J34</f>
        <v>0</v>
      </c>
      <c r="M34" s="308"/>
      <c r="N34" s="308">
        <f>+C34+G34+L34</f>
        <v>0</v>
      </c>
      <c r="O34" s="295"/>
      <c r="P34" s="2" t="s">
        <v>435</v>
      </c>
      <c r="Q34" s="199">
        <v>0</v>
      </c>
      <c r="T34" s="230" t="s">
        <v>436</v>
      </c>
      <c r="U34" s="199">
        <v>0</v>
      </c>
      <c r="V34" s="295">
        <f>+J34</f>
        <v>0.11010683301047983</v>
      </c>
      <c r="W34" s="263">
        <f>+(Q34-U34)*V34</f>
        <v>0</v>
      </c>
    </row>
    <row r="35" spans="1:23" ht="16.5" customHeight="1" x14ac:dyDescent="0.3">
      <c r="A35" s="266">
        <f>+A34+1</f>
        <v>16</v>
      </c>
      <c r="B35" s="266" t="s">
        <v>379</v>
      </c>
      <c r="C35" s="308">
        <f t="shared" ref="C35:C45" si="13">+($Q$32-$U$32)/12</f>
        <v>0</v>
      </c>
      <c r="D35" s="308"/>
      <c r="E35" s="308">
        <f t="shared" ref="E35:E45" si="14">+($Q$36-$U$36)/12</f>
        <v>0</v>
      </c>
      <c r="F35" s="295">
        <f>+'Appendix A'!$H$27</f>
        <v>0.29799930525418156</v>
      </c>
      <c r="G35" s="308">
        <f t="shared" ref="G35:G45" si="15">+E35*F35</f>
        <v>0</v>
      </c>
      <c r="H35" s="308"/>
      <c r="I35" s="308">
        <f t="shared" ref="I35:I45" si="16">+($Q$34-$U$34)/12</f>
        <v>0</v>
      </c>
      <c r="J35" s="295">
        <f>+'Appendix A'!$H$16</f>
        <v>0.11010683301047983</v>
      </c>
      <c r="L35" s="308">
        <f t="shared" ref="L35:L45" si="17">+I35*J35</f>
        <v>0</v>
      </c>
      <c r="M35" s="308"/>
      <c r="N35" s="308">
        <f t="shared" ref="N35:N45" si="18">+C35+G35+L35</f>
        <v>0</v>
      </c>
      <c r="O35" s="295"/>
      <c r="P35" s="308"/>
    </row>
    <row r="36" spans="1:23" ht="39.75" customHeight="1" x14ac:dyDescent="0.3">
      <c r="A36" s="266">
        <f t="shared" ref="A36:A45" si="19">+A35+1</f>
        <v>17</v>
      </c>
      <c r="B36" s="266" t="s">
        <v>380</v>
      </c>
      <c r="C36" s="308">
        <f t="shared" si="13"/>
        <v>0</v>
      </c>
      <c r="D36" s="308"/>
      <c r="E36" s="308">
        <f t="shared" si="14"/>
        <v>0</v>
      </c>
      <c r="F36" s="295">
        <f>+'Appendix A'!$H$27</f>
        <v>0.29799930525418156</v>
      </c>
      <c r="G36" s="308">
        <f t="shared" si="15"/>
        <v>0</v>
      </c>
      <c r="H36" s="308"/>
      <c r="I36" s="308">
        <f t="shared" si="16"/>
        <v>0</v>
      </c>
      <c r="J36" s="295">
        <f>+'Appendix A'!$H$16</f>
        <v>0.11010683301047983</v>
      </c>
      <c r="L36" s="308">
        <f t="shared" si="17"/>
        <v>0</v>
      </c>
      <c r="M36" s="308"/>
      <c r="N36" s="308">
        <f t="shared" si="18"/>
        <v>0</v>
      </c>
      <c r="O36" s="295"/>
      <c r="P36" s="1" t="s">
        <v>437</v>
      </c>
      <c r="Q36" s="199">
        <v>0</v>
      </c>
      <c r="T36" s="230" t="s">
        <v>438</v>
      </c>
      <c r="U36" s="199">
        <v>0</v>
      </c>
      <c r="V36" s="295">
        <f>+F34</f>
        <v>0.29799930525418156</v>
      </c>
      <c r="W36" s="354">
        <f>+U36*V36</f>
        <v>0</v>
      </c>
    </row>
    <row r="37" spans="1:23" ht="16.899999999999999" customHeight="1" x14ac:dyDescent="0.3">
      <c r="A37" s="266">
        <f t="shared" si="19"/>
        <v>18</v>
      </c>
      <c r="B37" s="266" t="s">
        <v>381</v>
      </c>
      <c r="C37" s="308">
        <f t="shared" si="13"/>
        <v>0</v>
      </c>
      <c r="D37" s="308"/>
      <c r="E37" s="308">
        <f t="shared" si="14"/>
        <v>0</v>
      </c>
      <c r="F37" s="295">
        <f>+'Appendix A'!$H$27</f>
        <v>0.29799930525418156</v>
      </c>
      <c r="G37" s="308">
        <f t="shared" si="15"/>
        <v>0</v>
      </c>
      <c r="H37" s="308"/>
      <c r="I37" s="308">
        <f t="shared" si="16"/>
        <v>0</v>
      </c>
      <c r="J37" s="295">
        <f>+'Appendix A'!$H$16</f>
        <v>0.11010683301047983</v>
      </c>
      <c r="L37" s="308">
        <f t="shared" si="17"/>
        <v>0</v>
      </c>
      <c r="M37" s="308"/>
      <c r="N37" s="308">
        <f t="shared" si="18"/>
        <v>0</v>
      </c>
      <c r="O37" s="295"/>
      <c r="P37" s="308"/>
    </row>
    <row r="38" spans="1:23" ht="16.899999999999999" customHeight="1" x14ac:dyDescent="0.3">
      <c r="A38" s="266">
        <f t="shared" si="19"/>
        <v>19</v>
      </c>
      <c r="B38" s="266" t="s">
        <v>382</v>
      </c>
      <c r="C38" s="308">
        <f t="shared" si="13"/>
        <v>0</v>
      </c>
      <c r="D38" s="308"/>
      <c r="E38" s="308">
        <f t="shared" si="14"/>
        <v>0</v>
      </c>
      <c r="F38" s="295">
        <f>+'Appendix A'!$H$27</f>
        <v>0.29799930525418156</v>
      </c>
      <c r="G38" s="308">
        <f t="shared" si="15"/>
        <v>0</v>
      </c>
      <c r="H38" s="308"/>
      <c r="I38" s="308">
        <f t="shared" si="16"/>
        <v>0</v>
      </c>
      <c r="J38" s="295">
        <f>+'Appendix A'!$H$16</f>
        <v>0.11010683301047983</v>
      </c>
      <c r="L38" s="308">
        <f t="shared" si="17"/>
        <v>0</v>
      </c>
      <c r="M38" s="308"/>
      <c r="N38" s="308">
        <f t="shared" si="18"/>
        <v>0</v>
      </c>
      <c r="O38" s="295"/>
      <c r="P38" s="308"/>
      <c r="T38" s="263" t="s">
        <v>69</v>
      </c>
      <c r="U38" s="263"/>
      <c r="V38" s="263"/>
      <c r="W38" s="263">
        <f>+SUM(W32:W36)</f>
        <v>0</v>
      </c>
    </row>
    <row r="39" spans="1:23" ht="16.899999999999999" customHeight="1" x14ac:dyDescent="0.3">
      <c r="A39" s="266">
        <f t="shared" si="19"/>
        <v>20</v>
      </c>
      <c r="B39" s="266" t="s">
        <v>383</v>
      </c>
      <c r="C39" s="308">
        <f t="shared" si="13"/>
        <v>0</v>
      </c>
      <c r="D39" s="308"/>
      <c r="E39" s="308">
        <f t="shared" si="14"/>
        <v>0</v>
      </c>
      <c r="F39" s="295">
        <f>+'Appendix A'!$H$27</f>
        <v>0.29799930525418156</v>
      </c>
      <c r="G39" s="308">
        <f t="shared" si="15"/>
        <v>0</v>
      </c>
      <c r="H39" s="308"/>
      <c r="I39" s="308">
        <f t="shared" si="16"/>
        <v>0</v>
      </c>
      <c r="J39" s="295">
        <f>+'Appendix A'!$H$16</f>
        <v>0.11010683301047983</v>
      </c>
      <c r="L39" s="308">
        <f t="shared" si="17"/>
        <v>0</v>
      </c>
      <c r="M39" s="308"/>
      <c r="N39" s="308">
        <f t="shared" si="18"/>
        <v>0</v>
      </c>
      <c r="O39" s="295"/>
      <c r="P39" s="308"/>
    </row>
    <row r="40" spans="1:23" x14ac:dyDescent="0.3">
      <c r="A40" s="266">
        <f t="shared" si="19"/>
        <v>21</v>
      </c>
      <c r="B40" s="266" t="s">
        <v>384</v>
      </c>
      <c r="C40" s="308">
        <f t="shared" si="13"/>
        <v>0</v>
      </c>
      <c r="D40" s="308"/>
      <c r="E40" s="308">
        <f t="shared" si="14"/>
        <v>0</v>
      </c>
      <c r="F40" s="295">
        <f>+'Appendix A'!$H$27</f>
        <v>0.29799930525418156</v>
      </c>
      <c r="G40" s="308">
        <f t="shared" si="15"/>
        <v>0</v>
      </c>
      <c r="H40" s="308"/>
      <c r="I40" s="308">
        <f t="shared" si="16"/>
        <v>0</v>
      </c>
      <c r="J40" s="295">
        <f>+'Appendix A'!$H$16</f>
        <v>0.11010683301047983</v>
      </c>
      <c r="L40" s="308">
        <f t="shared" si="17"/>
        <v>0</v>
      </c>
      <c r="M40" s="308"/>
      <c r="N40" s="308">
        <f t="shared" si="18"/>
        <v>0</v>
      </c>
      <c r="O40" s="295"/>
      <c r="P40" s="308"/>
    </row>
    <row r="41" spans="1:23" x14ac:dyDescent="0.3">
      <c r="A41" s="266">
        <f t="shared" si="19"/>
        <v>22</v>
      </c>
      <c r="B41" s="266" t="s">
        <v>385</v>
      </c>
      <c r="C41" s="308">
        <f t="shared" si="13"/>
        <v>0</v>
      </c>
      <c r="D41" s="308"/>
      <c r="E41" s="308">
        <f t="shared" si="14"/>
        <v>0</v>
      </c>
      <c r="F41" s="295">
        <f>+'Appendix A'!$H$27</f>
        <v>0.29799930525418156</v>
      </c>
      <c r="G41" s="308">
        <f t="shared" si="15"/>
        <v>0</v>
      </c>
      <c r="H41" s="308"/>
      <c r="I41" s="308">
        <f t="shared" si="16"/>
        <v>0</v>
      </c>
      <c r="J41" s="295">
        <f>+'Appendix A'!$H$16</f>
        <v>0.11010683301047983</v>
      </c>
      <c r="L41" s="308">
        <f t="shared" si="17"/>
        <v>0</v>
      </c>
      <c r="M41" s="308"/>
      <c r="N41" s="308">
        <f t="shared" si="18"/>
        <v>0</v>
      </c>
      <c r="O41" s="295"/>
      <c r="P41" s="308"/>
    </row>
    <row r="42" spans="1:23" x14ac:dyDescent="0.3">
      <c r="A42" s="266">
        <f t="shared" si="19"/>
        <v>23</v>
      </c>
      <c r="B42" s="266" t="s">
        <v>386</v>
      </c>
      <c r="C42" s="308">
        <f t="shared" si="13"/>
        <v>0</v>
      </c>
      <c r="D42" s="308"/>
      <c r="E42" s="308">
        <f t="shared" si="14"/>
        <v>0</v>
      </c>
      <c r="F42" s="295">
        <f>+'Appendix A'!$H$27</f>
        <v>0.29799930525418156</v>
      </c>
      <c r="G42" s="308">
        <f t="shared" si="15"/>
        <v>0</v>
      </c>
      <c r="H42" s="308"/>
      <c r="I42" s="308">
        <f t="shared" si="16"/>
        <v>0</v>
      </c>
      <c r="J42" s="295">
        <f>+'Appendix A'!$H$16</f>
        <v>0.11010683301047983</v>
      </c>
      <c r="L42" s="308">
        <f t="shared" si="17"/>
        <v>0</v>
      </c>
      <c r="M42" s="308"/>
      <c r="N42" s="308">
        <f t="shared" si="18"/>
        <v>0</v>
      </c>
      <c r="O42" s="295"/>
      <c r="P42" s="308"/>
    </row>
    <row r="43" spans="1:23" x14ac:dyDescent="0.3">
      <c r="A43" s="266">
        <f t="shared" si="19"/>
        <v>24</v>
      </c>
      <c r="B43" s="266" t="s">
        <v>387</v>
      </c>
      <c r="C43" s="308">
        <f t="shared" si="13"/>
        <v>0</v>
      </c>
      <c r="D43" s="308"/>
      <c r="E43" s="308">
        <f t="shared" si="14"/>
        <v>0</v>
      </c>
      <c r="F43" s="295">
        <f>+'Appendix A'!$H$27</f>
        <v>0.29799930525418156</v>
      </c>
      <c r="G43" s="308">
        <f t="shared" si="15"/>
        <v>0</v>
      </c>
      <c r="H43" s="308"/>
      <c r="I43" s="308">
        <f t="shared" si="16"/>
        <v>0</v>
      </c>
      <c r="J43" s="295">
        <f>+'Appendix A'!$H$16</f>
        <v>0.11010683301047983</v>
      </c>
      <c r="L43" s="308">
        <f t="shared" si="17"/>
        <v>0</v>
      </c>
      <c r="M43" s="308"/>
      <c r="N43" s="308">
        <f t="shared" si="18"/>
        <v>0</v>
      </c>
      <c r="O43" s="295"/>
      <c r="P43" s="308"/>
    </row>
    <row r="44" spans="1:23" x14ac:dyDescent="0.3">
      <c r="A44" s="266">
        <f t="shared" si="19"/>
        <v>25</v>
      </c>
      <c r="B44" s="266" t="s">
        <v>388</v>
      </c>
      <c r="C44" s="308">
        <f t="shared" si="13"/>
        <v>0</v>
      </c>
      <c r="D44" s="308"/>
      <c r="E44" s="308">
        <f t="shared" si="14"/>
        <v>0</v>
      </c>
      <c r="F44" s="295">
        <f>+'Appendix A'!$H$27</f>
        <v>0.29799930525418156</v>
      </c>
      <c r="G44" s="308">
        <f t="shared" si="15"/>
        <v>0</v>
      </c>
      <c r="H44" s="308"/>
      <c r="I44" s="308">
        <f t="shared" si="16"/>
        <v>0</v>
      </c>
      <c r="J44" s="295">
        <f>+'Appendix A'!$H$16</f>
        <v>0.11010683301047983</v>
      </c>
      <c r="L44" s="308">
        <f t="shared" si="17"/>
        <v>0</v>
      </c>
      <c r="M44" s="308"/>
      <c r="N44" s="308">
        <f t="shared" si="18"/>
        <v>0</v>
      </c>
      <c r="O44" s="295"/>
      <c r="P44" s="308"/>
    </row>
    <row r="45" spans="1:23" x14ac:dyDescent="0.3">
      <c r="A45" s="266">
        <f t="shared" si="19"/>
        <v>26</v>
      </c>
      <c r="B45" s="266" t="s">
        <v>389</v>
      </c>
      <c r="C45" s="308">
        <f t="shared" si="13"/>
        <v>0</v>
      </c>
      <c r="D45" s="308"/>
      <c r="E45" s="308">
        <f t="shared" si="14"/>
        <v>0</v>
      </c>
      <c r="F45" s="295">
        <f>+'Appendix A'!$H$27</f>
        <v>0.29799930525418156</v>
      </c>
      <c r="G45" s="308">
        <f t="shared" si="15"/>
        <v>0</v>
      </c>
      <c r="H45" s="308"/>
      <c r="I45" s="308">
        <f t="shared" si="16"/>
        <v>0</v>
      </c>
      <c r="J45" s="295">
        <f>+'Appendix A'!$H$16</f>
        <v>0.11010683301047983</v>
      </c>
      <c r="L45" s="308">
        <f t="shared" si="17"/>
        <v>0</v>
      </c>
      <c r="M45" s="308"/>
      <c r="N45" s="308">
        <f t="shared" si="18"/>
        <v>0</v>
      </c>
      <c r="O45" s="295"/>
      <c r="P45" s="308"/>
    </row>
    <row r="48" spans="1:23" x14ac:dyDescent="0.3">
      <c r="B48" s="266" t="s">
        <v>439</v>
      </c>
    </row>
    <row r="49" spans="2:2" x14ac:dyDescent="0.3">
      <c r="B49" s="266" t="s">
        <v>440</v>
      </c>
    </row>
    <row r="50" spans="2:2" x14ac:dyDescent="0.3">
      <c r="B50" s="266" t="s">
        <v>441</v>
      </c>
    </row>
    <row r="51" spans="2:2" x14ac:dyDescent="0.3">
      <c r="B51" s="266" t="s">
        <v>442</v>
      </c>
    </row>
    <row r="52" spans="2:2" x14ac:dyDescent="0.3">
      <c r="B52" s="266" t="s">
        <v>443</v>
      </c>
    </row>
  </sheetData>
  <mergeCells count="3">
    <mergeCell ref="B11:F11"/>
    <mergeCell ref="H11:J11"/>
    <mergeCell ref="L11:Q11"/>
  </mergeCells>
  <pageMargins left="0.7" right="0.7" top="0.75" bottom="0.75" header="0.3" footer="0.3"/>
  <pageSetup scale="43" fitToHeight="3" orientation="landscape" verticalDpi="0"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2:M59"/>
  <sheetViews>
    <sheetView showGridLines="0" topLeftCell="A25" zoomScale="75" zoomScaleNormal="75" workbookViewId="0">
      <selection activeCell="H27" sqref="H27"/>
    </sheetView>
  </sheetViews>
  <sheetFormatPr defaultColWidth="9.28515625" defaultRowHeight="24.75" customHeight="1" x14ac:dyDescent="0.3"/>
  <cols>
    <col min="1" max="2" width="4.7109375" style="266" customWidth="1"/>
    <col min="3" max="3" width="75.7109375" style="266" customWidth="1"/>
    <col min="4" max="4" width="3.28515625" style="266" customWidth="1"/>
    <col min="5" max="5" width="17.85546875" style="366" bestFit="1" customWidth="1"/>
    <col min="6" max="6" width="15.28515625" style="266" customWidth="1"/>
    <col min="7" max="8" width="20.28515625" style="266" customWidth="1"/>
    <col min="9" max="9" width="17.28515625" style="266" customWidth="1"/>
    <col min="10" max="10" width="9.28515625" style="266"/>
    <col min="11" max="11" width="18" style="266" bestFit="1" customWidth="1"/>
    <col min="12" max="12" width="9.28515625" style="266" bestFit="1" customWidth="1"/>
    <col min="13" max="13" width="18" style="266" bestFit="1" customWidth="1"/>
    <col min="14" max="16384" width="9.28515625" style="266"/>
  </cols>
  <sheetData>
    <row r="2" spans="1:9" ht="24.75" customHeight="1" x14ac:dyDescent="0.3">
      <c r="A2" s="645" t="str">
        <f>+'Appendix A'!A3</f>
        <v>Dayton Power and Light</v>
      </c>
      <c r="B2" s="645"/>
      <c r="C2" s="645"/>
      <c r="D2" s="645"/>
      <c r="E2" s="645"/>
      <c r="F2" s="645"/>
      <c r="G2" s="645"/>
      <c r="H2" s="645"/>
      <c r="I2" s="299"/>
    </row>
    <row r="3" spans="1:9" ht="24.75" customHeight="1" x14ac:dyDescent="0.3">
      <c r="A3" s="645" t="str">
        <f>+'Appendix A'!A4</f>
        <v>ATTACHMENT H-15A, Effective April 17, 2024; Docket No. ER24-1268</v>
      </c>
      <c r="B3" s="645"/>
      <c r="C3" s="645"/>
      <c r="D3" s="645"/>
      <c r="E3" s="645"/>
      <c r="F3" s="659"/>
      <c r="G3" s="659"/>
      <c r="H3" s="659"/>
      <c r="I3" s="198"/>
    </row>
    <row r="4" spans="1:9" ht="24.75" customHeight="1" x14ac:dyDescent="0.3">
      <c r="A4" s="648" t="s">
        <v>444</v>
      </c>
      <c r="B4" s="648"/>
      <c r="C4" s="648"/>
      <c r="D4" s="648"/>
      <c r="E4" s="648"/>
      <c r="F4" s="658"/>
      <c r="G4" s="658"/>
      <c r="H4" s="658"/>
    </row>
    <row r="5" spans="1:9" ht="24.75" customHeight="1" x14ac:dyDescent="0.3">
      <c r="A5" s="266" t="s">
        <v>445</v>
      </c>
    </row>
    <row r="6" spans="1:9" ht="24.75" customHeight="1" x14ac:dyDescent="0.3">
      <c r="A6" s="266" t="s">
        <v>411</v>
      </c>
      <c r="D6" s="197"/>
    </row>
    <row r="8" spans="1:9" ht="24.75" customHeight="1" x14ac:dyDescent="0.3">
      <c r="D8" s="300"/>
      <c r="E8" s="300" t="s">
        <v>446</v>
      </c>
      <c r="F8" s="300"/>
      <c r="G8" s="300" t="s">
        <v>447</v>
      </c>
      <c r="H8" s="300"/>
    </row>
    <row r="9" spans="1:9" ht="24.75" customHeight="1" x14ac:dyDescent="0.3">
      <c r="A9" s="292" t="s">
        <v>448</v>
      </c>
      <c r="B9" s="292"/>
      <c r="D9" s="300"/>
      <c r="E9" s="300" t="s">
        <v>449</v>
      </c>
      <c r="F9" s="300" t="s">
        <v>431</v>
      </c>
      <c r="G9" s="300" t="s">
        <v>450</v>
      </c>
      <c r="H9" s="300"/>
    </row>
    <row r="10" spans="1:9" ht="24.75" customHeight="1" x14ac:dyDescent="0.3">
      <c r="A10" s="292"/>
      <c r="B10" s="292"/>
      <c r="D10" s="300"/>
      <c r="E10" s="196"/>
      <c r="F10" s="300"/>
      <c r="G10" s="300"/>
      <c r="H10" s="300"/>
    </row>
    <row r="11" spans="1:9" ht="24.75" customHeight="1" x14ac:dyDescent="0.3">
      <c r="A11" s="292"/>
      <c r="B11" s="292" t="s">
        <v>451</v>
      </c>
      <c r="D11" s="300"/>
      <c r="E11" s="196"/>
      <c r="F11" s="300"/>
      <c r="G11" s="300"/>
      <c r="H11" s="300"/>
    </row>
    <row r="12" spans="1:9" ht="24.75" customHeight="1" x14ac:dyDescent="0.3">
      <c r="A12" s="304">
        <v>1</v>
      </c>
      <c r="C12" s="266" t="s">
        <v>452</v>
      </c>
      <c r="D12" s="303"/>
      <c r="E12" s="189">
        <f>+'4 - Cost Support'!T117</f>
        <v>37947430.193382241</v>
      </c>
      <c r="F12" s="194" t="s">
        <v>453</v>
      </c>
      <c r="G12" s="308">
        <f>+E12</f>
        <v>37947430.193382241</v>
      </c>
      <c r="H12" s="308" t="str">
        <f>"(Attachment 4, Line "&amp;'4 - Cost Support'!A117&amp;")"</f>
        <v>(Attachment 4, Line 41)</v>
      </c>
    </row>
    <row r="13" spans="1:9" ht="24.75" customHeight="1" x14ac:dyDescent="0.3">
      <c r="A13" s="304">
        <f>+A12+1</f>
        <v>2</v>
      </c>
      <c r="C13" s="193" t="s">
        <v>454</v>
      </c>
      <c r="E13" s="192">
        <v>0</v>
      </c>
      <c r="F13" s="312" t="s">
        <v>453</v>
      </c>
      <c r="G13" s="314">
        <f t="shared" ref="G13:G14" si="0">+E13</f>
        <v>0</v>
      </c>
      <c r="H13" s="303"/>
    </row>
    <row r="14" spans="1:9" ht="24.75" customHeight="1" x14ac:dyDescent="0.3">
      <c r="A14" s="304">
        <f>+A13+1</f>
        <v>3</v>
      </c>
      <c r="C14" s="193" t="s">
        <v>454</v>
      </c>
      <c r="E14" s="191">
        <v>0</v>
      </c>
      <c r="F14" s="190" t="s">
        <v>453</v>
      </c>
      <c r="G14" s="317">
        <f t="shared" si="0"/>
        <v>0</v>
      </c>
      <c r="H14" s="303"/>
    </row>
    <row r="15" spans="1:9" ht="24.75" customHeight="1" x14ac:dyDescent="0.3">
      <c r="A15" s="304">
        <f>+A14+1</f>
        <v>4</v>
      </c>
      <c r="B15" s="292" t="s">
        <v>455</v>
      </c>
      <c r="D15" s="303"/>
      <c r="E15" s="189">
        <f>+E12+E13+E14</f>
        <v>37947430.193382241</v>
      </c>
      <c r="F15" s="312" t="s">
        <v>453</v>
      </c>
      <c r="G15" s="314">
        <f>+E15</f>
        <v>37947430.193382241</v>
      </c>
      <c r="H15" s="303"/>
    </row>
    <row r="16" spans="1:9" ht="24.75" customHeight="1" x14ac:dyDescent="0.3">
      <c r="D16" s="300"/>
      <c r="E16" s="188"/>
      <c r="F16" s="308"/>
      <c r="G16" s="187"/>
      <c r="H16" s="300"/>
    </row>
    <row r="17" spans="1:13" ht="24.75" customHeight="1" x14ac:dyDescent="0.3">
      <c r="A17" s="304"/>
      <c r="B17" s="292" t="s">
        <v>456</v>
      </c>
      <c r="D17" s="300"/>
      <c r="E17" s="660" t="s">
        <v>22</v>
      </c>
      <c r="F17" s="660"/>
      <c r="G17" s="660"/>
      <c r="H17" s="300"/>
    </row>
    <row r="18" spans="1:13" ht="24.75" customHeight="1" x14ac:dyDescent="0.3">
      <c r="A18" s="304"/>
      <c r="D18" s="300"/>
      <c r="E18" s="186"/>
      <c r="F18" s="187"/>
      <c r="G18" s="187"/>
      <c r="H18" s="300"/>
    </row>
    <row r="19" spans="1:13" ht="24.75" customHeight="1" x14ac:dyDescent="0.3">
      <c r="A19" s="304">
        <f>+A15+1</f>
        <v>5</v>
      </c>
      <c r="C19" s="230" t="s">
        <v>454</v>
      </c>
      <c r="D19" s="303"/>
      <c r="E19" s="185">
        <v>0</v>
      </c>
      <c r="F19" s="184"/>
      <c r="G19" s="311"/>
      <c r="H19" s="303"/>
      <c r="K19" s="403"/>
      <c r="L19" s="403"/>
      <c r="M19" s="403"/>
    </row>
    <row r="20" spans="1:13" ht="24.75" customHeight="1" x14ac:dyDescent="0.3">
      <c r="A20" s="304">
        <f>+A19+1</f>
        <v>6</v>
      </c>
      <c r="B20" s="292" t="s">
        <v>457</v>
      </c>
      <c r="D20" s="303"/>
      <c r="E20" s="183">
        <f>SUM(E19:E19)</f>
        <v>0</v>
      </c>
      <c r="F20" s="182">
        <f>+'Appendix A'!H27</f>
        <v>0.29799930525418156</v>
      </c>
      <c r="G20" s="183">
        <f>+E20*F20</f>
        <v>0</v>
      </c>
      <c r="H20" s="183"/>
      <c r="K20" s="403"/>
      <c r="L20" s="403"/>
      <c r="M20" s="403"/>
    </row>
    <row r="21" spans="1:13" ht="24.75" customHeight="1" x14ac:dyDescent="0.3">
      <c r="A21" s="304"/>
      <c r="D21" s="303"/>
      <c r="E21" s="299"/>
      <c r="F21" s="303"/>
      <c r="G21" s="181"/>
      <c r="H21" s="181"/>
      <c r="K21" s="403"/>
      <c r="L21" s="403"/>
      <c r="M21" s="403"/>
    </row>
    <row r="22" spans="1:13" ht="24.75" customHeight="1" x14ac:dyDescent="0.3">
      <c r="A22" s="304"/>
      <c r="B22" s="292" t="s">
        <v>373</v>
      </c>
      <c r="D22" s="303"/>
      <c r="E22" s="299"/>
      <c r="F22" s="300" t="s">
        <v>458</v>
      </c>
      <c r="G22" s="303"/>
      <c r="H22" s="303"/>
      <c r="K22" s="403"/>
      <c r="L22" s="403"/>
      <c r="M22" s="403"/>
    </row>
    <row r="23" spans="1:13" ht="24.75" customHeight="1" x14ac:dyDescent="0.3">
      <c r="A23" s="304"/>
      <c r="D23" s="303"/>
      <c r="E23" s="299"/>
      <c r="F23" s="303"/>
      <c r="G23" s="303"/>
      <c r="H23" s="303"/>
      <c r="K23" s="403"/>
      <c r="L23" s="403"/>
      <c r="M23" s="403"/>
    </row>
    <row r="24" spans="1:13" ht="24.75" customHeight="1" x14ac:dyDescent="0.3">
      <c r="A24" s="304">
        <f>+A20+1</f>
        <v>7</v>
      </c>
      <c r="C24" s="266" t="s">
        <v>459</v>
      </c>
      <c r="E24" s="183">
        <f>+'4 - Cost Support'!S118</f>
        <v>4122324</v>
      </c>
      <c r="K24" s="403"/>
      <c r="L24" s="403"/>
      <c r="M24" s="403"/>
    </row>
    <row r="25" spans="1:13" ht="24.75" customHeight="1" x14ac:dyDescent="0.3">
      <c r="A25" s="304">
        <f>1+A24</f>
        <v>8</v>
      </c>
      <c r="C25" s="266" t="s">
        <v>460</v>
      </c>
      <c r="E25" s="180">
        <f>+'4 - Cost Support'!S119</f>
        <v>0</v>
      </c>
      <c r="K25" s="403"/>
      <c r="L25" s="403"/>
      <c r="M25" s="403"/>
    </row>
    <row r="26" spans="1:13" ht="24.75" customHeight="1" x14ac:dyDescent="0.3">
      <c r="A26" s="304">
        <f>1+A25</f>
        <v>9</v>
      </c>
      <c r="C26" s="230" t="s">
        <v>461</v>
      </c>
      <c r="E26" s="179">
        <v>5225239.0988156311</v>
      </c>
      <c r="F26" s="354"/>
      <c r="G26" s="354"/>
      <c r="K26" s="403"/>
      <c r="L26" s="403"/>
      <c r="M26" s="403"/>
    </row>
    <row r="27" spans="1:13" ht="24.75" customHeight="1" x14ac:dyDescent="0.3">
      <c r="A27" s="304">
        <f>1+A26</f>
        <v>10</v>
      </c>
      <c r="B27" s="292" t="s">
        <v>462</v>
      </c>
      <c r="E27" s="183">
        <f>SUM(E24:E26)</f>
        <v>9347563.0988156311</v>
      </c>
      <c r="F27" s="178">
        <f>+'Appendix A'!H16</f>
        <v>0.11010683301047983</v>
      </c>
      <c r="G27" s="183">
        <f>+E27*F27</f>
        <v>1029230.569176216</v>
      </c>
      <c r="H27" s="183"/>
      <c r="K27" s="403"/>
      <c r="L27" s="403"/>
      <c r="M27" s="403"/>
    </row>
    <row r="28" spans="1:13" ht="24.75" customHeight="1" x14ac:dyDescent="0.3">
      <c r="A28" s="304"/>
      <c r="B28" s="292"/>
      <c r="E28" s="183"/>
      <c r="F28" s="177"/>
      <c r="G28" s="183"/>
      <c r="H28" s="183"/>
      <c r="K28" s="403"/>
      <c r="L28" s="403"/>
      <c r="M28" s="403"/>
    </row>
    <row r="29" spans="1:13" ht="24.75" customHeight="1" thickBot="1" x14ac:dyDescent="0.35">
      <c r="A29" s="304">
        <f>+A27+1</f>
        <v>11</v>
      </c>
      <c r="B29" s="292" t="s">
        <v>463</v>
      </c>
      <c r="E29" s="176">
        <f>+E15+E20+E27</f>
        <v>47294993.292197868</v>
      </c>
      <c r="F29" s="351"/>
      <c r="G29" s="176">
        <f>+G15+G20+G27</f>
        <v>38976660.76255846</v>
      </c>
      <c r="H29" s="175"/>
      <c r="K29" s="403"/>
      <c r="L29" s="403"/>
      <c r="M29" s="403"/>
    </row>
    <row r="30" spans="1:13" ht="24.75" customHeight="1" thickTop="1" x14ac:dyDescent="0.3">
      <c r="A30" s="304"/>
      <c r="C30" s="27"/>
      <c r="K30" s="403"/>
      <c r="L30" s="403"/>
      <c r="M30" s="403"/>
    </row>
    <row r="31" spans="1:13" ht="24.75" customHeight="1" x14ac:dyDescent="0.3">
      <c r="A31" s="304"/>
      <c r="C31" s="27"/>
      <c r="F31" s="183"/>
      <c r="K31" s="403"/>
      <c r="L31" s="403"/>
      <c r="M31" s="403"/>
    </row>
    <row r="32" spans="1:13" ht="24.75" customHeight="1" x14ac:dyDescent="0.3">
      <c r="A32" s="304"/>
      <c r="C32" s="292" t="s">
        <v>464</v>
      </c>
      <c r="K32" s="403"/>
      <c r="L32" s="403"/>
      <c r="M32" s="403"/>
    </row>
    <row r="33" spans="1:13" ht="24.75" customHeight="1" x14ac:dyDescent="0.3">
      <c r="A33" s="304"/>
      <c r="G33" s="292"/>
      <c r="H33" s="292"/>
      <c r="K33" s="403"/>
      <c r="L33" s="403"/>
      <c r="M33" s="403"/>
    </row>
    <row r="34" spans="1:13" ht="24.75" customHeight="1" x14ac:dyDescent="0.3">
      <c r="A34" s="304">
        <f>1+A29</f>
        <v>12</v>
      </c>
      <c r="C34" s="174" t="s">
        <v>465</v>
      </c>
      <c r="E34" s="195">
        <v>0</v>
      </c>
      <c r="F34" s="382"/>
      <c r="K34" s="403"/>
      <c r="L34" s="403"/>
      <c r="M34" s="403"/>
    </row>
    <row r="35" spans="1:13" ht="24.75" customHeight="1" x14ac:dyDescent="0.3">
      <c r="A35" s="304">
        <f>1+A34</f>
        <v>13</v>
      </c>
      <c r="C35" s="174" t="s">
        <v>466</v>
      </c>
      <c r="E35" s="195">
        <v>0</v>
      </c>
      <c r="F35" s="382"/>
      <c r="K35" s="403"/>
      <c r="L35" s="403"/>
      <c r="M35" s="403"/>
    </row>
    <row r="36" spans="1:13" ht="24.75" customHeight="1" x14ac:dyDescent="0.3">
      <c r="A36" s="304">
        <f t="shared" ref="A36:A41" si="1">1+A35</f>
        <v>14</v>
      </c>
      <c r="C36" s="174" t="s">
        <v>467</v>
      </c>
      <c r="E36" s="195">
        <v>0</v>
      </c>
      <c r="F36" s="382"/>
      <c r="K36" s="403"/>
      <c r="L36" s="403"/>
      <c r="M36" s="403"/>
    </row>
    <row r="37" spans="1:13" ht="24.75" customHeight="1" x14ac:dyDescent="0.3">
      <c r="A37" s="304">
        <f t="shared" si="1"/>
        <v>15</v>
      </c>
      <c r="C37" s="174" t="s">
        <v>468</v>
      </c>
      <c r="E37" s="195">
        <v>0</v>
      </c>
      <c r="F37" s="382"/>
      <c r="K37" s="403"/>
      <c r="L37" s="403"/>
      <c r="M37" s="403"/>
    </row>
    <row r="38" spans="1:13" ht="24.75" customHeight="1" x14ac:dyDescent="0.3">
      <c r="A38" s="304">
        <f t="shared" si="1"/>
        <v>16</v>
      </c>
      <c r="C38" s="230" t="s">
        <v>469</v>
      </c>
      <c r="D38" s="303"/>
      <c r="E38" s="173">
        <v>0</v>
      </c>
      <c r="F38" s="382"/>
      <c r="K38" s="403"/>
      <c r="L38" s="403"/>
      <c r="M38" s="403"/>
    </row>
    <row r="39" spans="1:13" ht="24.75" customHeight="1" x14ac:dyDescent="0.3">
      <c r="A39" s="304">
        <f t="shared" si="1"/>
        <v>17</v>
      </c>
      <c r="C39" s="230" t="s">
        <v>470</v>
      </c>
      <c r="D39" s="303"/>
      <c r="E39" s="173">
        <v>0</v>
      </c>
      <c r="F39" s="382"/>
      <c r="K39" s="403"/>
      <c r="L39" s="403"/>
      <c r="M39" s="403"/>
    </row>
    <row r="40" spans="1:13" ht="24.75" customHeight="1" x14ac:dyDescent="0.3">
      <c r="A40" s="304">
        <f t="shared" si="1"/>
        <v>18</v>
      </c>
      <c r="C40" s="230" t="s">
        <v>471</v>
      </c>
      <c r="E40" s="173">
        <v>0</v>
      </c>
      <c r="F40" s="382"/>
      <c r="K40" s="403"/>
      <c r="L40" s="403"/>
      <c r="M40" s="403"/>
    </row>
    <row r="41" spans="1:13" ht="24.75" customHeight="1" x14ac:dyDescent="0.3">
      <c r="A41" s="304">
        <f t="shared" si="1"/>
        <v>19</v>
      </c>
      <c r="C41" s="198" t="s">
        <v>472</v>
      </c>
      <c r="E41" s="172">
        <f>SUM(E34:E40)</f>
        <v>0</v>
      </c>
      <c r="K41" s="403"/>
      <c r="L41" s="403"/>
      <c r="M41" s="403"/>
    </row>
    <row r="42" spans="1:13" ht="24.75" customHeight="1" x14ac:dyDescent="0.3">
      <c r="A42" s="304"/>
      <c r="E42" s="171"/>
      <c r="K42" s="403"/>
      <c r="L42" s="403"/>
      <c r="M42" s="403"/>
    </row>
    <row r="43" spans="1:13" ht="24.75" customHeight="1" x14ac:dyDescent="0.3">
      <c r="A43" s="304">
        <f>1+A41</f>
        <v>20</v>
      </c>
      <c r="B43" s="198" t="s">
        <v>473</v>
      </c>
      <c r="C43" s="198"/>
      <c r="E43" s="189">
        <f>+E29+E41</f>
        <v>47294993.292197868</v>
      </c>
      <c r="K43" s="403"/>
      <c r="L43" s="403"/>
      <c r="M43" s="403"/>
    </row>
    <row r="44" spans="1:13" ht="24.75" customHeight="1" x14ac:dyDescent="0.3">
      <c r="A44" s="304"/>
      <c r="E44" s="171"/>
      <c r="K44" s="403"/>
      <c r="L44" s="403"/>
      <c r="M44" s="403"/>
    </row>
    <row r="45" spans="1:13" ht="24.75" customHeight="1" x14ac:dyDescent="0.3">
      <c r="A45" s="304">
        <f>1+A43</f>
        <v>21</v>
      </c>
      <c r="B45" s="198" t="s">
        <v>474</v>
      </c>
      <c r="C45" s="198"/>
      <c r="D45" s="170"/>
      <c r="E45" s="173">
        <v>0</v>
      </c>
      <c r="F45" s="169"/>
      <c r="G45" s="169"/>
      <c r="H45" s="169"/>
      <c r="K45" s="403"/>
      <c r="L45" s="403"/>
      <c r="M45" s="403"/>
    </row>
    <row r="46" spans="1:13" ht="24.75" customHeight="1" x14ac:dyDescent="0.3">
      <c r="C46" s="297"/>
      <c r="D46" s="297"/>
      <c r="E46" s="314"/>
      <c r="F46" s="169"/>
      <c r="G46" s="169"/>
      <c r="H46" s="169"/>
      <c r="K46" s="403"/>
      <c r="L46" s="403"/>
      <c r="M46" s="403"/>
    </row>
    <row r="47" spans="1:13" ht="24.75" customHeight="1" x14ac:dyDescent="0.3">
      <c r="A47" s="304">
        <f>1+A45</f>
        <v>22</v>
      </c>
      <c r="C47" s="297" t="s">
        <v>475</v>
      </c>
      <c r="D47" s="297"/>
      <c r="E47" s="314">
        <f>+E43-E45</f>
        <v>47294993.292197868</v>
      </c>
      <c r="G47" s="169"/>
      <c r="H47" s="169"/>
      <c r="K47" s="403"/>
      <c r="L47" s="403"/>
      <c r="M47" s="403"/>
    </row>
    <row r="48" spans="1:13" ht="24.75" customHeight="1" x14ac:dyDescent="0.3">
      <c r="C48" s="297"/>
      <c r="D48" s="297"/>
      <c r="E48" s="325"/>
      <c r="F48" s="169"/>
      <c r="G48" s="169"/>
      <c r="H48" s="169"/>
    </row>
    <row r="49" spans="3:8" ht="24.75" customHeight="1" x14ac:dyDescent="0.3">
      <c r="C49" s="297"/>
      <c r="D49" s="297"/>
      <c r="E49" s="325"/>
      <c r="F49" s="169"/>
      <c r="G49" s="169"/>
      <c r="H49" s="169"/>
    </row>
    <row r="50" spans="3:8" ht="24.75" customHeight="1" x14ac:dyDescent="0.3">
      <c r="C50" s="297"/>
      <c r="D50" s="297"/>
      <c r="E50" s="325"/>
      <c r="F50" s="169"/>
      <c r="G50" s="169"/>
      <c r="H50" s="169"/>
    </row>
    <row r="51" spans="3:8" ht="24.75" customHeight="1" x14ac:dyDescent="0.3">
      <c r="C51" s="297"/>
      <c r="D51" s="297"/>
      <c r="E51" s="325"/>
      <c r="F51" s="169"/>
      <c r="G51" s="169"/>
      <c r="H51" s="169"/>
    </row>
    <row r="52" spans="3:8" ht="24.75" customHeight="1" x14ac:dyDescent="0.3">
      <c r="E52" s="183"/>
      <c r="F52" s="382"/>
      <c r="G52" s="382"/>
      <c r="H52" s="382"/>
    </row>
    <row r="53" spans="3:8" ht="24.75" customHeight="1" x14ac:dyDescent="0.3">
      <c r="E53" s="183"/>
      <c r="F53" s="382"/>
      <c r="G53" s="382"/>
      <c r="H53" s="382"/>
    </row>
    <row r="54" spans="3:8" ht="24.75" customHeight="1" x14ac:dyDescent="0.3">
      <c r="C54" s="27"/>
      <c r="E54" s="183"/>
      <c r="G54" s="382"/>
      <c r="H54" s="382"/>
    </row>
    <row r="55" spans="3:8" ht="24.75" customHeight="1" x14ac:dyDescent="0.3">
      <c r="E55" s="183"/>
      <c r="G55" s="382"/>
      <c r="H55" s="382"/>
    </row>
    <row r="56" spans="3:8" ht="24.75" customHeight="1" x14ac:dyDescent="0.3">
      <c r="C56" s="27"/>
      <c r="E56" s="183"/>
      <c r="G56" s="382"/>
      <c r="H56" s="382"/>
    </row>
    <row r="57" spans="3:8" ht="24.75" customHeight="1" x14ac:dyDescent="0.3">
      <c r="E57" s="183"/>
      <c r="G57" s="382"/>
      <c r="H57" s="382"/>
    </row>
    <row r="58" spans="3:8" ht="24.75" customHeight="1" x14ac:dyDescent="0.3">
      <c r="C58" s="27"/>
      <c r="E58" s="183"/>
      <c r="G58" s="382"/>
      <c r="H58" s="382"/>
    </row>
    <row r="59" spans="3:8" ht="24.75" customHeight="1" x14ac:dyDescent="0.3">
      <c r="E59" s="183"/>
    </row>
  </sheetData>
  <customSheetViews>
    <customSheetView guid="{416404B7-8533-4A12-ABD0-58CFDEB49D80}" scale="75" fitToPage="1">
      <selection activeCell="F45" sqref="F45"/>
      <pageMargins left="0" right="0" top="0" bottom="0" header="0" footer="0"/>
      <printOptions horizontalCentered="1"/>
      <pageSetup scale="59" orientation="portrait" r:id="rId1"/>
      <headerFooter alignWithMargins="0"/>
    </customSheetView>
    <customSheetView guid="{DC91DEF3-837B-4BB9-A81E-3B78C5914E6C}" scale="75" showPageBreaks="1" fitToPage="1" showRuler="0" topLeftCell="A37">
      <selection activeCell="B71" sqref="B71:C74"/>
      <pageMargins left="0" right="0" top="0" bottom="0" header="0" footer="0"/>
      <pageSetup scale="71" orientation="portrait" r:id="rId2"/>
      <headerFooter alignWithMargins="0">
        <oddHeader>&amp;R&amp;12Page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3"/>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4"/>
      <headerFooter alignWithMargins="0">
        <oddHeader>&amp;R&amp;14Page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6"/>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7"/>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8"/>
      <headerFooter alignWithMargins="0">
        <oddHeader>&amp;R&amp;12Page &amp;P of &amp;N</oddHeader>
      </headerFooter>
    </customSheetView>
    <customSheetView guid="{3A38DF7A-C35E-4DD3-9893-26310A3EF836}" scale="75" showPageBreaks="1" fitToPage="1" showRuler="0" topLeftCell="A19">
      <selection activeCell="G41" sqref="G41"/>
      <pageMargins left="0" right="0" top="0" bottom="0" header="0" footer="0"/>
      <pageSetup scale="74" orientation="portrait" r:id="rId9"/>
      <headerFooter alignWithMargins="0">
        <oddHeader>&amp;R&amp;12Page &amp;P of &amp;N</oddHeader>
      </headerFooter>
    </customSheetView>
  </customSheetViews>
  <mergeCells count="4">
    <mergeCell ref="A4:H4"/>
    <mergeCell ref="A2:H2"/>
    <mergeCell ref="A3:H3"/>
    <mergeCell ref="E17:G17"/>
  </mergeCells>
  <phoneticPr fontId="0" type="noConversion"/>
  <printOptions horizontalCentered="1"/>
  <pageMargins left="0.75" right="0.75" top="1" bottom="1" header="0.5" footer="0.5"/>
  <pageSetup scale="53" orientation="portrait" r:id="rId10"/>
  <headerFooter alignWithMargins="0"/>
  <customProperties>
    <customPr name="_pios_id" r:id="rId1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AM45"/>
  <sheetViews>
    <sheetView showGridLines="0" zoomScale="75" zoomScaleNormal="75" workbookViewId="0">
      <selection activeCell="E33" sqref="E33"/>
    </sheetView>
  </sheetViews>
  <sheetFormatPr defaultColWidth="9.28515625" defaultRowHeight="20.25" x14ac:dyDescent="0.3"/>
  <cols>
    <col min="1" max="1" width="15.28515625" style="304" customWidth="1"/>
    <col min="2" max="2" width="120.5703125" style="266" customWidth="1"/>
    <col min="3" max="3" width="23.7109375" style="266" customWidth="1"/>
    <col min="4" max="4" width="17" style="263" bestFit="1" customWidth="1"/>
    <col min="5" max="5" width="26.7109375" style="266" customWidth="1"/>
    <col min="6" max="6" width="71" style="266" customWidth="1"/>
    <col min="7" max="7" width="12.5703125" style="266" bestFit="1" customWidth="1"/>
    <col min="8" max="9" width="9.28515625" style="266"/>
    <col min="10" max="10" width="29.42578125" style="266" customWidth="1"/>
    <col min="11" max="14" width="9.28515625" style="266"/>
    <col min="15" max="15" width="14.5703125" style="266" bestFit="1" customWidth="1"/>
    <col min="16" max="16384" width="9.28515625" style="266"/>
  </cols>
  <sheetData>
    <row r="2" spans="1:10" x14ac:dyDescent="0.3">
      <c r="A2" s="645" t="str">
        <f>+'Appendix A'!A3</f>
        <v>Dayton Power and Light</v>
      </c>
      <c r="B2" s="645"/>
      <c r="C2" s="645"/>
      <c r="D2" s="645"/>
    </row>
    <row r="3" spans="1:10" x14ac:dyDescent="0.3">
      <c r="A3" s="645" t="str">
        <f>+'Appendix A'!A4</f>
        <v>ATTACHMENT H-15A, Effective April 17, 2024; Docket No. ER24-1268</v>
      </c>
      <c r="B3" s="645"/>
      <c r="C3" s="645"/>
      <c r="D3" s="645"/>
      <c r="E3" s="299"/>
    </row>
    <row r="4" spans="1:10" x14ac:dyDescent="0.3">
      <c r="A4" s="648" t="s">
        <v>476</v>
      </c>
      <c r="B4" s="648"/>
      <c r="C4" s="648"/>
      <c r="D4" s="648"/>
    </row>
    <row r="5" spans="1:10" x14ac:dyDescent="0.3">
      <c r="B5" s="382"/>
      <c r="C5" s="304"/>
    </row>
    <row r="6" spans="1:10" x14ac:dyDescent="0.3">
      <c r="A6" s="27" t="s">
        <v>411</v>
      </c>
      <c r="B6" s="382"/>
      <c r="C6" s="304"/>
      <c r="D6" s="300"/>
    </row>
    <row r="7" spans="1:10" x14ac:dyDescent="0.3">
      <c r="B7" s="382"/>
      <c r="C7" s="304"/>
    </row>
    <row r="8" spans="1:10" x14ac:dyDescent="0.3">
      <c r="B8" s="382"/>
      <c r="C8" s="304"/>
    </row>
    <row r="9" spans="1:10" ht="15" customHeight="1" x14ac:dyDescent="0.3">
      <c r="C9" s="304"/>
      <c r="D9" s="168"/>
    </row>
    <row r="10" spans="1:10" x14ac:dyDescent="0.3">
      <c r="B10" s="342" t="s">
        <v>477</v>
      </c>
      <c r="C10" s="304"/>
      <c r="D10" s="168"/>
      <c r="F10" s="661" t="s">
        <v>478</v>
      </c>
      <c r="G10" s="661"/>
      <c r="H10" s="661"/>
      <c r="I10" s="661"/>
      <c r="J10" s="661"/>
    </row>
    <row r="11" spans="1:10" x14ac:dyDescent="0.3">
      <c r="A11" s="304">
        <v>1</v>
      </c>
      <c r="B11" s="27" t="s">
        <v>479</v>
      </c>
      <c r="C11" s="304"/>
      <c r="D11" s="166">
        <v>0</v>
      </c>
      <c r="E11" s="266" t="s">
        <v>480</v>
      </c>
      <c r="F11" s="230"/>
      <c r="G11" s="230"/>
      <c r="H11" s="230"/>
      <c r="I11" s="230"/>
      <c r="J11" s="230"/>
    </row>
    <row r="12" spans="1:10" x14ac:dyDescent="0.3">
      <c r="B12" s="342"/>
      <c r="C12" s="304"/>
      <c r="D12" s="168"/>
    </row>
    <row r="13" spans="1:10" x14ac:dyDescent="0.3">
      <c r="B13" s="198" t="s">
        <v>481</v>
      </c>
      <c r="D13" s="168"/>
    </row>
    <row r="14" spans="1:10" x14ac:dyDescent="0.3">
      <c r="A14" s="304">
        <f>+A11+1</f>
        <v>2</v>
      </c>
      <c r="B14" s="266" t="s">
        <v>482</v>
      </c>
      <c r="D14" s="244">
        <v>0</v>
      </c>
      <c r="E14" s="266" t="s">
        <v>480</v>
      </c>
      <c r="F14" s="230"/>
      <c r="G14" s="230"/>
      <c r="H14" s="230"/>
      <c r="I14" s="230"/>
      <c r="J14" s="230"/>
    </row>
    <row r="15" spans="1:10" x14ac:dyDescent="0.3">
      <c r="A15" s="304">
        <f>+A14+1</f>
        <v>3</v>
      </c>
      <c r="B15" s="266" t="s">
        <v>483</v>
      </c>
      <c r="D15" s="244">
        <v>0</v>
      </c>
      <c r="E15" s="266" t="s">
        <v>480</v>
      </c>
      <c r="F15" s="230"/>
      <c r="G15" s="230"/>
      <c r="H15" s="230"/>
      <c r="I15" s="230"/>
      <c r="J15" s="230"/>
    </row>
    <row r="16" spans="1:10" x14ac:dyDescent="0.3">
      <c r="A16" s="304">
        <f t="shared" ref="A16:A17" si="0">+A15+1</f>
        <v>4</v>
      </c>
      <c r="B16" s="266" t="s">
        <v>484</v>
      </c>
      <c r="D16" s="244">
        <v>-28696</v>
      </c>
      <c r="E16" s="266" t="s">
        <v>480</v>
      </c>
      <c r="F16" s="230"/>
      <c r="G16" s="230"/>
      <c r="H16" s="230"/>
      <c r="I16" s="230"/>
      <c r="J16" s="230"/>
    </row>
    <row r="17" spans="1:39" x14ac:dyDescent="0.3">
      <c r="A17" s="304">
        <f t="shared" si="0"/>
        <v>5</v>
      </c>
      <c r="B17" s="266" t="s">
        <v>485</v>
      </c>
      <c r="D17" s="165">
        <v>0</v>
      </c>
      <c r="E17" s="266" t="s">
        <v>480</v>
      </c>
      <c r="F17" s="230"/>
      <c r="G17" s="230"/>
      <c r="H17" s="230"/>
      <c r="I17" s="230"/>
      <c r="J17" s="230"/>
    </row>
    <row r="18" spans="1:39" x14ac:dyDescent="0.3">
      <c r="A18" s="304">
        <f>+A17+1</f>
        <v>6</v>
      </c>
      <c r="B18" s="266" t="s">
        <v>486</v>
      </c>
      <c r="D18" s="308">
        <f>+SUM(D14:D17)</f>
        <v>-28696</v>
      </c>
    </row>
    <row r="19" spans="1:39" x14ac:dyDescent="0.3">
      <c r="D19" s="168"/>
    </row>
    <row r="20" spans="1:39" s="164" customFormat="1" x14ac:dyDescent="0.3">
      <c r="A20" s="304"/>
      <c r="B20" s="198" t="s">
        <v>487</v>
      </c>
      <c r="C20" s="266"/>
      <c r="D20" s="308"/>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row>
    <row r="21" spans="1:39" s="164" customFormat="1" x14ac:dyDescent="0.3">
      <c r="A21" s="304">
        <f>+A18+1</f>
        <v>7</v>
      </c>
      <c r="B21" s="27" t="s">
        <v>488</v>
      </c>
      <c r="C21" s="303"/>
      <c r="D21" s="244">
        <v>-527296</v>
      </c>
      <c r="E21" s="266" t="s">
        <v>480</v>
      </c>
      <c r="F21" s="230"/>
      <c r="G21" s="199"/>
      <c r="H21" s="230"/>
      <c r="I21" s="230"/>
      <c r="J21" s="230"/>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row>
    <row r="22" spans="1:39" s="164" customFormat="1" x14ac:dyDescent="0.3">
      <c r="A22" s="304">
        <f>+A21+1</f>
        <v>8</v>
      </c>
      <c r="B22" s="266" t="s">
        <v>489</v>
      </c>
      <c r="C22" s="266"/>
      <c r="D22" s="244">
        <v>0</v>
      </c>
      <c r="E22" s="266" t="s">
        <v>480</v>
      </c>
      <c r="F22" s="230"/>
      <c r="G22" s="230"/>
      <c r="H22" s="230"/>
      <c r="I22" s="230"/>
      <c r="J22" s="230"/>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row>
    <row r="23" spans="1:39" s="164" customFormat="1" x14ac:dyDescent="0.3">
      <c r="A23" s="304">
        <f>+A22+1</f>
        <v>9</v>
      </c>
      <c r="B23" s="266" t="s">
        <v>490</v>
      </c>
      <c r="C23" s="266"/>
      <c r="D23" s="244">
        <v>0</v>
      </c>
      <c r="E23" s="266" t="s">
        <v>480</v>
      </c>
      <c r="F23" s="230"/>
      <c r="G23" s="230"/>
      <c r="H23" s="230"/>
      <c r="I23" s="230"/>
      <c r="J23" s="230"/>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row>
    <row r="24" spans="1:39" x14ac:dyDescent="0.3">
      <c r="A24" s="304">
        <f>+A23+1</f>
        <v>10</v>
      </c>
      <c r="B24" s="266" t="s">
        <v>491</v>
      </c>
      <c r="D24" s="244">
        <v>0</v>
      </c>
      <c r="E24" s="266" t="s">
        <v>480</v>
      </c>
      <c r="F24" s="230"/>
      <c r="G24" s="230"/>
      <c r="H24" s="230"/>
      <c r="I24" s="230"/>
      <c r="J24" s="230"/>
    </row>
    <row r="25" spans="1:39" x14ac:dyDescent="0.3">
      <c r="A25" s="304">
        <f>+A24+1</f>
        <v>11</v>
      </c>
      <c r="B25" s="266" t="s">
        <v>492</v>
      </c>
      <c r="D25" s="165">
        <v>-90211</v>
      </c>
      <c r="E25" s="266" t="s">
        <v>480</v>
      </c>
      <c r="F25" s="230"/>
      <c r="G25" s="230"/>
      <c r="H25" s="230"/>
      <c r="I25" s="230"/>
      <c r="J25" s="230"/>
    </row>
    <row r="26" spans="1:39" x14ac:dyDescent="0.3">
      <c r="A26" s="304">
        <f>+A25+1</f>
        <v>12</v>
      </c>
      <c r="B26" s="266" t="s">
        <v>493</v>
      </c>
      <c r="D26" s="308">
        <f>+SUM(D21:D25)</f>
        <v>-617507</v>
      </c>
    </row>
    <row r="27" spans="1:39" ht="30" customHeight="1" x14ac:dyDescent="0.3">
      <c r="B27" s="198" t="s">
        <v>494</v>
      </c>
      <c r="D27" s="308"/>
    </row>
    <row r="28" spans="1:39" ht="60.75" x14ac:dyDescent="0.3">
      <c r="A28" s="163">
        <f>+A26+1</f>
        <v>13</v>
      </c>
      <c r="B28" s="303" t="s">
        <v>495</v>
      </c>
      <c r="C28" s="303"/>
      <c r="D28" s="166">
        <v>0</v>
      </c>
      <c r="E28" s="266" t="s">
        <v>480</v>
      </c>
      <c r="F28" s="230"/>
      <c r="G28" s="230"/>
      <c r="H28" s="230"/>
      <c r="I28" s="230"/>
      <c r="J28" s="230"/>
    </row>
    <row r="29" spans="1:39" x14ac:dyDescent="0.3">
      <c r="A29" s="304">
        <f>+A28+1</f>
        <v>14</v>
      </c>
      <c r="B29" s="266" t="s">
        <v>496</v>
      </c>
      <c r="C29" s="303"/>
      <c r="D29" s="162">
        <v>-460973</v>
      </c>
      <c r="E29" s="266" t="s">
        <v>480</v>
      </c>
      <c r="F29" s="230"/>
      <c r="G29" s="230"/>
      <c r="H29" s="230"/>
      <c r="I29" s="230"/>
      <c r="J29" s="230"/>
    </row>
    <row r="30" spans="1:39" x14ac:dyDescent="0.3">
      <c r="A30" s="304">
        <f>+A29+1</f>
        <v>15</v>
      </c>
      <c r="B30" s="266" t="s">
        <v>497</v>
      </c>
      <c r="C30" s="303"/>
      <c r="D30" s="240">
        <f>+D28+D29</f>
        <v>-460973</v>
      </c>
    </row>
    <row r="31" spans="1:39" ht="40.5" x14ac:dyDescent="0.3">
      <c r="A31" s="304">
        <f>+A29+1</f>
        <v>15</v>
      </c>
      <c r="B31" s="266" t="s">
        <v>498</v>
      </c>
      <c r="C31" s="307" t="str">
        <f>"(Sum of Lines "&amp;A11&amp;", "&amp;A18&amp;", "&amp;A26&amp;" and "&amp;A30&amp;")"</f>
        <v>(Sum of Lines 1, 6, 12 and 15)</v>
      </c>
      <c r="D31" s="308">
        <f>+D11+D18+D26+D30</f>
        <v>-1107176</v>
      </c>
      <c r="G31" s="308"/>
    </row>
    <row r="32" spans="1:39" x14ac:dyDescent="0.3">
      <c r="D32" s="308"/>
    </row>
    <row r="33" spans="1:15" x14ac:dyDescent="0.3">
      <c r="A33" s="304">
        <f>+A31+1</f>
        <v>16</v>
      </c>
      <c r="B33" s="266" t="s">
        <v>499</v>
      </c>
      <c r="D33" s="308">
        <f>+D37</f>
        <v>0</v>
      </c>
      <c r="E33" s="198"/>
      <c r="F33" s="198"/>
      <c r="G33" s="198"/>
      <c r="H33" s="198"/>
      <c r="I33" s="198"/>
      <c r="J33" s="198"/>
      <c r="K33" s="198"/>
      <c r="L33" s="198"/>
      <c r="M33" s="198"/>
      <c r="N33" s="198"/>
      <c r="O33" s="198"/>
    </row>
    <row r="34" spans="1:15" x14ac:dyDescent="0.3">
      <c r="A34" s="304">
        <f>A33+1</f>
        <v>17</v>
      </c>
      <c r="B34" s="266" t="s">
        <v>500</v>
      </c>
      <c r="C34" s="307" t="str">
        <f>"(Line "&amp;A31&amp;" - "&amp;A33&amp;")"</f>
        <v>(Line 15 - 16)</v>
      </c>
      <c r="D34" s="161">
        <f>+D31-D33</f>
        <v>-1107176</v>
      </c>
      <c r="E34" s="302"/>
      <c r="F34" s="198"/>
      <c r="G34" s="198"/>
      <c r="H34" s="198"/>
      <c r="I34" s="198"/>
      <c r="J34" s="302"/>
      <c r="K34" s="198"/>
      <c r="L34" s="198"/>
      <c r="M34" s="198"/>
      <c r="N34" s="198"/>
      <c r="O34" s="198"/>
    </row>
    <row r="35" spans="1:15" x14ac:dyDescent="0.3">
      <c r="B35" s="160"/>
      <c r="D35" s="308"/>
      <c r="E35" s="263"/>
      <c r="F35" s="263"/>
      <c r="G35" s="263"/>
      <c r="H35" s="263"/>
      <c r="I35" s="263"/>
      <c r="J35" s="263"/>
    </row>
    <row r="36" spans="1:15" ht="59.25" customHeight="1" x14ac:dyDescent="0.3">
      <c r="A36" s="163">
        <f>A34+1</f>
        <v>18</v>
      </c>
      <c r="B36" s="158" t="s">
        <v>501</v>
      </c>
      <c r="C36" s="307" t="str">
        <f>"(Sum of Lines "&amp;A14&amp;" , "&amp;A15&amp;" , "&amp;A16&amp;", "&amp;A22&amp;" and "&amp;A24&amp;")"</f>
        <v>(Sum of Lines 2 , 3 , 4, 8 and 10)</v>
      </c>
      <c r="D36" s="159">
        <f>+D14+D15+D16+D22+D24</f>
        <v>-28696</v>
      </c>
    </row>
    <row r="37" spans="1:15" ht="41.25" customHeight="1" x14ac:dyDescent="0.3">
      <c r="A37" s="163">
        <f>+A36+1</f>
        <v>19</v>
      </c>
      <c r="B37" s="158" t="s">
        <v>502</v>
      </c>
      <c r="C37" s="307" t="str">
        <f>"(50% of Line "&amp;A36&amp;")"</f>
        <v>(50% of Line 18)</v>
      </c>
      <c r="D37" s="159">
        <v>0</v>
      </c>
      <c r="O37" s="263"/>
    </row>
    <row r="38" spans="1:15" x14ac:dyDescent="0.3">
      <c r="A38" s="163"/>
      <c r="D38" s="308"/>
      <c r="O38" s="263"/>
    </row>
    <row r="40" spans="1:15" ht="50.25" customHeight="1" x14ac:dyDescent="0.3">
      <c r="A40" s="163" t="s">
        <v>503</v>
      </c>
      <c r="B40" s="662" t="s">
        <v>504</v>
      </c>
      <c r="C40" s="662"/>
      <c r="D40" s="662"/>
    </row>
    <row r="41" spans="1:15" ht="154.5" customHeight="1" x14ac:dyDescent="0.3">
      <c r="A41" s="163" t="s">
        <v>505</v>
      </c>
      <c r="B41" s="663" t="s">
        <v>506</v>
      </c>
      <c r="C41" s="647"/>
      <c r="D41" s="647"/>
    </row>
    <row r="42" spans="1:15" x14ac:dyDescent="0.3">
      <c r="A42" s="304" t="s">
        <v>507</v>
      </c>
      <c r="B42" s="266" t="s">
        <v>508</v>
      </c>
      <c r="O42" s="403"/>
    </row>
    <row r="43" spans="1:15" x14ac:dyDescent="0.3">
      <c r="O43" s="403"/>
    </row>
    <row r="44" spans="1:15" x14ac:dyDescent="0.3">
      <c r="O44" s="403"/>
    </row>
    <row r="45" spans="1:15" x14ac:dyDescent="0.3">
      <c r="O45" s="403"/>
    </row>
  </sheetData>
  <customSheetViews>
    <customSheetView guid="{416404B7-8533-4A12-ABD0-58CFDEB49D80}" scale="75" fitToPage="1">
      <selection activeCell="F45" sqref="F45"/>
      <pageMargins left="0" right="0" top="0" bottom="0" header="0" footer="0"/>
      <printOptions horizontalCentered="1"/>
      <pageSetup scale="53" orientation="portrait" r:id="rId1"/>
      <headerFooter alignWithMargins="0"/>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2"/>
      <headerFooter alignWithMargins="0">
        <oddHeader>&amp;R&amp;12Page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3"/>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4"/>
      <headerFooter alignWithMargins="0">
        <oddHeader>&amp;R&amp;14Page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6"/>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7"/>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8"/>
      <headerFooter alignWithMargins="0">
        <oddHeader>&amp;R&amp;12Page &amp;P of &amp;N</oddHeader>
      </headerFooter>
    </customSheetView>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9"/>
      <headerFooter alignWithMargins="0">
        <oddHeader>&amp;R&amp;12Page &amp;P of &amp;N</oddHeader>
      </headerFooter>
    </customSheetView>
  </customSheetViews>
  <mergeCells count="6">
    <mergeCell ref="F10:J10"/>
    <mergeCell ref="B40:D40"/>
    <mergeCell ref="B41:D41"/>
    <mergeCell ref="A4:D4"/>
    <mergeCell ref="A2:D2"/>
    <mergeCell ref="A3:D3"/>
  </mergeCells>
  <phoneticPr fontId="0" type="noConversion"/>
  <printOptions horizontalCentered="1"/>
  <pageMargins left="0.75" right="0.75" top="1" bottom="1" header="0.5" footer="0.5"/>
  <pageSetup scale="51" orientation="landscape" r:id="rId10"/>
  <headerFooter alignWithMargins="0"/>
  <customProperties>
    <customPr name="_pios_id" r:id="rId1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45"/>
  <sheetViews>
    <sheetView showGridLines="0" tabSelected="1" showWhiteSpace="0" topLeftCell="A145" zoomScale="50" zoomScaleNormal="50" zoomScaleSheetLayoutView="40" zoomScalePageLayoutView="50" workbookViewId="0">
      <selection activeCell="S183" sqref="S183"/>
    </sheetView>
  </sheetViews>
  <sheetFormatPr defaultColWidth="9.28515625" defaultRowHeight="20.25" x14ac:dyDescent="0.3"/>
  <cols>
    <col min="1" max="1" width="14.28515625" style="266" customWidth="1"/>
    <col min="2" max="2" width="6.42578125" style="266" customWidth="1"/>
    <col min="3" max="3" width="63.140625" style="266" customWidth="1"/>
    <col min="4" max="4" width="41.42578125" style="266" customWidth="1"/>
    <col min="5" max="5" width="26.28515625" style="266" customWidth="1"/>
    <col min="6" max="6" width="14.7109375" style="266" customWidth="1"/>
    <col min="7" max="7" width="24.42578125" style="266" bestFit="1" customWidth="1"/>
    <col min="8" max="16" width="22.140625" style="266" bestFit="1" customWidth="1"/>
    <col min="17" max="17" width="22.42578125" style="266" bestFit="1" customWidth="1"/>
    <col min="18" max="18" width="27.85546875" style="266" customWidth="1"/>
    <col min="19" max="19" width="27.5703125" style="266" customWidth="1"/>
    <col min="20" max="20" width="23.28515625" style="266" bestFit="1" customWidth="1"/>
    <col min="21" max="21" width="18.42578125" style="266" customWidth="1"/>
    <col min="22" max="16384" width="9.28515625" style="266"/>
  </cols>
  <sheetData>
    <row r="1" spans="1:21" ht="21" customHeight="1" x14ac:dyDescent="0.3">
      <c r="A1" s="645" t="s">
        <v>0</v>
      </c>
      <c r="B1" s="645"/>
      <c r="C1" s="645"/>
      <c r="D1" s="645"/>
      <c r="E1" s="645"/>
      <c r="F1" s="645"/>
      <c r="G1" s="645"/>
      <c r="H1" s="645"/>
      <c r="I1" s="645"/>
      <c r="J1" s="645"/>
      <c r="K1" s="645"/>
      <c r="L1" s="645"/>
      <c r="M1" s="645"/>
      <c r="N1" s="645"/>
      <c r="O1" s="645"/>
      <c r="P1" s="645"/>
      <c r="Q1" s="645"/>
      <c r="R1" s="645"/>
      <c r="S1" s="645"/>
      <c r="T1" s="645"/>
      <c r="U1" s="645"/>
    </row>
    <row r="2" spans="1:21" ht="21" customHeight="1" x14ac:dyDescent="0.3">
      <c r="A2" s="645" t="str">
        <f>+'Appendix A'!A4</f>
        <v>ATTACHMENT H-15A, Effective April 17, 2024; Docket No. ER24-1268</v>
      </c>
      <c r="B2" s="645"/>
      <c r="C2" s="645"/>
      <c r="D2" s="645"/>
      <c r="E2" s="645"/>
      <c r="F2" s="645"/>
      <c r="G2" s="645"/>
      <c r="H2" s="645"/>
      <c r="I2" s="645"/>
      <c r="J2" s="645"/>
      <c r="K2" s="645"/>
      <c r="L2" s="645"/>
      <c r="M2" s="645"/>
      <c r="N2" s="645"/>
      <c r="O2" s="645"/>
      <c r="P2" s="645"/>
      <c r="Q2" s="645"/>
      <c r="R2" s="645"/>
      <c r="S2" s="645"/>
      <c r="T2" s="645"/>
      <c r="U2" s="645"/>
    </row>
    <row r="3" spans="1:21" ht="21" customHeight="1" x14ac:dyDescent="0.3">
      <c r="A3" s="648" t="s">
        <v>509</v>
      </c>
      <c r="B3" s="648"/>
      <c r="C3" s="648"/>
      <c r="D3" s="648"/>
      <c r="E3" s="648"/>
      <c r="F3" s="648"/>
      <c r="G3" s="648"/>
      <c r="H3" s="648"/>
      <c r="I3" s="648"/>
      <c r="J3" s="648"/>
      <c r="K3" s="648"/>
      <c r="L3" s="648"/>
      <c r="M3" s="648"/>
      <c r="N3" s="648"/>
      <c r="O3" s="648"/>
      <c r="P3" s="648"/>
      <c r="Q3" s="648"/>
      <c r="R3" s="648"/>
      <c r="S3" s="648"/>
      <c r="T3" s="648"/>
      <c r="U3" s="648"/>
    </row>
    <row r="4" spans="1:21" ht="51.6" customHeight="1" x14ac:dyDescent="0.3">
      <c r="A4" s="266" t="s">
        <v>411</v>
      </c>
      <c r="B4" s="302"/>
      <c r="C4" s="302"/>
      <c r="D4" s="302"/>
      <c r="E4" s="302"/>
      <c r="F4" s="302"/>
      <c r="G4" s="302"/>
      <c r="H4" s="302"/>
      <c r="I4" s="302"/>
      <c r="J4" s="302"/>
      <c r="K4" s="302"/>
      <c r="L4" s="302"/>
      <c r="M4" s="302"/>
      <c r="N4" s="302"/>
      <c r="O4" s="302"/>
      <c r="P4" s="302"/>
      <c r="Q4" s="302"/>
      <c r="U4" s="299"/>
    </row>
    <row r="5" spans="1:21" ht="21" customHeight="1" x14ac:dyDescent="0.3">
      <c r="A5" s="261"/>
      <c r="G5" s="332"/>
      <c r="H5" s="332"/>
      <c r="I5" s="332"/>
      <c r="J5" s="332"/>
      <c r="K5" s="157"/>
      <c r="L5" s="332"/>
      <c r="M5" s="332"/>
      <c r="N5" s="332"/>
      <c r="O5" s="300"/>
      <c r="Q5" s="332"/>
      <c r="U5" s="198"/>
    </row>
    <row r="6" spans="1:21" ht="21" thickBot="1" x14ac:dyDescent="0.35">
      <c r="A6" s="342" t="s">
        <v>510</v>
      </c>
      <c r="B6" s="304"/>
      <c r="E6" s="332"/>
      <c r="F6" s="332"/>
      <c r="G6" s="118" t="s">
        <v>511</v>
      </c>
      <c r="H6" s="673" t="s">
        <v>363</v>
      </c>
      <c r="I6" s="673"/>
      <c r="J6" s="673"/>
      <c r="K6" s="673"/>
      <c r="L6" s="673"/>
      <c r="M6" s="673"/>
      <c r="N6" s="673"/>
      <c r="O6" s="673"/>
      <c r="P6" s="673"/>
      <c r="Q6" s="673"/>
      <c r="R6" s="673"/>
      <c r="S6" s="674"/>
    </row>
    <row r="7" spans="1:21" ht="73.5" customHeight="1" thickBot="1" x14ac:dyDescent="0.35">
      <c r="A7" s="156" t="s">
        <v>512</v>
      </c>
      <c r="B7" s="155" t="s">
        <v>513</v>
      </c>
      <c r="C7" s="155"/>
      <c r="D7" s="155"/>
      <c r="E7" s="154" t="s">
        <v>514</v>
      </c>
      <c r="F7" s="79" t="s">
        <v>515</v>
      </c>
      <c r="G7" s="153" t="s">
        <v>516</v>
      </c>
      <c r="H7" s="152" t="s">
        <v>517</v>
      </c>
      <c r="I7" s="152" t="s">
        <v>518</v>
      </c>
      <c r="J7" s="152" t="s">
        <v>519</v>
      </c>
      <c r="K7" s="152" t="s">
        <v>520</v>
      </c>
      <c r="L7" s="152" t="s">
        <v>382</v>
      </c>
      <c r="M7" s="152" t="s">
        <v>521</v>
      </c>
      <c r="N7" s="152" t="s">
        <v>522</v>
      </c>
      <c r="O7" s="152" t="s">
        <v>523</v>
      </c>
      <c r="P7" s="152" t="s">
        <v>524</v>
      </c>
      <c r="Q7" s="152" t="s">
        <v>525</v>
      </c>
      <c r="R7" s="152" t="s">
        <v>526</v>
      </c>
      <c r="S7" s="153" t="s">
        <v>527</v>
      </c>
      <c r="T7" s="79" t="s">
        <v>528</v>
      </c>
      <c r="U7" s="151" t="s">
        <v>529</v>
      </c>
    </row>
    <row r="8" spans="1:21" x14ac:dyDescent="0.3">
      <c r="A8" s="150"/>
      <c r="B8" s="149" t="s">
        <v>15</v>
      </c>
      <c r="C8" s="148"/>
      <c r="D8" s="148"/>
      <c r="E8" s="148"/>
      <c r="F8" s="148"/>
      <c r="H8" s="147"/>
      <c r="I8" s="147"/>
      <c r="J8" s="147"/>
      <c r="K8" s="147"/>
      <c r="L8" s="147"/>
      <c r="M8" s="147"/>
      <c r="N8" s="147"/>
      <c r="O8" s="147"/>
      <c r="P8" s="147"/>
      <c r="Q8" s="147"/>
      <c r="R8" s="147"/>
      <c r="S8" s="308"/>
      <c r="T8" s="146"/>
      <c r="U8" s="145"/>
    </row>
    <row r="9" spans="1:21" x14ac:dyDescent="0.3">
      <c r="A9" s="144">
        <v>1</v>
      </c>
      <c r="B9" s="198"/>
      <c r="C9" s="266" t="s">
        <v>530</v>
      </c>
      <c r="E9" s="27" t="s">
        <v>531</v>
      </c>
      <c r="F9" s="27"/>
      <c r="G9" s="574">
        <v>3614293704.3621116</v>
      </c>
      <c r="H9" s="574">
        <v>3643411808.1313429</v>
      </c>
      <c r="I9" s="574">
        <v>3671637861.9005733</v>
      </c>
      <c r="J9" s="574">
        <v>3700381691.7146926</v>
      </c>
      <c r="K9" s="574">
        <v>3721978522.1505899</v>
      </c>
      <c r="L9" s="574">
        <v>3749583750.490087</v>
      </c>
      <c r="M9" s="574">
        <v>3778507599.0772324</v>
      </c>
      <c r="N9" s="574">
        <v>3822845832.1201296</v>
      </c>
      <c r="O9" s="574">
        <v>3844833286.5560269</v>
      </c>
      <c r="P9" s="574">
        <v>3871500165.0368118</v>
      </c>
      <c r="Q9" s="574">
        <v>3887013977.8485141</v>
      </c>
      <c r="R9" s="574">
        <v>3904669743.9176488</v>
      </c>
      <c r="S9" s="574">
        <v>4042031514</v>
      </c>
      <c r="T9" s="143">
        <f>AVERAGE(G9:S9)</f>
        <v>3788668419.7927504</v>
      </c>
      <c r="U9" s="142">
        <v>0</v>
      </c>
    </row>
    <row r="10" spans="1:21" x14ac:dyDescent="0.3">
      <c r="A10" s="144">
        <f>+A9+1</f>
        <v>2</v>
      </c>
      <c r="B10" s="198"/>
      <c r="C10" s="266" t="s">
        <v>532</v>
      </c>
      <c r="E10" s="266" t="s">
        <v>533</v>
      </c>
      <c r="G10" s="244">
        <v>0</v>
      </c>
      <c r="H10" s="244">
        <v>0</v>
      </c>
      <c r="I10" s="244">
        <v>0</v>
      </c>
      <c r="J10" s="244">
        <v>0</v>
      </c>
      <c r="K10" s="244">
        <v>0</v>
      </c>
      <c r="L10" s="244">
        <v>0</v>
      </c>
      <c r="M10" s="244">
        <v>0</v>
      </c>
      <c r="N10" s="244">
        <v>0</v>
      </c>
      <c r="O10" s="244">
        <v>0</v>
      </c>
      <c r="P10" s="244">
        <v>0</v>
      </c>
      <c r="Q10" s="244">
        <v>0</v>
      </c>
      <c r="R10" s="244">
        <v>0</v>
      </c>
      <c r="S10" s="244">
        <v>0</v>
      </c>
      <c r="T10" s="143">
        <f t="shared" ref="T10:T14" si="0">AVERAGE(G10:S10)</f>
        <v>0</v>
      </c>
      <c r="U10" s="142">
        <v>0</v>
      </c>
    </row>
    <row r="11" spans="1:21" x14ac:dyDescent="0.3">
      <c r="A11" s="144">
        <f t="shared" ref="A11:A14" si="1">+A10+1</f>
        <v>3</v>
      </c>
      <c r="B11" s="198"/>
      <c r="C11" s="266" t="s">
        <v>17</v>
      </c>
      <c r="E11" s="27" t="s">
        <v>534</v>
      </c>
      <c r="F11" s="27"/>
      <c r="G11" s="574">
        <v>-1281068085.5385325</v>
      </c>
      <c r="H11" s="574">
        <v>-1286704464.5859146</v>
      </c>
      <c r="I11" s="574">
        <v>-1292469892.0210531</v>
      </c>
      <c r="J11" s="574">
        <v>-1298106105.6014266</v>
      </c>
      <c r="K11" s="574">
        <v>-1304437525.8352602</v>
      </c>
      <c r="L11" s="574">
        <v>-1310302773.3335514</v>
      </c>
      <c r="M11" s="574">
        <v>-1316110661.6498554</v>
      </c>
      <c r="N11" s="574">
        <v>-1320363002.8280592</v>
      </c>
      <c r="O11" s="574">
        <v>-1326943851.5378025</v>
      </c>
      <c r="P11" s="574">
        <v>-1333109699.2713304</v>
      </c>
      <c r="Q11" s="574">
        <v>-1340255594.6461813</v>
      </c>
      <c r="R11" s="574">
        <v>-1347234752.2467639</v>
      </c>
      <c r="S11" s="574">
        <v>-1342270280</v>
      </c>
      <c r="T11" s="143">
        <f t="shared" si="0"/>
        <v>-1315336668.3919792</v>
      </c>
      <c r="U11" s="142">
        <v>0</v>
      </c>
    </row>
    <row r="12" spans="1:21" ht="27" customHeight="1" x14ac:dyDescent="0.3">
      <c r="A12" s="144">
        <f t="shared" si="1"/>
        <v>4</v>
      </c>
      <c r="C12" s="27" t="s">
        <v>36</v>
      </c>
      <c r="E12" s="266" t="s">
        <v>535</v>
      </c>
      <c r="G12" s="244">
        <v>-41795672.483059563</v>
      </c>
      <c r="H12" s="244">
        <v>-44097504.040875249</v>
      </c>
      <c r="I12" s="244">
        <v>-46403877.559161022</v>
      </c>
      <c r="J12" s="244">
        <v>-48714793.037916884</v>
      </c>
      <c r="K12" s="244">
        <v>-51030250.477142826</v>
      </c>
      <c r="L12" s="244">
        <v>-53350249.876838855</v>
      </c>
      <c r="M12" s="244">
        <v>-55674791.237004973</v>
      </c>
      <c r="N12" s="244">
        <v>-58003874.557641171</v>
      </c>
      <c r="O12" s="244">
        <v>-60337499.838747457</v>
      </c>
      <c r="P12" s="244">
        <v>-62675667.08032383</v>
      </c>
      <c r="Q12" s="244">
        <v>-65018376.282370284</v>
      </c>
      <c r="R12" s="244">
        <v>-67371078.111380547</v>
      </c>
      <c r="S12" s="244">
        <v>-69733772.56735462</v>
      </c>
      <c r="T12" s="143">
        <f>AVERAGE(G12:S12)</f>
        <v>-55708262.088447481</v>
      </c>
      <c r="U12" s="142">
        <v>0</v>
      </c>
    </row>
    <row r="13" spans="1:21" x14ac:dyDescent="0.3">
      <c r="A13" s="144">
        <f t="shared" si="1"/>
        <v>5</v>
      </c>
      <c r="C13" s="27" t="s">
        <v>536</v>
      </c>
      <c r="E13" s="266" t="s">
        <v>533</v>
      </c>
      <c r="G13" s="244">
        <v>0</v>
      </c>
      <c r="H13" s="244">
        <v>0</v>
      </c>
      <c r="I13" s="244">
        <v>0</v>
      </c>
      <c r="J13" s="244">
        <v>0</v>
      </c>
      <c r="K13" s="244">
        <v>0</v>
      </c>
      <c r="L13" s="244">
        <v>0</v>
      </c>
      <c r="M13" s="244">
        <v>0</v>
      </c>
      <c r="N13" s="244">
        <v>0</v>
      </c>
      <c r="O13" s="244">
        <v>0</v>
      </c>
      <c r="P13" s="244">
        <v>0</v>
      </c>
      <c r="Q13" s="244">
        <v>0</v>
      </c>
      <c r="R13" s="244">
        <v>0</v>
      </c>
      <c r="S13" s="244">
        <v>0</v>
      </c>
      <c r="T13" s="143">
        <f t="shared" si="0"/>
        <v>0</v>
      </c>
      <c r="U13" s="142">
        <v>0</v>
      </c>
    </row>
    <row r="14" spans="1:21" x14ac:dyDescent="0.3">
      <c r="A14" s="144">
        <f t="shared" si="1"/>
        <v>6</v>
      </c>
      <c r="C14" s="27" t="s">
        <v>537</v>
      </c>
      <c r="E14" s="266" t="s">
        <v>533</v>
      </c>
      <c r="G14" s="244">
        <v>0</v>
      </c>
      <c r="H14" s="244">
        <v>0</v>
      </c>
      <c r="I14" s="244">
        <v>0</v>
      </c>
      <c r="J14" s="244">
        <v>0</v>
      </c>
      <c r="K14" s="244">
        <v>0</v>
      </c>
      <c r="L14" s="244">
        <v>0</v>
      </c>
      <c r="M14" s="244">
        <v>0</v>
      </c>
      <c r="N14" s="244">
        <v>0</v>
      </c>
      <c r="O14" s="244">
        <v>0</v>
      </c>
      <c r="P14" s="244">
        <v>0</v>
      </c>
      <c r="Q14" s="244">
        <v>0</v>
      </c>
      <c r="R14" s="244">
        <v>0</v>
      </c>
      <c r="S14" s="244">
        <v>0</v>
      </c>
      <c r="T14" s="143">
        <f t="shared" si="0"/>
        <v>0</v>
      </c>
      <c r="U14" s="142">
        <v>0</v>
      </c>
    </row>
    <row r="15" spans="1:21" x14ac:dyDescent="0.3">
      <c r="A15" s="144"/>
      <c r="B15" s="198"/>
      <c r="E15" s="141"/>
      <c r="F15" s="141"/>
      <c r="G15" s="308"/>
      <c r="H15" s="308"/>
      <c r="I15" s="308"/>
      <c r="J15" s="308"/>
      <c r="K15" s="308"/>
      <c r="L15" s="308"/>
      <c r="M15" s="308"/>
      <c r="N15" s="308"/>
      <c r="O15" s="308"/>
      <c r="P15" s="308"/>
      <c r="Q15" s="308"/>
      <c r="R15" s="308"/>
      <c r="S15" s="308"/>
      <c r="T15" s="143"/>
      <c r="U15" s="140"/>
    </row>
    <row r="16" spans="1:21" x14ac:dyDescent="0.3">
      <c r="A16" s="144"/>
      <c r="B16" s="198" t="s">
        <v>24</v>
      </c>
      <c r="E16" s="141"/>
      <c r="F16" s="141"/>
      <c r="G16" s="308"/>
      <c r="H16" s="308"/>
      <c r="I16" s="308"/>
      <c r="J16" s="308"/>
      <c r="K16" s="308"/>
      <c r="L16" s="308"/>
      <c r="M16" s="308"/>
      <c r="N16" s="308"/>
      <c r="O16" s="308"/>
      <c r="P16" s="308"/>
      <c r="Q16" s="308"/>
      <c r="R16" s="308"/>
      <c r="S16" s="308"/>
      <c r="T16" s="143"/>
      <c r="U16" s="140"/>
    </row>
    <row r="17" spans="1:21" x14ac:dyDescent="0.3">
      <c r="A17" s="144">
        <f>+A14+1</f>
        <v>7</v>
      </c>
      <c r="B17" s="198"/>
      <c r="C17" s="266" t="s">
        <v>538</v>
      </c>
      <c r="E17" s="386" t="s">
        <v>539</v>
      </c>
      <c r="F17" s="314" t="s">
        <v>540</v>
      </c>
      <c r="G17" s="575">
        <v>916394741.50625014</v>
      </c>
      <c r="H17" s="575">
        <v>916394741.50625014</v>
      </c>
      <c r="I17" s="575">
        <v>916394741.50625014</v>
      </c>
      <c r="J17" s="575">
        <v>921074165.55113769</v>
      </c>
      <c r="K17" s="575">
        <v>921074165.55113769</v>
      </c>
      <c r="L17" s="575">
        <v>924725673.45473766</v>
      </c>
      <c r="M17" s="575">
        <v>929405650.60598516</v>
      </c>
      <c r="N17" s="575">
        <v>951756429.21298516</v>
      </c>
      <c r="O17" s="575">
        <v>951756429.21298516</v>
      </c>
      <c r="P17" s="575">
        <v>956435853.25787258</v>
      </c>
      <c r="Q17" s="575">
        <v>956435853.25787258</v>
      </c>
      <c r="R17" s="575">
        <v>958253853.25787258</v>
      </c>
      <c r="S17" s="575">
        <v>1079778431</v>
      </c>
      <c r="T17" s="143">
        <f>AVERAGE(G17:S17)</f>
        <v>946144671.45241082</v>
      </c>
      <c r="U17" s="142">
        <v>0</v>
      </c>
    </row>
    <row r="18" spans="1:21" x14ac:dyDescent="0.3">
      <c r="A18" s="144">
        <f>+A17+1</f>
        <v>8</v>
      </c>
      <c r="B18" s="198"/>
      <c r="C18" s="266" t="s">
        <v>541</v>
      </c>
      <c r="E18" s="266" t="s">
        <v>542</v>
      </c>
      <c r="F18" s="366" t="s">
        <v>543</v>
      </c>
      <c r="G18" s="575">
        <v>44262684.074560314</v>
      </c>
      <c r="H18" s="575">
        <v>44262684.074560314</v>
      </c>
      <c r="I18" s="575">
        <v>44262684.074560314</v>
      </c>
      <c r="J18" s="575">
        <v>44262684.074560314</v>
      </c>
      <c r="K18" s="575">
        <v>44262684.074560314</v>
      </c>
      <c r="L18" s="575">
        <v>44262684.074560314</v>
      </c>
      <c r="M18" s="575">
        <v>44262684.074560314</v>
      </c>
      <c r="N18" s="575">
        <v>44262684.074560314</v>
      </c>
      <c r="O18" s="575">
        <v>44262684.074560314</v>
      </c>
      <c r="P18" s="575">
        <v>44262684.074560314</v>
      </c>
      <c r="Q18" s="575">
        <v>44262684.074560314</v>
      </c>
      <c r="R18" s="575">
        <v>44262684.074560314</v>
      </c>
      <c r="S18" s="575">
        <v>44262684.074560314</v>
      </c>
      <c r="T18" s="143">
        <f t="shared" ref="T18:T20" si="2">AVERAGE(G18:S18)</f>
        <v>44262684.0745603</v>
      </c>
      <c r="U18" s="142">
        <v>0</v>
      </c>
    </row>
    <row r="19" spans="1:21" x14ac:dyDescent="0.3">
      <c r="A19" s="144">
        <f t="shared" ref="A19:A20" si="3">+A18+1</f>
        <v>9</v>
      </c>
      <c r="B19" s="198"/>
      <c r="C19" s="266" t="s">
        <v>27</v>
      </c>
      <c r="E19" s="266" t="s">
        <v>544</v>
      </c>
      <c r="F19" s="366" t="s">
        <v>545</v>
      </c>
      <c r="G19" s="575">
        <v>214659808.09788832</v>
      </c>
      <c r="H19" s="575">
        <v>215041218.35429859</v>
      </c>
      <c r="I19" s="575">
        <v>215422628.61070886</v>
      </c>
      <c r="J19" s="575">
        <v>215804038.86711913</v>
      </c>
      <c r="K19" s="575">
        <v>216185449.1235294</v>
      </c>
      <c r="L19" s="575">
        <v>216566859.37993968</v>
      </c>
      <c r="M19" s="575">
        <v>216948269.63634995</v>
      </c>
      <c r="N19" s="575">
        <v>217329679.89276022</v>
      </c>
      <c r="O19" s="575">
        <v>217711090.14917049</v>
      </c>
      <c r="P19" s="575">
        <v>218092500.40558076</v>
      </c>
      <c r="Q19" s="575">
        <v>218931629.33186281</v>
      </c>
      <c r="R19" s="575">
        <v>219770758.25814486</v>
      </c>
      <c r="S19" s="575">
        <v>220609887.1844269</v>
      </c>
      <c r="T19" s="143">
        <f t="shared" si="2"/>
        <v>217159524.40706</v>
      </c>
      <c r="U19" s="142">
        <v>0</v>
      </c>
    </row>
    <row r="20" spans="1:21" x14ac:dyDescent="0.3">
      <c r="A20" s="144">
        <f t="shared" si="3"/>
        <v>10</v>
      </c>
      <c r="B20" s="198"/>
      <c r="C20" s="266" t="s">
        <v>532</v>
      </c>
      <c r="E20" s="266" t="s">
        <v>533</v>
      </c>
      <c r="F20" s="366"/>
      <c r="G20" s="244">
        <v>0</v>
      </c>
      <c r="H20" s="244">
        <v>0</v>
      </c>
      <c r="I20" s="244">
        <v>0</v>
      </c>
      <c r="J20" s="244">
        <v>0</v>
      </c>
      <c r="K20" s="244">
        <v>0</v>
      </c>
      <c r="L20" s="244">
        <v>0</v>
      </c>
      <c r="M20" s="244">
        <v>0</v>
      </c>
      <c r="N20" s="244">
        <v>0</v>
      </c>
      <c r="O20" s="244">
        <v>0</v>
      </c>
      <c r="P20" s="244">
        <v>0</v>
      </c>
      <c r="Q20" s="244">
        <v>0</v>
      </c>
      <c r="R20" s="244">
        <v>0</v>
      </c>
      <c r="S20" s="244">
        <v>0</v>
      </c>
      <c r="T20" s="143">
        <f t="shared" si="2"/>
        <v>0</v>
      </c>
      <c r="U20" s="142">
        <v>0</v>
      </c>
    </row>
    <row r="21" spans="1:21" x14ac:dyDescent="0.3">
      <c r="A21" s="144"/>
      <c r="B21" s="304"/>
      <c r="C21" s="27"/>
      <c r="E21" s="308"/>
      <c r="F21" s="314"/>
      <c r="G21" s="308"/>
      <c r="H21" s="308"/>
      <c r="I21" s="308"/>
      <c r="J21" s="308"/>
      <c r="K21" s="308"/>
      <c r="L21" s="308"/>
      <c r="M21" s="308"/>
      <c r="N21" s="308"/>
      <c r="O21" s="308"/>
      <c r="P21" s="308"/>
      <c r="Q21" s="308"/>
      <c r="R21" s="308"/>
      <c r="S21" s="308"/>
      <c r="T21" s="143"/>
      <c r="U21" s="142"/>
    </row>
    <row r="22" spans="1:21" x14ac:dyDescent="0.3">
      <c r="A22" s="144"/>
      <c r="B22" s="198" t="s">
        <v>33</v>
      </c>
      <c r="E22" s="141"/>
      <c r="F22" s="139"/>
      <c r="G22" s="308"/>
      <c r="H22" s="308"/>
      <c r="I22" s="308"/>
      <c r="J22" s="308"/>
      <c r="K22" s="308"/>
      <c r="L22" s="308"/>
      <c r="M22" s="308"/>
      <c r="N22" s="308"/>
      <c r="O22" s="308"/>
      <c r="P22" s="308"/>
      <c r="Q22" s="308"/>
      <c r="R22" s="308"/>
      <c r="S22" s="308"/>
      <c r="T22" s="143"/>
      <c r="U22" s="140"/>
    </row>
    <row r="23" spans="1:21" x14ac:dyDescent="0.3">
      <c r="A23" s="144">
        <f>+A20+1</f>
        <v>11</v>
      </c>
      <c r="B23" s="304"/>
      <c r="C23" s="266" t="s">
        <v>34</v>
      </c>
      <c r="E23" s="27" t="s">
        <v>546</v>
      </c>
      <c r="F23" s="366">
        <v>108</v>
      </c>
      <c r="G23" s="575">
        <v>-224677751.31146485</v>
      </c>
      <c r="H23" s="575">
        <v>-226123347.27610445</v>
      </c>
      <c r="I23" s="575">
        <v>-227568943.24074405</v>
      </c>
      <c r="J23" s="575">
        <v>-228546082.01277116</v>
      </c>
      <c r="K23" s="575">
        <v>-229999532.14802289</v>
      </c>
      <c r="L23" s="575">
        <v>-231087429.78687462</v>
      </c>
      <c r="M23" s="575">
        <v>-232078496.22470066</v>
      </c>
      <c r="N23" s="575">
        <v>-231308393.63336557</v>
      </c>
      <c r="O23" s="575">
        <v>-232813342.35717326</v>
      </c>
      <c r="P23" s="575">
        <v>-233849833.88836846</v>
      </c>
      <c r="Q23" s="575">
        <v>-235362636.78278831</v>
      </c>
      <c r="R23" s="575">
        <v>-236693439.67720816</v>
      </c>
      <c r="S23" s="575">
        <v>-226043467</v>
      </c>
      <c r="T23" s="143">
        <f t="shared" ref="T23:T25" si="4">AVERAGE(G23:S23)</f>
        <v>-230473284.25689125</v>
      </c>
      <c r="U23" s="142">
        <v>0</v>
      </c>
    </row>
    <row r="24" spans="1:21" x14ac:dyDescent="0.3">
      <c r="A24" s="144">
        <f>+A23+1</f>
        <v>12</v>
      </c>
      <c r="B24" s="304"/>
      <c r="C24" s="266" t="s">
        <v>35</v>
      </c>
      <c r="D24" s="304"/>
      <c r="E24" s="27" t="s">
        <v>547</v>
      </c>
      <c r="F24" s="366">
        <v>108</v>
      </c>
      <c r="G24" s="575">
        <v>-10812045.372856556</v>
      </c>
      <c r="H24" s="575">
        <v>-10933555.670107432</v>
      </c>
      <c r="I24" s="575">
        <v>-11055065.967358308</v>
      </c>
      <c r="J24" s="575">
        <v>-11176576.264609184</v>
      </c>
      <c r="K24" s="575">
        <v>-11298086.56186006</v>
      </c>
      <c r="L24" s="575">
        <v>-11419596.859110937</v>
      </c>
      <c r="M24" s="575">
        <v>-11541107.156361813</v>
      </c>
      <c r="N24" s="575">
        <v>-11662617.453612689</v>
      </c>
      <c r="O24" s="575">
        <v>-11784127.750863565</v>
      </c>
      <c r="P24" s="575">
        <v>-11905638.048114441</v>
      </c>
      <c r="Q24" s="575">
        <v>-12027148.345365318</v>
      </c>
      <c r="R24" s="575">
        <v>-12148658.642616194</v>
      </c>
      <c r="S24" s="575">
        <v>-12270168.93986707</v>
      </c>
      <c r="T24" s="143">
        <f t="shared" si="4"/>
        <v>-11541107.156361811</v>
      </c>
      <c r="U24" s="142">
        <v>0</v>
      </c>
    </row>
    <row r="25" spans="1:21" ht="21" thickBot="1" x14ac:dyDescent="0.35">
      <c r="A25" s="138">
        <f>+A24+1</f>
        <v>13</v>
      </c>
      <c r="B25" s="553"/>
      <c r="C25" s="557" t="s">
        <v>548</v>
      </c>
      <c r="D25" s="557"/>
      <c r="E25" s="557" t="s">
        <v>533</v>
      </c>
      <c r="F25" s="558">
        <v>111</v>
      </c>
      <c r="G25" s="559">
        <v>0</v>
      </c>
      <c r="H25" s="559">
        <v>0</v>
      </c>
      <c r="I25" s="559">
        <v>0</v>
      </c>
      <c r="J25" s="559">
        <v>0</v>
      </c>
      <c r="K25" s="559">
        <v>0</v>
      </c>
      <c r="L25" s="559">
        <v>0</v>
      </c>
      <c r="M25" s="559">
        <v>0</v>
      </c>
      <c r="N25" s="559">
        <v>0</v>
      </c>
      <c r="O25" s="559">
        <v>0</v>
      </c>
      <c r="P25" s="559">
        <v>0</v>
      </c>
      <c r="Q25" s="559">
        <v>0</v>
      </c>
      <c r="R25" s="559">
        <v>0</v>
      </c>
      <c r="S25" s="559">
        <v>0</v>
      </c>
      <c r="T25" s="137">
        <f t="shared" si="4"/>
        <v>0</v>
      </c>
      <c r="U25" s="136">
        <v>0</v>
      </c>
    </row>
    <row r="26" spans="1:21" x14ac:dyDescent="0.3">
      <c r="A26" s="27"/>
      <c r="B26" s="342"/>
      <c r="C26" s="27"/>
      <c r="G26" s="263"/>
      <c r="H26" s="263"/>
      <c r="I26" s="263"/>
      <c r="J26" s="263"/>
      <c r="K26" s="263"/>
      <c r="L26" s="263"/>
      <c r="M26" s="263"/>
      <c r="N26" s="263"/>
      <c r="O26" s="263"/>
      <c r="P26" s="263"/>
      <c r="Q26" s="263"/>
      <c r="R26" s="263"/>
      <c r="S26" s="263"/>
      <c r="T26" s="263"/>
      <c r="U26" s="312"/>
    </row>
    <row r="27" spans="1:21" x14ac:dyDescent="0.3">
      <c r="A27" s="304"/>
      <c r="B27" s="342"/>
      <c r="C27" s="27"/>
      <c r="G27" s="263"/>
      <c r="H27" s="263"/>
      <c r="I27" s="263"/>
      <c r="J27" s="263"/>
      <c r="K27" s="263"/>
      <c r="L27" s="263"/>
      <c r="M27" s="263"/>
      <c r="N27" s="263"/>
      <c r="O27" s="263"/>
      <c r="P27" s="263"/>
      <c r="Q27" s="263"/>
      <c r="R27" s="263"/>
      <c r="S27" s="403"/>
      <c r="U27" s="312"/>
    </row>
    <row r="28" spans="1:21" ht="21" thickBot="1" x14ac:dyDescent="0.35">
      <c r="A28" s="342" t="s">
        <v>549</v>
      </c>
      <c r="C28" s="27"/>
      <c r="G28" s="135"/>
      <c r="H28" s="135"/>
      <c r="I28" s="135"/>
      <c r="J28" s="135"/>
      <c r="K28" s="135"/>
      <c r="L28" s="135"/>
      <c r="M28" s="135"/>
      <c r="N28" s="135"/>
      <c r="O28" s="263"/>
      <c r="P28" s="263"/>
      <c r="Q28" s="135"/>
      <c r="R28" s="135"/>
      <c r="S28" s="135"/>
      <c r="T28" s="135"/>
      <c r="U28" s="263"/>
    </row>
    <row r="29" spans="1:21" ht="41.25" thickBot="1" x14ac:dyDescent="0.35">
      <c r="A29" s="134" t="s">
        <v>512</v>
      </c>
      <c r="B29" s="133" t="s">
        <v>513</v>
      </c>
      <c r="C29" s="133"/>
      <c r="D29" s="133"/>
      <c r="E29" s="132" t="s">
        <v>514</v>
      </c>
      <c r="F29" s="111" t="s">
        <v>515</v>
      </c>
      <c r="G29" s="131"/>
      <c r="H29" s="131"/>
      <c r="I29" s="131"/>
      <c r="J29" s="131"/>
      <c r="K29" s="131"/>
      <c r="L29" s="131"/>
      <c r="M29" s="131"/>
      <c r="N29" s="131"/>
      <c r="O29" s="131"/>
      <c r="P29" s="131"/>
      <c r="Q29" s="131"/>
      <c r="R29" s="131"/>
      <c r="S29" s="131"/>
      <c r="T29" s="153" t="s">
        <v>550</v>
      </c>
      <c r="U29" s="130"/>
    </row>
    <row r="30" spans="1:21" ht="18" customHeight="1" x14ac:dyDescent="0.3">
      <c r="A30" s="129"/>
      <c r="B30" s="198"/>
      <c r="C30" s="198"/>
      <c r="D30" s="198"/>
      <c r="E30" s="234"/>
      <c r="F30" s="234"/>
      <c r="T30" s="302"/>
      <c r="U30" s="128"/>
    </row>
    <row r="31" spans="1:21" x14ac:dyDescent="0.3">
      <c r="A31" s="144">
        <f>+A25+1</f>
        <v>14</v>
      </c>
      <c r="B31" s="342"/>
      <c r="C31" s="27" t="s">
        <v>551</v>
      </c>
      <c r="D31" s="342"/>
      <c r="E31" s="266" t="s">
        <v>552</v>
      </c>
      <c r="G31" s="304"/>
      <c r="T31" s="244">
        <v>58001419</v>
      </c>
      <c r="U31" s="128"/>
    </row>
    <row r="32" spans="1:21" x14ac:dyDescent="0.3">
      <c r="A32" s="144">
        <f>+A31+1</f>
        <v>15</v>
      </c>
      <c r="B32" s="342"/>
      <c r="C32" s="27" t="s">
        <v>553</v>
      </c>
      <c r="D32" s="342"/>
      <c r="E32" s="266" t="s">
        <v>554</v>
      </c>
      <c r="T32" s="244">
        <v>15715987</v>
      </c>
      <c r="U32" s="128"/>
    </row>
    <row r="33" spans="1:21" x14ac:dyDescent="0.3">
      <c r="A33" s="144">
        <f>+A32+1</f>
        <v>16</v>
      </c>
      <c r="C33" s="27" t="s">
        <v>555</v>
      </c>
      <c r="E33" s="266" t="s">
        <v>556</v>
      </c>
      <c r="T33" s="244">
        <v>4655915</v>
      </c>
      <c r="U33" s="128"/>
    </row>
    <row r="34" spans="1:21" ht="21" thickBot="1" x14ac:dyDescent="0.35">
      <c r="A34" s="138"/>
      <c r="B34" s="557"/>
      <c r="C34" s="554"/>
      <c r="D34" s="557"/>
      <c r="E34" s="557"/>
      <c r="F34" s="557"/>
      <c r="G34" s="560"/>
      <c r="H34" s="557"/>
      <c r="I34" s="557"/>
      <c r="J34" s="557"/>
      <c r="K34" s="557"/>
      <c r="L34" s="557"/>
      <c r="M34" s="557"/>
      <c r="N34" s="557"/>
      <c r="O34" s="557"/>
      <c r="P34" s="557"/>
      <c r="Q34" s="557"/>
      <c r="R34" s="557"/>
      <c r="S34" s="557"/>
      <c r="T34" s="557"/>
      <c r="U34" s="127"/>
    </row>
    <row r="35" spans="1:21" x14ac:dyDescent="0.3">
      <c r="A35" s="304"/>
      <c r="C35" s="27"/>
      <c r="G35" s="263"/>
      <c r="H35" s="263"/>
      <c r="I35" s="263"/>
      <c r="J35" s="263"/>
      <c r="K35" s="263"/>
      <c r="L35" s="263"/>
      <c r="M35" s="263"/>
      <c r="N35" s="263"/>
      <c r="O35" s="263"/>
      <c r="P35" s="263"/>
      <c r="Q35" s="263"/>
      <c r="R35" s="263"/>
      <c r="S35" s="263"/>
      <c r="T35" s="263"/>
    </row>
    <row r="36" spans="1:21" x14ac:dyDescent="0.3">
      <c r="A36" s="304"/>
      <c r="C36" s="27"/>
      <c r="G36" s="263"/>
      <c r="H36" s="263"/>
      <c r="I36" s="263"/>
      <c r="J36" s="263"/>
      <c r="K36" s="263"/>
      <c r="L36" s="263"/>
      <c r="M36" s="263"/>
      <c r="N36" s="263"/>
      <c r="O36" s="263"/>
      <c r="P36" s="263"/>
      <c r="Q36" s="263"/>
      <c r="R36" s="263"/>
      <c r="S36" s="263"/>
      <c r="T36" s="263"/>
    </row>
    <row r="37" spans="1:21" ht="21" thickBot="1" x14ac:dyDescent="0.35">
      <c r="A37" s="342" t="s">
        <v>557</v>
      </c>
      <c r="G37" s="135"/>
    </row>
    <row r="38" spans="1:21" ht="41.25" thickBot="1" x14ac:dyDescent="0.35">
      <c r="A38" s="134" t="s">
        <v>512</v>
      </c>
      <c r="B38" s="133" t="s">
        <v>513</v>
      </c>
      <c r="C38" s="133"/>
      <c r="D38" s="133"/>
      <c r="E38" s="132" t="s">
        <v>514</v>
      </c>
      <c r="F38" s="111" t="s">
        <v>515</v>
      </c>
      <c r="G38" s="131"/>
      <c r="H38" s="131"/>
      <c r="I38" s="131"/>
      <c r="J38" s="131"/>
      <c r="K38" s="131"/>
      <c r="L38" s="131"/>
      <c r="M38" s="131"/>
      <c r="N38" s="131"/>
      <c r="O38" s="131"/>
      <c r="P38" s="131"/>
      <c r="Q38" s="131"/>
      <c r="R38" s="111" t="s">
        <v>558</v>
      </c>
      <c r="S38" s="153" t="s">
        <v>550</v>
      </c>
      <c r="T38" s="111" t="s">
        <v>528</v>
      </c>
      <c r="U38" s="130"/>
    </row>
    <row r="39" spans="1:21" x14ac:dyDescent="0.3">
      <c r="A39" s="129"/>
      <c r="B39" s="198"/>
      <c r="C39" s="198"/>
      <c r="D39" s="198"/>
      <c r="E39" s="234"/>
      <c r="F39" s="234"/>
      <c r="Q39" s="263"/>
      <c r="R39" s="263"/>
      <c r="S39" s="263"/>
      <c r="T39" s="84"/>
      <c r="U39" s="128"/>
    </row>
    <row r="40" spans="1:21" x14ac:dyDescent="0.3">
      <c r="A40" s="144">
        <f>+A33+1</f>
        <v>17</v>
      </c>
      <c r="B40" s="304"/>
      <c r="C40" s="126" t="s">
        <v>58</v>
      </c>
      <c r="E40" s="27" t="s">
        <v>559</v>
      </c>
      <c r="F40" s="366">
        <v>105</v>
      </c>
      <c r="G40" s="304"/>
      <c r="Q40" s="263"/>
      <c r="R40" s="244">
        <v>42369</v>
      </c>
      <c r="S40" s="244">
        <v>42369</v>
      </c>
      <c r="T40" s="308">
        <f>+SUM(R40:S40)/2</f>
        <v>42369</v>
      </c>
      <c r="U40" s="128"/>
    </row>
    <row r="41" spans="1:21" ht="21" thickBot="1" x14ac:dyDescent="0.35">
      <c r="A41" s="138"/>
      <c r="B41" s="53"/>
      <c r="C41" s="553"/>
      <c r="D41" s="557"/>
      <c r="E41" s="554"/>
      <c r="F41" s="554"/>
      <c r="G41" s="560"/>
      <c r="H41" s="560"/>
      <c r="I41" s="560"/>
      <c r="J41" s="557"/>
      <c r="K41" s="557"/>
      <c r="L41" s="557"/>
      <c r="M41" s="557"/>
      <c r="N41" s="557"/>
      <c r="O41" s="557"/>
      <c r="P41" s="557"/>
      <c r="Q41" s="560"/>
      <c r="R41" s="560"/>
      <c r="S41" s="560"/>
      <c r="T41" s="557"/>
      <c r="U41" s="127"/>
    </row>
    <row r="42" spans="1:21" x14ac:dyDescent="0.3">
      <c r="A42" s="304"/>
      <c r="B42" s="304"/>
      <c r="C42" s="342"/>
      <c r="E42" s="27"/>
      <c r="F42" s="27"/>
      <c r="G42" s="263"/>
      <c r="H42" s="263"/>
      <c r="I42" s="263"/>
    </row>
    <row r="43" spans="1:21" x14ac:dyDescent="0.3">
      <c r="A43" s="304"/>
      <c r="B43" s="304"/>
      <c r="C43" s="342"/>
      <c r="E43" s="27"/>
      <c r="F43" s="27"/>
      <c r="G43" s="263"/>
      <c r="H43" s="263"/>
      <c r="I43" s="263"/>
    </row>
    <row r="44" spans="1:21" ht="21" thickBot="1" x14ac:dyDescent="0.35">
      <c r="A44" s="342" t="s">
        <v>51</v>
      </c>
    </row>
    <row r="45" spans="1:21" ht="41.25" thickBot="1" x14ac:dyDescent="0.35">
      <c r="A45" s="134" t="s">
        <v>512</v>
      </c>
      <c r="B45" s="133" t="s">
        <v>513</v>
      </c>
      <c r="C45" s="133"/>
      <c r="D45" s="133"/>
      <c r="E45" s="154" t="s">
        <v>514</v>
      </c>
      <c r="F45" s="111" t="s">
        <v>515</v>
      </c>
      <c r="G45" s="153" t="s">
        <v>516</v>
      </c>
      <c r="H45" s="152" t="s">
        <v>517</v>
      </c>
      <c r="I45" s="152" t="s">
        <v>518</v>
      </c>
      <c r="J45" s="152" t="s">
        <v>519</v>
      </c>
      <c r="K45" s="152" t="s">
        <v>520</v>
      </c>
      <c r="L45" s="152" t="s">
        <v>382</v>
      </c>
      <c r="M45" s="152" t="s">
        <v>521</v>
      </c>
      <c r="N45" s="152" t="s">
        <v>522</v>
      </c>
      <c r="O45" s="152" t="s">
        <v>523</v>
      </c>
      <c r="P45" s="152" t="s">
        <v>524</v>
      </c>
      <c r="Q45" s="152" t="s">
        <v>525</v>
      </c>
      <c r="R45" s="152" t="s">
        <v>526</v>
      </c>
      <c r="S45" s="153" t="s">
        <v>527</v>
      </c>
      <c r="T45" s="79" t="s">
        <v>528</v>
      </c>
      <c r="U45" s="110"/>
    </row>
    <row r="46" spans="1:21" x14ac:dyDescent="0.3">
      <c r="A46" s="125"/>
      <c r="B46" s="439"/>
      <c r="C46" s="149"/>
      <c r="D46" s="148"/>
      <c r="E46" s="440"/>
      <c r="F46" s="440"/>
      <c r="G46" s="148"/>
      <c r="H46" s="148"/>
      <c r="I46" s="148"/>
      <c r="J46" s="148"/>
      <c r="K46" s="148"/>
      <c r="L46" s="148"/>
      <c r="M46" s="124"/>
      <c r="N46" s="124"/>
      <c r="O46" s="148"/>
      <c r="P46" s="439"/>
      <c r="Q46" s="123"/>
      <c r="R46" s="439"/>
      <c r="S46" s="123"/>
      <c r="T46" s="148"/>
      <c r="U46" s="146"/>
    </row>
    <row r="47" spans="1:21" x14ac:dyDescent="0.3">
      <c r="A47" s="144">
        <f>+A40+1</f>
        <v>18</v>
      </c>
      <c r="B47" s="304"/>
      <c r="C47" s="266" t="s">
        <v>560</v>
      </c>
      <c r="D47" s="263"/>
      <c r="E47" s="27" t="s">
        <v>561</v>
      </c>
      <c r="F47" s="366">
        <v>165</v>
      </c>
      <c r="G47" s="244">
        <v>19209765</v>
      </c>
      <c r="H47" s="244">
        <v>27089759</v>
      </c>
      <c r="I47" s="244">
        <v>28938560</v>
      </c>
      <c r="J47" s="244">
        <v>21605297</v>
      </c>
      <c r="K47" s="244">
        <v>32670586</v>
      </c>
      <c r="L47" s="244">
        <v>41441311</v>
      </c>
      <c r="M47" s="244">
        <v>28882675</v>
      </c>
      <c r="N47" s="244">
        <v>44879673</v>
      </c>
      <c r="O47" s="244">
        <v>57541491</v>
      </c>
      <c r="P47" s="244">
        <v>33360952</v>
      </c>
      <c r="Q47" s="244">
        <v>47220096</v>
      </c>
      <c r="R47" s="244">
        <v>52399433</v>
      </c>
      <c r="S47" s="244">
        <v>34346558</v>
      </c>
      <c r="T47" s="308">
        <f>+AVERAGE(G47:S47)</f>
        <v>36122012</v>
      </c>
      <c r="U47" s="122"/>
    </row>
    <row r="48" spans="1:21" x14ac:dyDescent="0.3">
      <c r="A48" s="144">
        <f>+A47+1</f>
        <v>19</v>
      </c>
      <c r="B48" s="304"/>
      <c r="C48" s="266" t="s">
        <v>562</v>
      </c>
      <c r="E48" s="27" t="s">
        <v>561</v>
      </c>
      <c r="F48" s="366">
        <v>165</v>
      </c>
      <c r="G48" s="121">
        <v>151285</v>
      </c>
      <c r="H48" s="199">
        <v>0</v>
      </c>
      <c r="I48" s="199">
        <v>0</v>
      </c>
      <c r="J48" s="199">
        <v>0</v>
      </c>
      <c r="K48" s="199">
        <v>0</v>
      </c>
      <c r="L48" s="199">
        <v>0</v>
      </c>
      <c r="M48" s="120">
        <v>101864</v>
      </c>
      <c r="N48" s="120">
        <v>40960</v>
      </c>
      <c r="O48" s="199">
        <v>0</v>
      </c>
      <c r="P48" s="199">
        <v>0</v>
      </c>
      <c r="Q48" s="199">
        <v>40960</v>
      </c>
      <c r="R48" s="199">
        <v>0</v>
      </c>
      <c r="S48" s="199">
        <v>0</v>
      </c>
      <c r="T48" s="308">
        <f t="shared" ref="T48:T50" si="5">+AVERAGE(G48:S48)</f>
        <v>25774.538461538461</v>
      </c>
      <c r="U48" s="122"/>
    </row>
    <row r="49" spans="1:21" x14ac:dyDescent="0.3">
      <c r="A49" s="144">
        <f>+A48+1</f>
        <v>20</v>
      </c>
      <c r="B49" s="304"/>
      <c r="C49" s="266" t="s">
        <v>563</v>
      </c>
      <c r="E49" s="27" t="s">
        <v>561</v>
      </c>
      <c r="F49" s="366">
        <v>165</v>
      </c>
      <c r="G49" s="121">
        <v>0</v>
      </c>
      <c r="H49" s="199">
        <v>0</v>
      </c>
      <c r="I49" s="199">
        <v>0</v>
      </c>
      <c r="J49" s="199">
        <v>0</v>
      </c>
      <c r="K49" s="199">
        <v>0</v>
      </c>
      <c r="L49" s="199">
        <v>0</v>
      </c>
      <c r="M49" s="199">
        <v>0</v>
      </c>
      <c r="N49" s="199">
        <v>0</v>
      </c>
      <c r="O49" s="199">
        <v>0</v>
      </c>
      <c r="P49" s="199">
        <v>0</v>
      </c>
      <c r="Q49" s="199">
        <v>0</v>
      </c>
      <c r="R49" s="199">
        <v>0</v>
      </c>
      <c r="S49" s="199">
        <v>0</v>
      </c>
      <c r="T49" s="308">
        <f t="shared" si="5"/>
        <v>0</v>
      </c>
      <c r="U49" s="122"/>
    </row>
    <row r="50" spans="1:21" x14ac:dyDescent="0.3">
      <c r="A50" s="144">
        <f>+A49+1</f>
        <v>21</v>
      </c>
      <c r="B50" s="304"/>
      <c r="C50" s="266" t="s">
        <v>564</v>
      </c>
      <c r="E50" s="27" t="s">
        <v>561</v>
      </c>
      <c r="F50" s="366">
        <v>165</v>
      </c>
      <c r="G50" s="121">
        <v>0</v>
      </c>
      <c r="H50" s="199">
        <v>0</v>
      </c>
      <c r="I50" s="199">
        <v>0</v>
      </c>
      <c r="J50" s="199" t="s">
        <v>565</v>
      </c>
      <c r="K50" s="199" t="s">
        <v>565</v>
      </c>
      <c r="L50" s="199" t="s">
        <v>565</v>
      </c>
      <c r="M50" s="199" t="s">
        <v>565</v>
      </c>
      <c r="N50" s="199" t="s">
        <v>565</v>
      </c>
      <c r="O50" s="199" t="s">
        <v>565</v>
      </c>
      <c r="P50" s="199" t="s">
        <v>565</v>
      </c>
      <c r="Q50" s="199" t="s">
        <v>565</v>
      </c>
      <c r="R50" s="199" t="s">
        <v>565</v>
      </c>
      <c r="S50" s="199" t="s">
        <v>565</v>
      </c>
      <c r="T50" s="308">
        <f t="shared" si="5"/>
        <v>0</v>
      </c>
      <c r="U50" s="122"/>
    </row>
    <row r="51" spans="1:21" x14ac:dyDescent="0.3">
      <c r="A51" s="144">
        <f>+A50+1</f>
        <v>22</v>
      </c>
      <c r="B51" s="304"/>
      <c r="C51" s="266" t="s">
        <v>566</v>
      </c>
      <c r="E51" s="27"/>
      <c r="F51" s="366"/>
      <c r="G51" s="304"/>
      <c r="M51" s="119"/>
      <c r="N51" s="119"/>
      <c r="O51" s="308"/>
      <c r="P51" s="308"/>
      <c r="Q51" s="308"/>
      <c r="R51" s="308"/>
      <c r="S51" s="308"/>
      <c r="T51" s="308">
        <f>+T47-T48-T49-T50</f>
        <v>36096237.461538464</v>
      </c>
      <c r="U51" s="122"/>
    </row>
    <row r="52" spans="1:21" ht="21" thickBot="1" x14ac:dyDescent="0.35">
      <c r="A52" s="138"/>
      <c r="B52" s="53"/>
      <c r="C52" s="53"/>
      <c r="D52" s="53"/>
      <c r="E52" s="53"/>
      <c r="F52" s="53"/>
      <c r="G52" s="53"/>
      <c r="H52" s="53"/>
      <c r="I52" s="53"/>
      <c r="J52" s="53"/>
      <c r="K52" s="53"/>
      <c r="L52" s="53"/>
      <c r="M52" s="53"/>
      <c r="N52" s="53"/>
      <c r="O52" s="53"/>
      <c r="P52" s="53"/>
      <c r="Q52" s="53"/>
      <c r="R52" s="53" t="s">
        <v>145</v>
      </c>
      <c r="S52" s="557"/>
      <c r="T52" s="557"/>
      <c r="U52" s="127"/>
    </row>
    <row r="53" spans="1:21" x14ac:dyDescent="0.3">
      <c r="A53" s="304"/>
      <c r="B53" s="304"/>
      <c r="C53" s="304"/>
      <c r="D53" s="304"/>
      <c r="E53" s="304"/>
      <c r="F53" s="304"/>
      <c r="G53" s="304"/>
      <c r="H53" s="304"/>
      <c r="I53" s="304"/>
      <c r="J53" s="304"/>
      <c r="K53" s="304"/>
      <c r="L53" s="304"/>
      <c r="M53" s="304"/>
      <c r="N53" s="304"/>
      <c r="O53" s="304"/>
      <c r="P53" s="304"/>
      <c r="Q53" s="304"/>
      <c r="R53" s="304"/>
    </row>
    <row r="54" spans="1:21" x14ac:dyDescent="0.3">
      <c r="A54" s="304"/>
      <c r="C54" s="27"/>
      <c r="G54" s="263"/>
      <c r="H54" s="263"/>
      <c r="I54" s="263"/>
      <c r="J54" s="263"/>
      <c r="K54" s="263"/>
      <c r="L54" s="263"/>
      <c r="M54" s="263"/>
      <c r="N54" s="263"/>
      <c r="O54" s="263"/>
      <c r="P54" s="263"/>
      <c r="Q54" s="263"/>
      <c r="R54" s="263"/>
      <c r="S54" s="263"/>
      <c r="T54" s="263"/>
    </row>
    <row r="55" spans="1:21" ht="21" thickBot="1" x14ac:dyDescent="0.35">
      <c r="A55" s="342" t="s">
        <v>54</v>
      </c>
      <c r="G55" s="135"/>
      <c r="H55" s="675"/>
      <c r="I55" s="675"/>
      <c r="J55" s="675"/>
      <c r="K55" s="675"/>
      <c r="L55" s="675"/>
      <c r="M55" s="675"/>
      <c r="N55" s="675"/>
      <c r="O55" s="675"/>
      <c r="P55" s="675"/>
      <c r="Q55" s="675"/>
      <c r="R55" s="675"/>
      <c r="S55" s="675"/>
    </row>
    <row r="56" spans="1:21" ht="41.25" thickBot="1" x14ac:dyDescent="0.35">
      <c r="A56" s="134" t="s">
        <v>512</v>
      </c>
      <c r="B56" s="133" t="s">
        <v>513</v>
      </c>
      <c r="C56" s="133"/>
      <c r="D56" s="133"/>
      <c r="E56" s="132" t="s">
        <v>514</v>
      </c>
      <c r="F56" s="111" t="s">
        <v>515</v>
      </c>
      <c r="G56" s="153" t="s">
        <v>516</v>
      </c>
      <c r="H56" s="153" t="s">
        <v>517</v>
      </c>
      <c r="I56" s="153" t="s">
        <v>518</v>
      </c>
      <c r="J56" s="153" t="s">
        <v>519</v>
      </c>
      <c r="K56" s="153" t="s">
        <v>520</v>
      </c>
      <c r="L56" s="153" t="s">
        <v>382</v>
      </c>
      <c r="M56" s="153" t="s">
        <v>521</v>
      </c>
      <c r="N56" s="153" t="s">
        <v>522</v>
      </c>
      <c r="O56" s="153" t="s">
        <v>523</v>
      </c>
      <c r="P56" s="153" t="s">
        <v>524</v>
      </c>
      <c r="Q56" s="153" t="s">
        <v>525</v>
      </c>
      <c r="R56" s="153" t="s">
        <v>526</v>
      </c>
      <c r="S56" s="153" t="s">
        <v>527</v>
      </c>
      <c r="T56" s="111" t="s">
        <v>528</v>
      </c>
      <c r="U56" s="110"/>
    </row>
    <row r="57" spans="1:21" x14ac:dyDescent="0.3">
      <c r="A57" s="144"/>
      <c r="C57" s="27"/>
      <c r="E57" s="308"/>
      <c r="F57" s="308"/>
      <c r="R57" s="263"/>
      <c r="S57" s="263"/>
      <c r="T57" s="263"/>
      <c r="U57" s="128"/>
    </row>
    <row r="58" spans="1:21" x14ac:dyDescent="0.3">
      <c r="A58" s="144"/>
      <c r="C58" s="27"/>
      <c r="E58" s="308"/>
      <c r="F58" s="308"/>
      <c r="R58" s="263"/>
      <c r="S58" s="263"/>
      <c r="T58" s="263"/>
      <c r="U58" s="128"/>
    </row>
    <row r="59" spans="1:21" x14ac:dyDescent="0.3">
      <c r="A59" s="144">
        <f>+A51+1</f>
        <v>23</v>
      </c>
      <c r="C59" s="27" t="s">
        <v>567</v>
      </c>
      <c r="E59" s="266" t="s">
        <v>568</v>
      </c>
      <c r="F59" s="366">
        <v>163</v>
      </c>
      <c r="G59" s="121">
        <v>3117</v>
      </c>
      <c r="H59" s="121">
        <v>6446</v>
      </c>
      <c r="I59" s="121">
        <v>4850</v>
      </c>
      <c r="J59" s="121">
        <v>5796</v>
      </c>
      <c r="K59" s="121">
        <v>13528</v>
      </c>
      <c r="L59" s="121">
        <v>26399</v>
      </c>
      <c r="M59" s="121">
        <v>41233</v>
      </c>
      <c r="N59" s="121">
        <v>30291</v>
      </c>
      <c r="O59" s="121">
        <v>22784</v>
      </c>
      <c r="P59" s="121">
        <v>24644</v>
      </c>
      <c r="Q59" s="121">
        <v>-1262</v>
      </c>
      <c r="R59" s="121">
        <v>-2974</v>
      </c>
      <c r="S59" s="121">
        <v>21020</v>
      </c>
      <c r="T59" s="308">
        <f>AVERAGE(G59:S59)</f>
        <v>15067.076923076924</v>
      </c>
      <c r="U59" s="128"/>
    </row>
    <row r="60" spans="1:21" x14ac:dyDescent="0.3">
      <c r="A60" s="144">
        <f>+A59+1</f>
        <v>24</v>
      </c>
      <c r="C60" s="27" t="s">
        <v>569</v>
      </c>
      <c r="E60" s="266" t="s">
        <v>570</v>
      </c>
      <c r="F60" s="366">
        <v>154</v>
      </c>
      <c r="G60" s="121">
        <v>175344</v>
      </c>
      <c r="H60" s="121">
        <v>287105</v>
      </c>
      <c r="I60" s="121">
        <v>297055</v>
      </c>
      <c r="J60" s="121">
        <v>301413</v>
      </c>
      <c r="K60" s="121">
        <v>349586</v>
      </c>
      <c r="L60" s="121">
        <v>363820</v>
      </c>
      <c r="M60" s="121">
        <v>370721</v>
      </c>
      <c r="N60" s="121">
        <v>376195</v>
      </c>
      <c r="O60" s="121">
        <v>383582</v>
      </c>
      <c r="P60" s="121">
        <v>389643</v>
      </c>
      <c r="Q60" s="121">
        <v>397909</v>
      </c>
      <c r="R60" s="121">
        <v>417495</v>
      </c>
      <c r="S60" s="121">
        <v>566147</v>
      </c>
      <c r="T60" s="308">
        <v>359693</v>
      </c>
      <c r="U60" s="128"/>
    </row>
    <row r="61" spans="1:21" x14ac:dyDescent="0.3">
      <c r="A61" s="144">
        <f>+A60+1</f>
        <v>25</v>
      </c>
      <c r="C61" s="27" t="s">
        <v>57</v>
      </c>
      <c r="E61" s="266" t="s">
        <v>571</v>
      </c>
      <c r="F61" s="366">
        <v>154</v>
      </c>
      <c r="G61" s="244">
        <v>2016456</v>
      </c>
      <c r="H61" s="117">
        <v>2505181</v>
      </c>
      <c r="I61" s="117">
        <v>2592003</v>
      </c>
      <c r="J61" s="117">
        <v>2630028</v>
      </c>
      <c r="K61" s="117">
        <v>3050365</v>
      </c>
      <c r="L61" s="117">
        <v>3174570</v>
      </c>
      <c r="M61" s="117">
        <v>3234781</v>
      </c>
      <c r="N61" s="117">
        <v>3282552</v>
      </c>
      <c r="O61" s="244">
        <v>3347007</v>
      </c>
      <c r="P61" s="244">
        <v>3399892</v>
      </c>
      <c r="Q61" s="244">
        <v>3472015</v>
      </c>
      <c r="R61" s="244">
        <v>3642915</v>
      </c>
      <c r="S61" s="244">
        <v>4940008</v>
      </c>
      <c r="T61" s="308">
        <v>3175983</v>
      </c>
      <c r="U61" s="128"/>
    </row>
    <row r="62" spans="1:21" ht="21" thickBot="1" x14ac:dyDescent="0.35">
      <c r="A62" s="138"/>
      <c r="B62" s="53"/>
      <c r="C62" s="553"/>
      <c r="D62" s="53"/>
      <c r="E62" s="554"/>
      <c r="F62" s="554"/>
      <c r="G62" s="557"/>
      <c r="H62" s="557"/>
      <c r="I62" s="561"/>
      <c r="J62" s="554"/>
      <c r="K62" s="554"/>
      <c r="L62" s="554"/>
      <c r="M62" s="554"/>
      <c r="N62" s="554"/>
      <c r="O62" s="554"/>
      <c r="P62" s="554"/>
      <c r="Q62" s="554"/>
      <c r="R62" s="554"/>
      <c r="S62" s="557"/>
      <c r="T62" s="664"/>
      <c r="U62" s="665"/>
    </row>
    <row r="63" spans="1:21" x14ac:dyDescent="0.3">
      <c r="A63" s="304"/>
      <c r="B63" s="198"/>
      <c r="C63" s="27"/>
      <c r="G63" s="263"/>
      <c r="H63" s="263"/>
      <c r="I63" s="263"/>
      <c r="J63" s="263"/>
      <c r="K63" s="263"/>
      <c r="L63" s="263"/>
      <c r="M63" s="263"/>
      <c r="N63" s="263"/>
      <c r="O63" s="263"/>
      <c r="P63" s="263"/>
      <c r="Q63" s="263"/>
      <c r="R63" s="263"/>
      <c r="S63" s="263"/>
      <c r="T63" s="263"/>
      <c r="U63" s="312"/>
    </row>
    <row r="64" spans="1:21" x14ac:dyDescent="0.3">
      <c r="A64" s="304"/>
      <c r="B64" s="198"/>
      <c r="C64" s="27"/>
      <c r="G64" s="263"/>
      <c r="H64" s="263"/>
      <c r="I64" s="263"/>
      <c r="J64" s="263"/>
      <c r="K64" s="263"/>
      <c r="L64" s="263"/>
      <c r="M64" s="263"/>
      <c r="N64" s="263"/>
      <c r="O64" s="263"/>
      <c r="P64" s="263"/>
      <c r="Q64" s="263"/>
      <c r="R64" s="263"/>
      <c r="S64" s="263"/>
      <c r="T64" s="263"/>
      <c r="U64" s="312"/>
    </row>
    <row r="65" spans="1:21" ht="21" thickBot="1" x14ac:dyDescent="0.35">
      <c r="A65" s="342" t="s">
        <v>572</v>
      </c>
      <c r="G65" s="135"/>
    </row>
    <row r="66" spans="1:21" ht="41.25" thickBot="1" x14ac:dyDescent="0.35">
      <c r="A66" s="134" t="s">
        <v>512</v>
      </c>
      <c r="B66" s="133" t="s">
        <v>513</v>
      </c>
      <c r="C66" s="133"/>
      <c r="D66" s="133"/>
      <c r="E66" s="132" t="s">
        <v>514</v>
      </c>
      <c r="F66" s="111" t="s">
        <v>515</v>
      </c>
      <c r="G66" s="131"/>
      <c r="H66" s="131"/>
      <c r="I66" s="131"/>
      <c r="J66" s="131"/>
      <c r="K66" s="131"/>
      <c r="L66" s="131"/>
      <c r="M66" s="131"/>
      <c r="N66" s="131"/>
      <c r="O66" s="131"/>
      <c r="P66" s="131"/>
      <c r="Q66" s="131"/>
      <c r="R66" s="131"/>
      <c r="S66" s="153" t="s">
        <v>550</v>
      </c>
      <c r="T66" s="116"/>
      <c r="U66" s="130"/>
    </row>
    <row r="67" spans="1:21" x14ac:dyDescent="0.3">
      <c r="A67" s="144">
        <f>+A61+1</f>
        <v>26</v>
      </c>
      <c r="C67" s="27" t="s">
        <v>79</v>
      </c>
      <c r="E67" s="308" t="s">
        <v>573</v>
      </c>
      <c r="F67" s="314" t="s">
        <v>574</v>
      </c>
      <c r="G67" s="304"/>
      <c r="S67" s="244">
        <v>125123179.52482662</v>
      </c>
      <c r="U67" s="128"/>
    </row>
    <row r="68" spans="1:21" x14ac:dyDescent="0.3">
      <c r="A68" s="144">
        <f>+A67+1</f>
        <v>27</v>
      </c>
      <c r="C68" s="27" t="s">
        <v>575</v>
      </c>
      <c r="E68" s="266" t="s">
        <v>576</v>
      </c>
      <c r="F68" s="366">
        <v>565</v>
      </c>
      <c r="G68" s="304"/>
      <c r="S68" s="244">
        <v>103786589.86729068</v>
      </c>
      <c r="U68" s="128"/>
    </row>
    <row r="69" spans="1:21" x14ac:dyDescent="0.3">
      <c r="A69" s="144">
        <f>+A68+1</f>
        <v>28</v>
      </c>
      <c r="C69" s="27" t="s">
        <v>577</v>
      </c>
      <c r="E69" s="266" t="s">
        <v>578</v>
      </c>
      <c r="F69" s="366">
        <v>561.4</v>
      </c>
      <c r="G69" s="304"/>
      <c r="S69" s="244">
        <v>9905977.1310613398</v>
      </c>
      <c r="U69" s="128"/>
    </row>
    <row r="70" spans="1:21" x14ac:dyDescent="0.3">
      <c r="A70" s="144">
        <f>+A69+1</f>
        <v>29</v>
      </c>
      <c r="C70" s="27" t="s">
        <v>579</v>
      </c>
      <c r="F70" s="366"/>
      <c r="S70" s="308">
        <f>SUM(S68:S69)</f>
        <v>113692566.99835202</v>
      </c>
      <c r="U70" s="128"/>
    </row>
    <row r="71" spans="1:21" ht="21" thickBot="1" x14ac:dyDescent="0.35">
      <c r="A71" s="138"/>
      <c r="B71" s="557"/>
      <c r="C71" s="554"/>
      <c r="D71" s="557"/>
      <c r="E71" s="557"/>
      <c r="F71" s="557"/>
      <c r="G71" s="560"/>
      <c r="H71" s="560"/>
      <c r="I71" s="560"/>
      <c r="J71" s="560"/>
      <c r="K71" s="560"/>
      <c r="L71" s="560"/>
      <c r="M71" s="560"/>
      <c r="N71" s="560"/>
      <c r="O71" s="560"/>
      <c r="P71" s="560"/>
      <c r="Q71" s="560"/>
      <c r="R71" s="560"/>
      <c r="S71" s="560"/>
      <c r="T71" s="560"/>
      <c r="U71" s="127"/>
    </row>
    <row r="72" spans="1:21" x14ac:dyDescent="0.3">
      <c r="A72" s="304"/>
      <c r="C72" s="27"/>
      <c r="G72" s="263"/>
      <c r="H72" s="263"/>
      <c r="I72" s="263"/>
      <c r="J72" s="263"/>
      <c r="K72" s="263"/>
      <c r="L72" s="263"/>
      <c r="M72" s="263"/>
      <c r="N72" s="263"/>
      <c r="O72" s="263"/>
      <c r="P72" s="263"/>
      <c r="Q72" s="263"/>
      <c r="R72" s="263"/>
      <c r="S72" s="263"/>
      <c r="T72" s="263"/>
    </row>
    <row r="73" spans="1:21" x14ac:dyDescent="0.3">
      <c r="A73" s="304"/>
      <c r="C73" s="27"/>
      <c r="G73" s="263"/>
      <c r="H73" s="263"/>
      <c r="I73" s="263"/>
      <c r="J73" s="263"/>
      <c r="K73" s="263"/>
      <c r="L73" s="263"/>
      <c r="M73" s="263"/>
      <c r="N73" s="263"/>
      <c r="O73" s="263"/>
      <c r="P73" s="263"/>
      <c r="Q73" s="263"/>
      <c r="R73" s="263"/>
      <c r="S73" s="263"/>
      <c r="T73" s="263"/>
    </row>
    <row r="74" spans="1:21" ht="21" thickBot="1" x14ac:dyDescent="0.35">
      <c r="A74" s="342" t="s">
        <v>580</v>
      </c>
      <c r="G74" s="135"/>
      <c r="H74" s="263"/>
      <c r="I74" s="263"/>
      <c r="J74" s="263"/>
      <c r="K74" s="263"/>
      <c r="L74" s="263"/>
      <c r="M74" s="263"/>
      <c r="N74" s="263"/>
      <c r="O74" s="263"/>
      <c r="P74" s="263"/>
      <c r="Q74" s="263"/>
      <c r="R74" s="263"/>
      <c r="S74" s="263"/>
      <c r="T74" s="263"/>
      <c r="U74" s="312"/>
    </row>
    <row r="75" spans="1:21" ht="41.25" thickBot="1" x14ac:dyDescent="0.35">
      <c r="A75" s="134" t="s">
        <v>512</v>
      </c>
      <c r="B75" s="133" t="s">
        <v>513</v>
      </c>
      <c r="C75" s="133"/>
      <c r="D75" s="133"/>
      <c r="E75" s="132" t="s">
        <v>514</v>
      </c>
      <c r="F75" s="111" t="s">
        <v>515</v>
      </c>
      <c r="G75" s="131"/>
      <c r="H75" s="115"/>
      <c r="I75" s="115"/>
      <c r="J75" s="115"/>
      <c r="K75" s="115"/>
      <c r="L75" s="115"/>
      <c r="M75" s="115"/>
      <c r="N75" s="115"/>
      <c r="O75" s="115"/>
      <c r="P75" s="115"/>
      <c r="Q75" s="115"/>
      <c r="R75" s="115"/>
      <c r="S75" s="153" t="s">
        <v>550</v>
      </c>
      <c r="T75" s="116"/>
      <c r="U75" s="110"/>
    </row>
    <row r="76" spans="1:21" x14ac:dyDescent="0.3">
      <c r="A76" s="144"/>
      <c r="C76" s="27"/>
      <c r="H76" s="263"/>
      <c r="I76" s="263"/>
      <c r="J76" s="263"/>
      <c r="K76" s="263"/>
      <c r="L76" s="263"/>
      <c r="M76" s="263"/>
      <c r="N76" s="263"/>
      <c r="O76" s="263"/>
      <c r="P76" s="263"/>
      <c r="Q76" s="263"/>
      <c r="R76" s="263"/>
      <c r="U76" s="114"/>
    </row>
    <row r="77" spans="1:21" x14ac:dyDescent="0.3">
      <c r="A77" s="144">
        <f>+A70+1</f>
        <v>30</v>
      </c>
      <c r="B77" s="342"/>
      <c r="C77" s="27" t="s">
        <v>581</v>
      </c>
      <c r="E77" s="266" t="s">
        <v>582</v>
      </c>
      <c r="F77" s="366">
        <v>924</v>
      </c>
      <c r="G77" s="304"/>
      <c r="H77" s="263"/>
      <c r="I77" s="263"/>
      <c r="J77" s="263"/>
      <c r="K77" s="263"/>
      <c r="L77" s="263"/>
      <c r="M77" s="263"/>
      <c r="N77" s="263"/>
      <c r="O77" s="263"/>
      <c r="P77" s="263"/>
      <c r="Q77" s="263"/>
      <c r="R77" s="263"/>
      <c r="S77" s="244">
        <v>7375312</v>
      </c>
      <c r="U77" s="114"/>
    </row>
    <row r="78" spans="1:21" ht="21" thickBot="1" x14ac:dyDescent="0.35">
      <c r="A78" s="138"/>
      <c r="B78" s="563"/>
      <c r="C78" s="554"/>
      <c r="D78" s="557"/>
      <c r="E78" s="557"/>
      <c r="F78" s="557"/>
      <c r="G78" s="560"/>
      <c r="H78" s="560"/>
      <c r="I78" s="560"/>
      <c r="J78" s="560"/>
      <c r="K78" s="560"/>
      <c r="L78" s="560"/>
      <c r="M78" s="560"/>
      <c r="N78" s="560"/>
      <c r="O78" s="560"/>
      <c r="P78" s="560"/>
      <c r="Q78" s="560"/>
      <c r="R78" s="560"/>
      <c r="S78" s="560"/>
      <c r="T78" s="560"/>
      <c r="U78" s="113"/>
    </row>
    <row r="79" spans="1:21" x14ac:dyDescent="0.3">
      <c r="A79" s="304"/>
      <c r="B79" s="304"/>
      <c r="C79" s="342"/>
      <c r="D79" s="304"/>
      <c r="E79" s="27"/>
      <c r="F79" s="27"/>
      <c r="I79" s="112"/>
      <c r="J79" s="27"/>
      <c r="K79" s="27"/>
      <c r="L79" s="27"/>
      <c r="M79" s="27"/>
      <c r="N79" s="27"/>
      <c r="O79" s="27"/>
      <c r="P79" s="27"/>
      <c r="Q79" s="27"/>
      <c r="R79" s="27"/>
      <c r="T79" s="366"/>
    </row>
    <row r="80" spans="1:21" ht="21" thickBot="1" x14ac:dyDescent="0.35">
      <c r="A80" s="342" t="s">
        <v>583</v>
      </c>
    </row>
    <row r="81" spans="1:21" ht="41.25" thickBot="1" x14ac:dyDescent="0.35">
      <c r="A81" s="134" t="s">
        <v>512</v>
      </c>
      <c r="B81" s="133" t="s">
        <v>513</v>
      </c>
      <c r="C81" s="133"/>
      <c r="D81" s="133"/>
      <c r="E81" s="132" t="s">
        <v>514</v>
      </c>
      <c r="F81" s="111" t="s">
        <v>515</v>
      </c>
      <c r="G81" s="153"/>
      <c r="H81" s="153"/>
      <c r="I81" s="153"/>
      <c r="J81" s="153"/>
      <c r="K81" s="153"/>
      <c r="L81" s="153"/>
      <c r="M81" s="153"/>
      <c r="N81" s="153"/>
      <c r="O81" s="153"/>
      <c r="P81" s="153"/>
      <c r="Q81" s="153"/>
      <c r="R81" s="153"/>
      <c r="S81" s="111" t="s">
        <v>550</v>
      </c>
      <c r="T81" s="667"/>
      <c r="U81" s="668"/>
    </row>
    <row r="82" spans="1:21" x14ac:dyDescent="0.3">
      <c r="A82" s="144"/>
      <c r="B82" s="342"/>
      <c r="C82" s="304"/>
      <c r="D82" s="304"/>
      <c r="E82" s="304"/>
      <c r="F82" s="304"/>
      <c r="G82" s="304"/>
      <c r="H82" s="304"/>
      <c r="I82" s="304"/>
      <c r="J82" s="304"/>
      <c r="K82" s="304"/>
      <c r="L82" s="304"/>
      <c r="M82" s="304"/>
      <c r="N82" s="304"/>
      <c r="O82" s="304"/>
      <c r="P82" s="304"/>
      <c r="Q82" s="304"/>
      <c r="R82" s="304"/>
      <c r="U82" s="128"/>
    </row>
    <row r="83" spans="1:21" s="298" customFormat="1" x14ac:dyDescent="0.3">
      <c r="A83" s="144">
        <f>+A77+1</f>
        <v>31</v>
      </c>
      <c r="B83" s="304"/>
      <c r="C83" s="27" t="s">
        <v>584</v>
      </c>
      <c r="D83" s="304"/>
      <c r="E83" s="27" t="s">
        <v>585</v>
      </c>
      <c r="F83" s="366" t="s">
        <v>586</v>
      </c>
      <c r="G83" s="304"/>
      <c r="H83" s="109"/>
      <c r="I83" s="109"/>
      <c r="J83" s="109"/>
      <c r="K83" s="109"/>
      <c r="L83" s="109"/>
      <c r="M83" s="109"/>
      <c r="N83" s="109"/>
      <c r="O83" s="109"/>
      <c r="P83" s="109"/>
      <c r="Q83" s="109" t="s">
        <v>587</v>
      </c>
      <c r="R83" s="109"/>
      <c r="S83" s="308">
        <f>+'13 - A&amp;G Detail'!F37</f>
        <v>105972391</v>
      </c>
      <c r="T83" s="84"/>
      <c r="U83" s="114"/>
    </row>
    <row r="84" spans="1:21" x14ac:dyDescent="0.3">
      <c r="A84" s="144">
        <f>+A83+1</f>
        <v>32</v>
      </c>
      <c r="B84" s="304"/>
      <c r="C84" s="266" t="s">
        <v>588</v>
      </c>
      <c r="D84" s="263"/>
      <c r="E84" s="27" t="s">
        <v>589</v>
      </c>
      <c r="F84" s="366" t="s">
        <v>586</v>
      </c>
      <c r="G84" s="27"/>
      <c r="H84" s="27"/>
      <c r="I84" s="27"/>
      <c r="J84" s="27"/>
      <c r="K84" s="27"/>
      <c r="L84" s="27"/>
      <c r="M84" s="27"/>
      <c r="N84" s="27"/>
      <c r="O84" s="27"/>
      <c r="P84" s="27"/>
      <c r="Q84" s="27"/>
      <c r="R84" s="27"/>
      <c r="S84" s="308">
        <f>+'13 - A&amp;G Detail'!H37</f>
        <v>13021090</v>
      </c>
      <c r="T84" s="644"/>
      <c r="U84" s="666"/>
    </row>
    <row r="85" spans="1:21" x14ac:dyDescent="0.3">
      <c r="A85" s="144">
        <f>+A84+1</f>
        <v>33</v>
      </c>
      <c r="B85" s="304"/>
      <c r="C85" s="266" t="s">
        <v>590</v>
      </c>
      <c r="D85" s="263"/>
      <c r="E85" s="27" t="s">
        <v>589</v>
      </c>
      <c r="F85" s="366" t="s">
        <v>586</v>
      </c>
      <c r="G85" s="27"/>
      <c r="H85" s="27"/>
      <c r="I85" s="27"/>
      <c r="J85" s="27"/>
      <c r="K85" s="27"/>
      <c r="L85" s="27"/>
      <c r="M85" s="27"/>
      <c r="N85" s="27"/>
      <c r="O85" s="27"/>
      <c r="P85" s="27"/>
      <c r="Q85" s="27"/>
      <c r="R85" s="27"/>
      <c r="S85" s="308">
        <f>+'13 - A&amp;G Detail'!H37+'13 - A&amp;G Detail'!J37</f>
        <v>105922588</v>
      </c>
      <c r="T85" s="27"/>
      <c r="U85" s="83"/>
    </row>
    <row r="86" spans="1:21" ht="21" thickBot="1" x14ac:dyDescent="0.35">
      <c r="A86" s="138"/>
      <c r="B86" s="53"/>
      <c r="C86" s="53"/>
      <c r="D86" s="53"/>
      <c r="E86" s="53"/>
      <c r="F86" s="53"/>
      <c r="G86" s="53"/>
      <c r="H86" s="53"/>
      <c r="I86" s="53"/>
      <c r="J86" s="53"/>
      <c r="K86" s="53"/>
      <c r="L86" s="53"/>
      <c r="M86" s="53"/>
      <c r="N86" s="53"/>
      <c r="O86" s="53"/>
      <c r="P86" s="53"/>
      <c r="Q86" s="53"/>
      <c r="R86" s="53"/>
      <c r="S86" s="557"/>
      <c r="T86" s="557"/>
      <c r="U86" s="127"/>
    </row>
    <row r="88" spans="1:21" x14ac:dyDescent="0.3">
      <c r="T88" s="266" t="s">
        <v>145</v>
      </c>
    </row>
    <row r="89" spans="1:21" ht="21" thickBot="1" x14ac:dyDescent="0.35">
      <c r="A89" s="342" t="s">
        <v>591</v>
      </c>
    </row>
    <row r="90" spans="1:21" ht="41.25" thickBot="1" x14ac:dyDescent="0.35">
      <c r="A90" s="134" t="s">
        <v>512</v>
      </c>
      <c r="B90" s="133" t="s">
        <v>513</v>
      </c>
      <c r="C90" s="133"/>
      <c r="D90" s="133"/>
      <c r="E90" s="132" t="s">
        <v>514</v>
      </c>
      <c r="F90" s="111" t="s">
        <v>515</v>
      </c>
      <c r="G90" s="153"/>
      <c r="H90" s="153"/>
      <c r="I90" s="153"/>
      <c r="J90" s="153"/>
      <c r="K90" s="153"/>
      <c r="L90" s="153"/>
      <c r="M90" s="153"/>
      <c r="N90" s="153"/>
      <c r="O90" s="153"/>
      <c r="P90" s="153"/>
      <c r="Q90" s="153"/>
      <c r="R90" s="153"/>
      <c r="S90" s="111" t="s">
        <v>550</v>
      </c>
      <c r="T90" s="111"/>
      <c r="U90" s="110"/>
    </row>
    <row r="91" spans="1:21" x14ac:dyDescent="0.3">
      <c r="A91" s="108"/>
      <c r="B91" s="149"/>
      <c r="C91" s="149"/>
      <c r="D91" s="149"/>
      <c r="E91" s="107"/>
      <c r="F91" s="107"/>
      <c r="G91" s="438"/>
      <c r="H91" s="438"/>
      <c r="I91" s="438"/>
      <c r="J91" s="438"/>
      <c r="K91" s="438"/>
      <c r="L91" s="438"/>
      <c r="M91" s="438"/>
      <c r="N91" s="438"/>
      <c r="O91" s="438"/>
      <c r="P91" s="438"/>
      <c r="Q91" s="438"/>
      <c r="R91" s="438"/>
      <c r="S91" s="106"/>
      <c r="T91" s="106"/>
      <c r="U91" s="105"/>
    </row>
    <row r="92" spans="1:21" x14ac:dyDescent="0.3">
      <c r="A92" s="144">
        <f>+A85+1</f>
        <v>34</v>
      </c>
      <c r="B92" s="304"/>
      <c r="C92" s="27" t="s">
        <v>592</v>
      </c>
      <c r="D92" s="308"/>
      <c r="E92" s="27" t="s">
        <v>593</v>
      </c>
      <c r="F92" s="366">
        <v>928</v>
      </c>
      <c r="G92" s="304"/>
      <c r="H92" s="27"/>
      <c r="I92" s="27"/>
      <c r="J92" s="27"/>
      <c r="K92" s="27"/>
      <c r="L92" s="27"/>
      <c r="M92" s="27"/>
      <c r="N92" s="27"/>
      <c r="O92" s="27"/>
      <c r="P92" s="27"/>
      <c r="Q92" s="27"/>
      <c r="R92" s="27"/>
      <c r="S92" s="244">
        <v>0</v>
      </c>
      <c r="T92" s="297"/>
      <c r="U92" s="104"/>
    </row>
    <row r="93" spans="1:21" x14ac:dyDescent="0.3">
      <c r="A93" s="144">
        <f>+A92+1</f>
        <v>35</v>
      </c>
      <c r="B93" s="304"/>
      <c r="C93" s="27" t="s">
        <v>594</v>
      </c>
      <c r="D93" s="304"/>
      <c r="E93" s="27" t="s">
        <v>595</v>
      </c>
      <c r="F93" s="366">
        <v>928</v>
      </c>
      <c r="G93" s="304"/>
      <c r="H93" s="27"/>
      <c r="I93" s="27"/>
      <c r="J93" s="27"/>
      <c r="K93" s="27"/>
      <c r="L93" s="27"/>
      <c r="M93" s="27"/>
      <c r="N93" s="27"/>
      <c r="O93" s="27"/>
      <c r="P93" s="27"/>
      <c r="Q93" s="27"/>
      <c r="R93" s="27"/>
      <c r="S93" s="244">
        <v>0</v>
      </c>
      <c r="T93" s="263"/>
      <c r="U93" s="104"/>
    </row>
    <row r="94" spans="1:21" ht="21" thickBot="1" x14ac:dyDescent="0.35">
      <c r="A94" s="103"/>
      <c r="B94" s="557"/>
      <c r="C94" s="557"/>
      <c r="D94" s="557"/>
      <c r="E94" s="557"/>
      <c r="F94" s="557"/>
      <c r="G94" s="557"/>
      <c r="H94" s="557"/>
      <c r="I94" s="557"/>
      <c r="J94" s="557"/>
      <c r="K94" s="557"/>
      <c r="L94" s="557"/>
      <c r="M94" s="557"/>
      <c r="N94" s="557"/>
      <c r="O94" s="557"/>
      <c r="P94" s="557"/>
      <c r="Q94" s="557"/>
      <c r="R94" s="557"/>
      <c r="S94" s="557"/>
      <c r="T94" s="557"/>
      <c r="U94" s="127"/>
    </row>
    <row r="97" spans="1:21" ht="21" thickBot="1" x14ac:dyDescent="0.35">
      <c r="A97" s="198" t="s">
        <v>596</v>
      </c>
      <c r="E97" s="27"/>
      <c r="F97" s="27"/>
    </row>
    <row r="98" spans="1:21" ht="41.25" thickBot="1" x14ac:dyDescent="0.35">
      <c r="A98" s="134" t="s">
        <v>512</v>
      </c>
      <c r="B98" s="133" t="s">
        <v>513</v>
      </c>
      <c r="C98" s="133"/>
      <c r="D98" s="133"/>
      <c r="E98" s="132" t="s">
        <v>514</v>
      </c>
      <c r="F98" s="111" t="s">
        <v>515</v>
      </c>
      <c r="G98" s="153"/>
      <c r="H98" s="153"/>
      <c r="I98" s="153"/>
      <c r="J98" s="153"/>
      <c r="K98" s="153"/>
      <c r="L98" s="153"/>
      <c r="M98" s="153"/>
      <c r="N98" s="153"/>
      <c r="O98" s="153"/>
      <c r="P98" s="153"/>
      <c r="Q98" s="153"/>
      <c r="R98" s="153"/>
      <c r="S98" s="111" t="s">
        <v>550</v>
      </c>
      <c r="T98" s="111"/>
      <c r="U98" s="110"/>
    </row>
    <row r="99" spans="1:21" x14ac:dyDescent="0.3">
      <c r="A99" s="129"/>
      <c r="B99" s="198"/>
      <c r="C99" s="198"/>
      <c r="D99" s="198"/>
      <c r="E99" s="234"/>
      <c r="F99" s="234"/>
      <c r="G99" s="302"/>
      <c r="H99" s="302"/>
      <c r="I99" s="302"/>
      <c r="J99" s="302"/>
      <c r="K99" s="302"/>
      <c r="L99" s="302"/>
      <c r="M99" s="302"/>
      <c r="N99" s="302"/>
      <c r="O99" s="302"/>
      <c r="P99" s="302"/>
      <c r="Q99" s="302"/>
      <c r="R99" s="302"/>
      <c r="S99" s="84"/>
      <c r="T99" s="84"/>
      <c r="U99" s="83"/>
    </row>
    <row r="100" spans="1:21" x14ac:dyDescent="0.3">
      <c r="A100" s="144">
        <f>+A93+1</f>
        <v>36</v>
      </c>
      <c r="B100" s="304"/>
      <c r="C100" s="27" t="s">
        <v>597</v>
      </c>
      <c r="E100" s="266" t="s">
        <v>598</v>
      </c>
      <c r="F100" s="266" t="s">
        <v>599</v>
      </c>
      <c r="G100" s="304"/>
      <c r="H100" s="27"/>
      <c r="I100" s="27"/>
      <c r="J100" s="27"/>
      <c r="K100" s="27"/>
      <c r="L100" s="27"/>
      <c r="M100" s="27"/>
      <c r="N100" s="27"/>
      <c r="O100" s="27"/>
      <c r="P100" s="27"/>
      <c r="Q100" s="27"/>
      <c r="R100" s="27"/>
      <c r="S100" s="102">
        <v>0</v>
      </c>
      <c r="T100" s="297"/>
      <c r="U100" s="101"/>
    </row>
    <row r="101" spans="1:21" x14ac:dyDescent="0.3">
      <c r="A101" s="144">
        <f>+A100+1</f>
        <v>37</v>
      </c>
      <c r="B101" s="304"/>
      <c r="C101" s="27" t="s">
        <v>600</v>
      </c>
      <c r="E101" s="266" t="s">
        <v>601</v>
      </c>
      <c r="F101" s="266" t="s">
        <v>599</v>
      </c>
      <c r="G101" s="304"/>
      <c r="H101" s="27"/>
      <c r="I101" s="27"/>
      <c r="J101" s="27"/>
      <c r="K101" s="27"/>
      <c r="L101" s="27"/>
      <c r="M101" s="27"/>
      <c r="N101" s="27"/>
      <c r="O101" s="27"/>
      <c r="P101" s="27"/>
      <c r="Q101" s="27"/>
      <c r="R101" s="27"/>
      <c r="S101" s="102">
        <v>0</v>
      </c>
      <c r="T101" s="297"/>
      <c r="U101" s="101"/>
    </row>
    <row r="102" spans="1:21" ht="21" thickBot="1" x14ac:dyDescent="0.35">
      <c r="A102" s="138"/>
      <c r="B102" s="53"/>
      <c r="C102" s="554"/>
      <c r="D102" s="557"/>
      <c r="E102" s="557"/>
      <c r="F102" s="557"/>
      <c r="G102" s="554"/>
      <c r="H102" s="554"/>
      <c r="I102" s="554"/>
      <c r="J102" s="554"/>
      <c r="K102" s="554"/>
      <c r="L102" s="554"/>
      <c r="M102" s="554"/>
      <c r="N102" s="554"/>
      <c r="O102" s="554"/>
      <c r="P102" s="554"/>
      <c r="Q102" s="554"/>
      <c r="R102" s="554"/>
      <c r="S102" s="560"/>
      <c r="T102" s="564"/>
      <c r="U102" s="100"/>
    </row>
    <row r="103" spans="1:21" x14ac:dyDescent="0.3">
      <c r="U103" s="128"/>
    </row>
    <row r="104" spans="1:21" x14ac:dyDescent="0.3">
      <c r="U104" s="299"/>
    </row>
    <row r="105" spans="1:21" ht="21" thickBot="1" x14ac:dyDescent="0.35">
      <c r="A105" s="342" t="s">
        <v>602</v>
      </c>
      <c r="G105" s="135"/>
    </row>
    <row r="106" spans="1:21" ht="41.25" thickBot="1" x14ac:dyDescent="0.35">
      <c r="A106" s="134" t="s">
        <v>512</v>
      </c>
      <c r="B106" s="133" t="s">
        <v>513</v>
      </c>
      <c r="C106" s="133"/>
      <c r="D106" s="133"/>
      <c r="E106" s="132" t="s">
        <v>514</v>
      </c>
      <c r="F106" s="111" t="s">
        <v>515</v>
      </c>
      <c r="G106" s="131"/>
      <c r="H106" s="131"/>
      <c r="I106" s="131"/>
      <c r="J106" s="131"/>
      <c r="K106" s="131"/>
      <c r="L106" s="131"/>
      <c r="M106" s="131"/>
      <c r="N106" s="131"/>
      <c r="O106" s="131"/>
      <c r="P106" s="131"/>
      <c r="Q106" s="131"/>
      <c r="R106" s="131"/>
      <c r="S106" s="153" t="s">
        <v>550</v>
      </c>
      <c r="T106" s="153"/>
      <c r="U106" s="130"/>
    </row>
    <row r="107" spans="1:21" x14ac:dyDescent="0.3">
      <c r="A107" s="150"/>
      <c r="B107" s="148"/>
      <c r="C107" s="440"/>
      <c r="D107" s="148"/>
      <c r="E107" s="148"/>
      <c r="F107" s="148"/>
      <c r="G107" s="148"/>
      <c r="H107" s="148"/>
      <c r="I107" s="148"/>
      <c r="J107" s="148"/>
      <c r="K107" s="148"/>
      <c r="L107" s="148"/>
      <c r="M107" s="148"/>
      <c r="N107" s="148"/>
      <c r="O107" s="148"/>
      <c r="P107" s="148"/>
      <c r="Q107" s="148"/>
      <c r="R107" s="148"/>
      <c r="S107" s="148"/>
      <c r="T107" s="148"/>
      <c r="U107" s="146"/>
    </row>
    <row r="108" spans="1:21" x14ac:dyDescent="0.3">
      <c r="A108" s="144">
        <f>+A101+1</f>
        <v>38</v>
      </c>
      <c r="B108" s="342"/>
      <c r="C108" s="27" t="s">
        <v>603</v>
      </c>
      <c r="E108" s="266" t="s">
        <v>604</v>
      </c>
      <c r="F108" s="366">
        <v>403</v>
      </c>
      <c r="G108" s="304"/>
      <c r="S108" s="588">
        <v>17722058.816843636</v>
      </c>
      <c r="U108" s="128"/>
    </row>
    <row r="109" spans="1:21" x14ac:dyDescent="0.3">
      <c r="A109" s="144">
        <f>+A108+1</f>
        <v>39</v>
      </c>
      <c r="B109" s="342"/>
      <c r="C109" s="27" t="s">
        <v>605</v>
      </c>
      <c r="E109" s="266" t="s">
        <v>606</v>
      </c>
      <c r="F109" s="366">
        <v>403</v>
      </c>
      <c r="S109" s="589">
        <v>1458123.5670105226</v>
      </c>
      <c r="U109" s="99"/>
    </row>
    <row r="110" spans="1:21" x14ac:dyDescent="0.3">
      <c r="A110" s="144">
        <f>+A109+1</f>
        <v>40</v>
      </c>
      <c r="B110" s="366"/>
      <c r="C110" s="27" t="s">
        <v>607</v>
      </c>
      <c r="E110" s="266" t="s">
        <v>608</v>
      </c>
      <c r="F110" s="366">
        <v>404</v>
      </c>
      <c r="S110" s="589">
        <v>27938100.084295068</v>
      </c>
      <c r="U110" s="128"/>
    </row>
    <row r="111" spans="1:21" ht="21" thickBot="1" x14ac:dyDescent="0.35">
      <c r="A111" s="138"/>
      <c r="B111" s="558"/>
      <c r="C111" s="554"/>
      <c r="D111" s="557"/>
      <c r="E111" s="557"/>
      <c r="F111" s="557"/>
      <c r="G111" s="557"/>
      <c r="H111" s="557"/>
      <c r="I111" s="557"/>
      <c r="J111" s="557"/>
      <c r="K111" s="557"/>
      <c r="L111" s="557"/>
      <c r="M111" s="557"/>
      <c r="N111" s="557"/>
      <c r="O111" s="557"/>
      <c r="P111" s="557"/>
      <c r="Q111" s="557"/>
      <c r="R111" s="557"/>
      <c r="S111" s="557"/>
      <c r="T111" s="557"/>
      <c r="U111" s="127"/>
    </row>
    <row r="112" spans="1:21" x14ac:dyDescent="0.3">
      <c r="A112" s="304"/>
      <c r="B112" s="366"/>
      <c r="C112" s="27"/>
      <c r="S112" s="312"/>
      <c r="T112" s="312"/>
      <c r="U112" s="312"/>
    </row>
    <row r="113" spans="1:21" x14ac:dyDescent="0.3">
      <c r="A113" s="304"/>
      <c r="B113" s="366"/>
      <c r="C113" s="27"/>
      <c r="S113" s="312"/>
      <c r="T113" s="312"/>
      <c r="U113" s="312"/>
    </row>
    <row r="114" spans="1:21" ht="21" thickBot="1" x14ac:dyDescent="0.35">
      <c r="A114" s="342" t="s">
        <v>609</v>
      </c>
    </row>
    <row r="115" spans="1:21" ht="41.25" thickBot="1" x14ac:dyDescent="0.35">
      <c r="A115" s="134" t="s">
        <v>512</v>
      </c>
      <c r="B115" s="133" t="s">
        <v>513</v>
      </c>
      <c r="C115" s="133"/>
      <c r="D115" s="133"/>
      <c r="E115" s="132" t="s">
        <v>514</v>
      </c>
      <c r="F115" s="111" t="s">
        <v>515</v>
      </c>
      <c r="G115" s="153"/>
      <c r="H115" s="153"/>
      <c r="I115" s="153"/>
      <c r="J115" s="153"/>
      <c r="K115" s="153"/>
      <c r="L115" s="153"/>
      <c r="M115" s="153"/>
      <c r="N115" s="153"/>
      <c r="O115" s="153"/>
      <c r="P115" s="153"/>
      <c r="Q115" s="153"/>
      <c r="R115" s="153"/>
      <c r="S115" s="111" t="s">
        <v>550</v>
      </c>
      <c r="T115" s="111" t="s">
        <v>610</v>
      </c>
      <c r="U115" s="110"/>
    </row>
    <row r="116" spans="1:21" x14ac:dyDescent="0.3">
      <c r="A116" s="129"/>
      <c r="B116" s="198"/>
      <c r="C116" s="198"/>
      <c r="D116" s="198"/>
      <c r="E116" s="234"/>
      <c r="F116" s="234"/>
      <c r="G116" s="302"/>
      <c r="H116" s="302"/>
      <c r="I116" s="302"/>
      <c r="J116" s="302"/>
      <c r="K116" s="302"/>
      <c r="L116" s="302"/>
      <c r="M116" s="302"/>
      <c r="N116" s="302"/>
      <c r="O116" s="302"/>
      <c r="P116" s="302"/>
      <c r="Q116" s="302"/>
      <c r="R116" s="302"/>
      <c r="S116" s="84"/>
      <c r="T116" s="84"/>
      <c r="U116" s="83"/>
    </row>
    <row r="117" spans="1:21" x14ac:dyDescent="0.3">
      <c r="A117" s="144">
        <f>+A110+1</f>
        <v>41</v>
      </c>
      <c r="B117" s="304"/>
      <c r="C117" s="27" t="s">
        <v>611</v>
      </c>
      <c r="D117" s="304"/>
      <c r="E117" s="27" t="s">
        <v>612</v>
      </c>
      <c r="F117" s="366">
        <v>408.1</v>
      </c>
      <c r="G117" s="304"/>
      <c r="H117" s="27"/>
      <c r="I117" s="27"/>
      <c r="J117" s="27"/>
      <c r="K117" s="27"/>
      <c r="L117" s="27"/>
      <c r="M117" s="27"/>
      <c r="N117" s="27"/>
      <c r="P117" s="27"/>
      <c r="Q117" s="303"/>
      <c r="R117" s="263"/>
      <c r="S117" s="244">
        <v>37947430.193382241</v>
      </c>
      <c r="T117" s="244">
        <f>S117</f>
        <v>37947430.193382241</v>
      </c>
      <c r="U117" s="98"/>
    </row>
    <row r="118" spans="1:21" x14ac:dyDescent="0.3">
      <c r="A118" s="144">
        <f>+A117+1</f>
        <v>42</v>
      </c>
      <c r="B118" s="304"/>
      <c r="C118" s="27" t="s">
        <v>613</v>
      </c>
      <c r="D118" s="304"/>
      <c r="E118" s="27" t="s">
        <v>614</v>
      </c>
      <c r="F118" s="366">
        <v>408.1</v>
      </c>
      <c r="G118" s="27"/>
      <c r="H118" s="27"/>
      <c r="I118" s="27"/>
      <c r="J118" s="27"/>
      <c r="K118" s="27"/>
      <c r="L118" s="27"/>
      <c r="M118" s="27"/>
      <c r="N118" s="27"/>
      <c r="P118" s="27"/>
      <c r="Q118" s="303"/>
      <c r="R118" s="263"/>
      <c r="S118" s="244">
        <v>4122324</v>
      </c>
      <c r="T118" s="97"/>
      <c r="U118" s="98"/>
    </row>
    <row r="119" spans="1:21" x14ac:dyDescent="0.3">
      <c r="A119" s="144">
        <f>+A118+1</f>
        <v>43</v>
      </c>
      <c r="B119" s="304"/>
      <c r="C119" s="27" t="s">
        <v>460</v>
      </c>
      <c r="D119" s="304"/>
      <c r="E119" s="27" t="s">
        <v>615</v>
      </c>
      <c r="F119" s="366">
        <v>408.1</v>
      </c>
      <c r="G119" s="27"/>
      <c r="H119" s="27"/>
      <c r="I119" s="27"/>
      <c r="J119" s="27"/>
      <c r="K119" s="27"/>
      <c r="L119" s="27"/>
      <c r="M119" s="27"/>
      <c r="N119" s="27"/>
      <c r="P119" s="27"/>
      <c r="Q119" s="303"/>
      <c r="R119" s="263"/>
      <c r="S119" s="244">
        <v>0</v>
      </c>
      <c r="T119" s="308"/>
      <c r="U119" s="98"/>
    </row>
    <row r="120" spans="1:21" ht="21" thickBot="1" x14ac:dyDescent="0.35">
      <c r="A120" s="103"/>
      <c r="B120" s="557"/>
      <c r="C120" s="557"/>
      <c r="D120" s="557"/>
      <c r="E120" s="557"/>
      <c r="F120" s="557"/>
      <c r="G120" s="557"/>
      <c r="H120" s="557"/>
      <c r="I120" s="557"/>
      <c r="J120" s="557"/>
      <c r="K120" s="557"/>
      <c r="L120" s="557"/>
      <c r="M120" s="557"/>
      <c r="N120" s="557"/>
      <c r="O120" s="557"/>
      <c r="P120" s="557"/>
      <c r="Q120" s="557"/>
      <c r="R120" s="557"/>
      <c r="S120" s="557"/>
      <c r="T120" s="557"/>
      <c r="U120" s="127"/>
    </row>
    <row r="123" spans="1:21" ht="21" thickBot="1" x14ac:dyDescent="0.35">
      <c r="A123" s="342" t="s">
        <v>616</v>
      </c>
    </row>
    <row r="124" spans="1:21" ht="41.25" thickBot="1" x14ac:dyDescent="0.35">
      <c r="A124" s="134" t="s">
        <v>512</v>
      </c>
      <c r="B124" s="133" t="s">
        <v>513</v>
      </c>
      <c r="C124" s="133"/>
      <c r="D124" s="133"/>
      <c r="E124" s="132" t="s">
        <v>514</v>
      </c>
      <c r="F124" s="111" t="s">
        <v>515</v>
      </c>
      <c r="G124" s="131"/>
      <c r="H124" s="131"/>
      <c r="I124" s="131"/>
      <c r="J124" s="153"/>
      <c r="K124" s="153"/>
      <c r="L124" s="153"/>
      <c r="M124" s="153"/>
      <c r="N124" s="153"/>
      <c r="O124" s="153"/>
      <c r="P124" s="153"/>
      <c r="Q124" s="153"/>
      <c r="R124" s="111" t="s">
        <v>617</v>
      </c>
      <c r="S124" s="96" t="s">
        <v>550</v>
      </c>
      <c r="T124" s="111" t="s">
        <v>528</v>
      </c>
      <c r="U124" s="110"/>
    </row>
    <row r="125" spans="1:21" x14ac:dyDescent="0.3">
      <c r="A125" s="125"/>
      <c r="B125" s="439"/>
      <c r="C125" s="148"/>
      <c r="D125" s="148"/>
      <c r="E125" s="440"/>
      <c r="F125" s="440"/>
      <c r="G125" s="148"/>
      <c r="H125" s="148"/>
      <c r="I125" s="148"/>
      <c r="J125" s="95"/>
      <c r="K125" s="124"/>
      <c r="L125" s="148"/>
      <c r="M125" s="124"/>
      <c r="N125" s="124"/>
      <c r="O125" s="124"/>
      <c r="P125" s="147"/>
      <c r="Q125" s="147"/>
      <c r="R125" s="148"/>
      <c r="S125" s="148"/>
      <c r="T125" s="148"/>
      <c r="U125" s="146"/>
    </row>
    <row r="126" spans="1:21" x14ac:dyDescent="0.3">
      <c r="A126" s="144">
        <f>+A119+1</f>
        <v>44</v>
      </c>
      <c r="B126" s="342"/>
      <c r="C126" s="266" t="s">
        <v>618</v>
      </c>
      <c r="E126" s="27" t="s">
        <v>619</v>
      </c>
      <c r="F126" s="366">
        <v>427</v>
      </c>
      <c r="G126" s="304"/>
      <c r="J126" s="312"/>
      <c r="K126" s="400"/>
      <c r="M126" s="400"/>
      <c r="N126" s="400"/>
      <c r="O126" s="400"/>
      <c r="P126" s="308"/>
      <c r="Q126" s="308"/>
      <c r="R126" s="94"/>
      <c r="S126" s="199">
        <v>50207980.704740815</v>
      </c>
      <c r="T126" s="97"/>
      <c r="U126" s="128"/>
    </row>
    <row r="127" spans="1:21" x14ac:dyDescent="0.3">
      <c r="A127" s="144">
        <f t="shared" ref="A127:A134" si="6">+A126+1</f>
        <v>45</v>
      </c>
      <c r="B127" s="342"/>
      <c r="C127" s="266" t="s">
        <v>620</v>
      </c>
      <c r="E127" s="27" t="s">
        <v>621</v>
      </c>
      <c r="F127" s="366">
        <v>428</v>
      </c>
      <c r="J127" s="312"/>
      <c r="K127" s="400"/>
      <c r="M127" s="400"/>
      <c r="N127" s="400"/>
      <c r="O127" s="400"/>
      <c r="P127" s="308"/>
      <c r="Q127" s="308"/>
      <c r="R127" s="94"/>
      <c r="S127" s="199">
        <v>1478333.3333333335</v>
      </c>
      <c r="T127" s="97"/>
      <c r="U127" s="128"/>
    </row>
    <row r="128" spans="1:21" x14ac:dyDescent="0.3">
      <c r="A128" s="144">
        <f t="shared" si="6"/>
        <v>46</v>
      </c>
      <c r="B128" s="342"/>
      <c r="C128" s="266" t="s">
        <v>622</v>
      </c>
      <c r="E128" s="27" t="s">
        <v>623</v>
      </c>
      <c r="F128" s="366">
        <v>428.1</v>
      </c>
      <c r="J128" s="312"/>
      <c r="K128" s="400"/>
      <c r="M128" s="400"/>
      <c r="N128" s="400"/>
      <c r="O128" s="400"/>
      <c r="P128" s="308"/>
      <c r="Q128" s="308"/>
      <c r="R128" s="94"/>
      <c r="S128" s="199">
        <v>487865.51999999961</v>
      </c>
      <c r="T128" s="97"/>
      <c r="U128" s="128"/>
    </row>
    <row r="129" spans="1:21" x14ac:dyDescent="0.3">
      <c r="A129" s="144">
        <f t="shared" si="6"/>
        <v>47</v>
      </c>
      <c r="B129" s="342"/>
      <c r="C129" s="266" t="s">
        <v>624</v>
      </c>
      <c r="E129" s="27" t="s">
        <v>625</v>
      </c>
      <c r="F129" s="366">
        <v>429</v>
      </c>
      <c r="J129" s="312"/>
      <c r="K129" s="400"/>
      <c r="M129" s="400"/>
      <c r="N129" s="400"/>
      <c r="O129" s="400"/>
      <c r="P129" s="308"/>
      <c r="Q129" s="308"/>
      <c r="R129" s="94"/>
      <c r="S129" s="199">
        <v>0</v>
      </c>
      <c r="T129" s="97"/>
      <c r="U129" s="128"/>
    </row>
    <row r="130" spans="1:21" x14ac:dyDescent="0.3">
      <c r="A130" s="144">
        <f t="shared" si="6"/>
        <v>48</v>
      </c>
      <c r="B130" s="342"/>
      <c r="C130" s="266" t="s">
        <v>626</v>
      </c>
      <c r="E130" s="27" t="s">
        <v>627</v>
      </c>
      <c r="F130" s="366">
        <v>429.1</v>
      </c>
      <c r="J130" s="312"/>
      <c r="K130" s="400"/>
      <c r="M130" s="400"/>
      <c r="N130" s="400"/>
      <c r="O130" s="400"/>
      <c r="P130" s="308"/>
      <c r="Q130" s="308"/>
      <c r="R130" s="94"/>
      <c r="S130" s="199">
        <v>0</v>
      </c>
      <c r="T130" s="97"/>
      <c r="U130" s="128"/>
    </row>
    <row r="131" spans="1:21" x14ac:dyDescent="0.3">
      <c r="A131" s="144">
        <f t="shared" si="6"/>
        <v>49</v>
      </c>
      <c r="B131" s="342"/>
      <c r="C131" s="266" t="s">
        <v>628</v>
      </c>
      <c r="E131" s="27" t="s">
        <v>629</v>
      </c>
      <c r="F131" s="366">
        <v>430</v>
      </c>
      <c r="J131" s="312"/>
      <c r="K131" s="400"/>
      <c r="M131" s="400"/>
      <c r="N131" s="400"/>
      <c r="O131" s="400"/>
      <c r="P131" s="308"/>
      <c r="Q131" s="308"/>
      <c r="R131" s="94"/>
      <c r="S131" s="199">
        <v>0</v>
      </c>
      <c r="T131" s="97"/>
      <c r="U131" s="128"/>
    </row>
    <row r="132" spans="1:21" x14ac:dyDescent="0.3">
      <c r="A132" s="144">
        <f>+A131+1</f>
        <v>50</v>
      </c>
      <c r="B132" s="342"/>
      <c r="C132" s="266" t="s">
        <v>630</v>
      </c>
      <c r="E132" s="27"/>
      <c r="F132" s="366"/>
      <c r="J132" s="312"/>
      <c r="K132" s="400"/>
      <c r="M132" s="400"/>
      <c r="N132" s="400"/>
      <c r="O132" s="400"/>
      <c r="P132" s="308"/>
      <c r="Q132" s="308"/>
      <c r="R132" s="94"/>
      <c r="S132" s="93">
        <f>+SUM(S126:S131)</f>
        <v>52174179.558074154</v>
      </c>
      <c r="T132" s="97"/>
      <c r="U132" s="128"/>
    </row>
    <row r="133" spans="1:21" x14ac:dyDescent="0.3">
      <c r="A133" s="144">
        <f>+A132+1</f>
        <v>51</v>
      </c>
      <c r="B133" s="342"/>
      <c r="C133" s="266" t="s">
        <v>109</v>
      </c>
      <c r="E133" s="308" t="s">
        <v>631</v>
      </c>
      <c r="F133" s="314" t="s">
        <v>632</v>
      </c>
      <c r="J133" s="312"/>
      <c r="K133" s="400"/>
      <c r="M133" s="400"/>
      <c r="N133" s="400"/>
      <c r="O133" s="400"/>
      <c r="P133" s="308"/>
      <c r="Q133" s="308"/>
      <c r="R133" s="92"/>
      <c r="S133" s="199">
        <v>0</v>
      </c>
      <c r="T133" s="97"/>
      <c r="U133" s="128"/>
    </row>
    <row r="134" spans="1:21" x14ac:dyDescent="0.3">
      <c r="A134" s="144">
        <f t="shared" si="6"/>
        <v>52</v>
      </c>
      <c r="B134" s="304"/>
      <c r="C134" s="308" t="s">
        <v>112</v>
      </c>
      <c r="E134" s="386" t="s">
        <v>633</v>
      </c>
      <c r="F134" s="314" t="s">
        <v>634</v>
      </c>
      <c r="K134" s="91"/>
      <c r="L134" s="27"/>
      <c r="M134" s="119"/>
      <c r="N134" s="119"/>
      <c r="O134" s="119"/>
      <c r="Q134" s="119"/>
      <c r="R134" s="199">
        <v>-1193208826.2680695</v>
      </c>
      <c r="S134" s="199">
        <v>-1315873386.4069152</v>
      </c>
      <c r="T134" s="308">
        <f>+(S134+R134)/2</f>
        <v>-1254541106.3374925</v>
      </c>
      <c r="U134" s="122"/>
    </row>
    <row r="135" spans="1:21" x14ac:dyDescent="0.3">
      <c r="A135" s="144">
        <f t="shared" ref="A135:A143" si="7">+A134+1</f>
        <v>53</v>
      </c>
      <c r="B135" s="304"/>
      <c r="C135" s="308" t="s">
        <v>635</v>
      </c>
      <c r="E135" s="386" t="s">
        <v>636</v>
      </c>
      <c r="F135" s="314">
        <v>219</v>
      </c>
      <c r="K135" s="91"/>
      <c r="L135" s="119"/>
      <c r="M135" s="305"/>
      <c r="N135" s="305"/>
      <c r="O135" s="305"/>
      <c r="P135" s="305"/>
      <c r="Q135" s="263"/>
      <c r="R135" s="199">
        <v>25579760</v>
      </c>
      <c r="S135" s="199">
        <v>23053540</v>
      </c>
      <c r="T135" s="308">
        <f>+(S135+R135)/2</f>
        <v>24316650</v>
      </c>
      <c r="U135" s="122"/>
    </row>
    <row r="136" spans="1:21" x14ac:dyDescent="0.3">
      <c r="A136" s="144">
        <f t="shared" si="7"/>
        <v>54</v>
      </c>
      <c r="B136" s="304"/>
      <c r="C136" s="308" t="s">
        <v>637</v>
      </c>
      <c r="E136" s="386" t="s">
        <v>638</v>
      </c>
      <c r="F136" s="366">
        <v>216.1</v>
      </c>
      <c r="K136" s="90"/>
      <c r="L136" s="119"/>
      <c r="R136" s="199">
        <v>0</v>
      </c>
      <c r="S136" s="199">
        <v>0</v>
      </c>
      <c r="T136" s="308">
        <f>+(R136+S136)/2</f>
        <v>0</v>
      </c>
      <c r="U136" s="128"/>
    </row>
    <row r="137" spans="1:21" x14ac:dyDescent="0.3">
      <c r="A137" s="144">
        <f t="shared" si="7"/>
        <v>55</v>
      </c>
      <c r="B137" s="304"/>
      <c r="C137" s="308" t="s">
        <v>116</v>
      </c>
      <c r="E137" s="386" t="s">
        <v>639</v>
      </c>
      <c r="F137" s="314" t="s">
        <v>640</v>
      </c>
      <c r="R137" s="199">
        <v>-1021632314.4786396</v>
      </c>
      <c r="S137" s="199">
        <v>-1321432018.8714871</v>
      </c>
      <c r="T137" s="308">
        <f>+(R137+S137)/2</f>
        <v>-1171532166.6750634</v>
      </c>
      <c r="U137" s="128"/>
    </row>
    <row r="138" spans="1:21" x14ac:dyDescent="0.3">
      <c r="A138" s="144">
        <f>+A137+1</f>
        <v>56</v>
      </c>
      <c r="B138" s="304"/>
      <c r="C138" s="308" t="s">
        <v>641</v>
      </c>
      <c r="E138" s="386" t="s">
        <v>642</v>
      </c>
      <c r="F138" s="314">
        <v>181</v>
      </c>
      <c r="R138" s="199">
        <v>0</v>
      </c>
      <c r="S138" s="199">
        <v>0</v>
      </c>
      <c r="T138" s="308">
        <f>+(R138+S138)/2</f>
        <v>0</v>
      </c>
      <c r="U138" s="128"/>
    </row>
    <row r="139" spans="1:21" x14ac:dyDescent="0.3">
      <c r="A139" s="144">
        <f>+A138+1</f>
        <v>57</v>
      </c>
      <c r="B139" s="304"/>
      <c r="C139" s="308" t="s">
        <v>643</v>
      </c>
      <c r="E139" s="386" t="s">
        <v>644</v>
      </c>
      <c r="F139" s="314">
        <v>189</v>
      </c>
      <c r="R139" s="199">
        <v>508565.66999999987</v>
      </c>
      <c r="S139" s="199">
        <v>20700.150000000256</v>
      </c>
      <c r="T139" s="308">
        <f>+(S139+R139)/2</f>
        <v>264632.91000000003</v>
      </c>
      <c r="U139" s="128"/>
    </row>
    <row r="140" spans="1:21" x14ac:dyDescent="0.3">
      <c r="A140" s="144">
        <f t="shared" si="7"/>
        <v>58</v>
      </c>
      <c r="B140" s="304"/>
      <c r="C140" s="308" t="s">
        <v>645</v>
      </c>
      <c r="E140" s="386" t="s">
        <v>646</v>
      </c>
      <c r="F140" s="314">
        <v>225</v>
      </c>
      <c r="R140" s="199">
        <v>0</v>
      </c>
      <c r="S140" s="199">
        <v>0</v>
      </c>
      <c r="T140" s="308">
        <f t="shared" ref="T140:T141" si="8">+(S140+R140)/2</f>
        <v>0</v>
      </c>
      <c r="U140" s="128"/>
    </row>
    <row r="141" spans="1:21" x14ac:dyDescent="0.3">
      <c r="A141" s="144">
        <f t="shared" si="7"/>
        <v>59</v>
      </c>
      <c r="B141" s="304"/>
      <c r="C141" s="308" t="s">
        <v>647</v>
      </c>
      <c r="E141" s="386" t="s">
        <v>648</v>
      </c>
      <c r="F141" s="314">
        <v>226</v>
      </c>
      <c r="R141" s="199">
        <v>2231073.04</v>
      </c>
      <c r="S141" s="199">
        <v>2139698.08</v>
      </c>
      <c r="T141" s="308">
        <f t="shared" si="8"/>
        <v>2185385.56</v>
      </c>
      <c r="U141" s="128"/>
    </row>
    <row r="142" spans="1:21" x14ac:dyDescent="0.3">
      <c r="A142" s="144">
        <f t="shared" si="7"/>
        <v>60</v>
      </c>
      <c r="B142" s="304"/>
      <c r="C142" s="308" t="s">
        <v>649</v>
      </c>
      <c r="E142" s="386" t="s">
        <v>650</v>
      </c>
      <c r="F142" s="314">
        <v>257</v>
      </c>
      <c r="R142" s="199">
        <v>0</v>
      </c>
      <c r="S142" s="199">
        <v>0</v>
      </c>
      <c r="T142" s="308">
        <f>+(R142+S142)/2</f>
        <v>0</v>
      </c>
      <c r="U142" s="128"/>
    </row>
    <row r="143" spans="1:21" ht="40.5" x14ac:dyDescent="0.3">
      <c r="A143" s="144">
        <f t="shared" si="7"/>
        <v>61</v>
      </c>
      <c r="B143" s="304"/>
      <c r="C143" s="308" t="s">
        <v>651</v>
      </c>
      <c r="E143" s="89" t="s">
        <v>652</v>
      </c>
      <c r="F143" s="314" t="s">
        <v>653</v>
      </c>
      <c r="R143" s="88">
        <f>+'1C - ADIT Prior Year'!D78</f>
        <v>-385279</v>
      </c>
      <c r="S143" s="308">
        <f>+'1A - ADIT Current Year'!D83</f>
        <v>-143045.45000000001</v>
      </c>
      <c r="T143" s="308">
        <f>+(R143+S143)/2</f>
        <v>-264162.22499999998</v>
      </c>
      <c r="U143" s="128"/>
    </row>
    <row r="144" spans="1:21" x14ac:dyDescent="0.3">
      <c r="A144" s="144">
        <f>+A143+1</f>
        <v>62</v>
      </c>
      <c r="B144" s="304"/>
      <c r="C144" s="308" t="s">
        <v>654</v>
      </c>
      <c r="E144" s="89" t="s">
        <v>655</v>
      </c>
      <c r="F144" s="314">
        <v>176</v>
      </c>
      <c r="R144" s="199">
        <v>0</v>
      </c>
      <c r="S144" s="199">
        <v>0</v>
      </c>
      <c r="T144" s="308">
        <f t="shared" ref="T144:T145" si="9">+(R144+S144)/2</f>
        <v>0</v>
      </c>
      <c r="U144" s="128"/>
    </row>
    <row r="145" spans="1:21" x14ac:dyDescent="0.3">
      <c r="A145" s="144">
        <f>+A144+1</f>
        <v>63</v>
      </c>
      <c r="B145" s="304"/>
      <c r="C145" s="308" t="s">
        <v>656</v>
      </c>
      <c r="E145" s="89" t="s">
        <v>657</v>
      </c>
      <c r="F145" s="314">
        <v>245</v>
      </c>
      <c r="R145" s="199">
        <v>0</v>
      </c>
      <c r="S145" s="199">
        <v>0</v>
      </c>
      <c r="T145" s="308">
        <f t="shared" si="9"/>
        <v>0</v>
      </c>
      <c r="U145" s="128"/>
    </row>
    <row r="146" spans="1:21" ht="21" thickBot="1" x14ac:dyDescent="0.35">
      <c r="A146" s="138">
        <f>+A145+1</f>
        <v>64</v>
      </c>
      <c r="B146" s="53"/>
      <c r="C146" s="565" t="s">
        <v>128</v>
      </c>
      <c r="D146" s="557"/>
      <c r="E146" s="566" t="s">
        <v>658</v>
      </c>
      <c r="F146" s="567">
        <v>204</v>
      </c>
      <c r="G146" s="557"/>
      <c r="H146" s="557"/>
      <c r="I146" s="557"/>
      <c r="J146" s="557"/>
      <c r="K146" s="557"/>
      <c r="L146" s="557"/>
      <c r="M146" s="557"/>
      <c r="N146" s="557"/>
      <c r="O146" s="557"/>
      <c r="P146" s="557"/>
      <c r="Q146" s="557"/>
      <c r="R146" s="568">
        <v>0</v>
      </c>
      <c r="S146" s="568">
        <v>0</v>
      </c>
      <c r="T146" s="565">
        <v>0</v>
      </c>
      <c r="U146" s="127"/>
    </row>
    <row r="148" spans="1:21" x14ac:dyDescent="0.3">
      <c r="A148" s="198"/>
    </row>
    <row r="149" spans="1:21" ht="21" thickBot="1" x14ac:dyDescent="0.35">
      <c r="A149" s="342" t="s">
        <v>659</v>
      </c>
    </row>
    <row r="150" spans="1:21" ht="41.25" thickBot="1" x14ac:dyDescent="0.35">
      <c r="A150" s="134" t="s">
        <v>512</v>
      </c>
      <c r="B150" s="133" t="s">
        <v>513</v>
      </c>
      <c r="C150" s="133"/>
      <c r="D150" s="133"/>
      <c r="E150" s="132" t="s">
        <v>514</v>
      </c>
      <c r="F150" s="111" t="s">
        <v>515</v>
      </c>
      <c r="G150" s="153"/>
      <c r="H150" s="153"/>
      <c r="I150" s="153"/>
      <c r="J150" s="153"/>
      <c r="K150" s="153"/>
      <c r="L150" s="153"/>
      <c r="M150" s="153"/>
      <c r="N150" s="153"/>
      <c r="O150" s="153"/>
      <c r="P150" s="153"/>
      <c r="Q150" s="153"/>
      <c r="R150" s="153"/>
      <c r="S150" s="111" t="s">
        <v>660</v>
      </c>
      <c r="T150" s="111" t="s">
        <v>661</v>
      </c>
      <c r="U150" s="110" t="s">
        <v>662</v>
      </c>
    </row>
    <row r="151" spans="1:21" x14ac:dyDescent="0.3">
      <c r="A151" s="144" t="s">
        <v>145</v>
      </c>
      <c r="B151" s="389" t="s">
        <v>146</v>
      </c>
      <c r="E151" s="308"/>
      <c r="F151" s="308"/>
      <c r="U151" s="128"/>
    </row>
    <row r="152" spans="1:21" x14ac:dyDescent="0.3">
      <c r="A152" s="144"/>
      <c r="B152" s="389"/>
      <c r="E152" s="308"/>
      <c r="F152" s="308"/>
      <c r="G152" s="312"/>
      <c r="H152" s="308"/>
      <c r="I152" s="308"/>
      <c r="J152" s="308"/>
      <c r="K152" s="308"/>
      <c r="L152" s="308"/>
      <c r="M152" s="308"/>
      <c r="N152" s="308"/>
      <c r="O152" s="308"/>
      <c r="P152" s="308"/>
      <c r="Q152" s="308"/>
      <c r="R152" s="308"/>
      <c r="S152" s="302" t="s">
        <v>663</v>
      </c>
      <c r="T152" s="302"/>
      <c r="U152" s="87"/>
    </row>
    <row r="153" spans="1:21" x14ac:dyDescent="0.3">
      <c r="A153" s="144">
        <f>+A146+1</f>
        <v>65</v>
      </c>
      <c r="B153" s="304"/>
      <c r="C153" s="27" t="str">
        <f>+'Appendix A'!C212</f>
        <v>SIT=State Income Tax Rate or Composite</v>
      </c>
      <c r="D153" s="390"/>
      <c r="E153" s="27"/>
      <c r="F153" s="27"/>
      <c r="G153" s="27"/>
      <c r="H153" s="27"/>
      <c r="I153" s="27"/>
      <c r="J153" s="27"/>
      <c r="K153" s="27"/>
      <c r="L153" s="27"/>
      <c r="M153" s="27"/>
      <c r="N153" s="27"/>
      <c r="O153" s="27"/>
      <c r="P153" s="27"/>
      <c r="Q153" s="27"/>
      <c r="R153" s="27"/>
      <c r="S153" s="86">
        <v>0</v>
      </c>
      <c r="T153" s="362"/>
      <c r="U153" s="85"/>
    </row>
    <row r="154" spans="1:21" ht="21" thickBot="1" x14ac:dyDescent="0.35">
      <c r="A154" s="138">
        <f>+A153+1</f>
        <v>66</v>
      </c>
      <c r="B154" s="557"/>
      <c r="C154" s="557" t="s">
        <v>664</v>
      </c>
      <c r="D154" s="557"/>
      <c r="E154" s="557"/>
      <c r="F154" s="557"/>
      <c r="G154" s="557"/>
      <c r="H154" s="557"/>
      <c r="I154" s="557"/>
      <c r="J154" s="557"/>
      <c r="K154" s="557"/>
      <c r="L154" s="557"/>
      <c r="M154" s="557"/>
      <c r="N154" s="557"/>
      <c r="O154" s="557"/>
      <c r="P154" s="557"/>
      <c r="Q154" s="557"/>
      <c r="R154" s="557"/>
      <c r="S154" s="569">
        <v>1.77E-2</v>
      </c>
      <c r="T154" s="557"/>
      <c r="U154" s="127"/>
    </row>
    <row r="157" spans="1:21" ht="21" thickBot="1" x14ac:dyDescent="0.35">
      <c r="A157" s="342" t="s">
        <v>665</v>
      </c>
    </row>
    <row r="158" spans="1:21" ht="41.25" thickBot="1" x14ac:dyDescent="0.35">
      <c r="A158" s="134" t="s">
        <v>512</v>
      </c>
      <c r="B158" s="133" t="s">
        <v>513</v>
      </c>
      <c r="C158" s="133"/>
      <c r="D158" s="133"/>
      <c r="E158" s="132" t="s">
        <v>514</v>
      </c>
      <c r="F158" s="111" t="s">
        <v>515</v>
      </c>
      <c r="G158" s="131"/>
      <c r="H158" s="153"/>
      <c r="I158" s="153"/>
      <c r="J158" s="153"/>
      <c r="K158" s="153"/>
      <c r="L158" s="153"/>
      <c r="M158" s="153"/>
      <c r="N158" s="153"/>
      <c r="O158" s="153"/>
      <c r="P158" s="153"/>
      <c r="Q158" s="153"/>
      <c r="R158" s="153"/>
      <c r="S158" s="96" t="s">
        <v>550</v>
      </c>
      <c r="T158" s="667"/>
      <c r="U158" s="668"/>
    </row>
    <row r="159" spans="1:21" x14ac:dyDescent="0.3">
      <c r="A159" s="144"/>
      <c r="B159" s="342"/>
      <c r="C159" s="304"/>
      <c r="D159" s="304"/>
      <c r="E159" s="304"/>
      <c r="F159" s="304"/>
      <c r="H159" s="304"/>
      <c r="I159" s="304"/>
      <c r="J159" s="304"/>
      <c r="K159" s="304"/>
      <c r="L159" s="304"/>
      <c r="M159" s="304"/>
      <c r="N159" s="304"/>
      <c r="O159" s="304"/>
      <c r="P159" s="304"/>
      <c r="Q159" s="304"/>
      <c r="R159" s="304"/>
      <c r="S159" s="304"/>
      <c r="U159" s="128"/>
    </row>
    <row r="160" spans="1:21" x14ac:dyDescent="0.3">
      <c r="A160" s="144">
        <f>+A154+1</f>
        <v>67</v>
      </c>
      <c r="B160" s="304"/>
      <c r="C160" s="27" t="s">
        <v>666</v>
      </c>
      <c r="D160" s="304"/>
      <c r="E160" s="27" t="s">
        <v>667</v>
      </c>
      <c r="F160" s="366">
        <v>411.4</v>
      </c>
      <c r="G160" s="304"/>
      <c r="H160" s="27"/>
      <c r="I160" s="27"/>
      <c r="J160" s="27"/>
      <c r="K160" s="27"/>
      <c r="L160" s="27"/>
      <c r="M160" s="27"/>
      <c r="N160" s="27"/>
      <c r="O160" s="27"/>
      <c r="P160" s="27"/>
      <c r="Q160" s="27"/>
      <c r="R160" s="27"/>
      <c r="S160" s="244">
        <v>-27167</v>
      </c>
      <c r="T160" s="671"/>
      <c r="U160" s="672"/>
    </row>
    <row r="161" spans="1:21" x14ac:dyDescent="0.3">
      <c r="A161" s="144">
        <f>+A160+1</f>
        <v>68</v>
      </c>
      <c r="B161" s="304"/>
      <c r="C161" s="27" t="s">
        <v>668</v>
      </c>
      <c r="D161" s="304"/>
      <c r="E161" s="27" t="s">
        <v>667</v>
      </c>
      <c r="F161" s="366">
        <v>411.4</v>
      </c>
      <c r="G161" s="304"/>
      <c r="H161" s="27"/>
      <c r="I161" s="27"/>
      <c r="J161" s="27"/>
      <c r="K161" s="27"/>
      <c r="L161" s="27"/>
      <c r="M161" s="27"/>
      <c r="N161" s="27"/>
      <c r="O161" s="27"/>
      <c r="P161" s="27"/>
      <c r="Q161" s="27"/>
      <c r="R161" s="27"/>
      <c r="S161" s="244">
        <v>-1248</v>
      </c>
      <c r="T161" s="671"/>
      <c r="U161" s="672"/>
    </row>
    <row r="162" spans="1:21" ht="21" thickBot="1" x14ac:dyDescent="0.35">
      <c r="A162" s="138">
        <f>+A161+1</f>
        <v>69</v>
      </c>
      <c r="B162" s="53"/>
      <c r="C162" s="554" t="s">
        <v>669</v>
      </c>
      <c r="D162" s="53"/>
      <c r="E162" s="554" t="s">
        <v>670</v>
      </c>
      <c r="F162" s="558"/>
      <c r="G162" s="53"/>
      <c r="H162" s="53"/>
      <c r="I162" s="53"/>
      <c r="J162" s="53"/>
      <c r="K162" s="53"/>
      <c r="L162" s="53"/>
      <c r="M162" s="53"/>
      <c r="N162" s="53"/>
      <c r="O162" s="53"/>
      <c r="P162" s="53"/>
      <c r="Q162" s="53"/>
      <c r="R162" s="53"/>
      <c r="S162" s="559">
        <v>329354.96000000002</v>
      </c>
      <c r="T162" s="562"/>
      <c r="U162" s="82"/>
    </row>
    <row r="163" spans="1:21" x14ac:dyDescent="0.3">
      <c r="A163" s="304"/>
      <c r="B163" s="304"/>
      <c r="C163" s="27"/>
      <c r="D163" s="304"/>
      <c r="E163" s="27"/>
      <c r="F163" s="366"/>
      <c r="G163" s="27"/>
      <c r="H163" s="304"/>
      <c r="I163" s="304"/>
      <c r="J163" s="304"/>
      <c r="K163" s="304"/>
      <c r="L163" s="304"/>
      <c r="M163" s="304"/>
      <c r="N163" s="304"/>
      <c r="O163" s="304"/>
      <c r="P163" s="304"/>
      <c r="Q163" s="304"/>
      <c r="R163" s="304"/>
      <c r="S163" s="97"/>
      <c r="T163" s="84"/>
      <c r="U163" s="84"/>
    </row>
    <row r="164" spans="1:21" x14ac:dyDescent="0.3">
      <c r="A164" s="304"/>
      <c r="B164" s="304"/>
      <c r="C164" s="302"/>
      <c r="D164" s="304"/>
      <c r="E164" s="304"/>
      <c r="F164" s="304"/>
      <c r="G164" s="304"/>
      <c r="H164" s="304"/>
      <c r="I164" s="304"/>
      <c r="J164" s="304"/>
      <c r="K164" s="304"/>
      <c r="L164" s="304"/>
      <c r="M164" s="304"/>
      <c r="N164" s="304"/>
      <c r="O164" s="304"/>
      <c r="P164" s="304"/>
      <c r="Q164" s="304"/>
      <c r="R164" s="304"/>
    </row>
    <row r="165" spans="1:21" ht="21" thickBot="1" x14ac:dyDescent="0.35">
      <c r="A165" s="342" t="s">
        <v>671</v>
      </c>
    </row>
    <row r="166" spans="1:21" ht="41.25" thickBot="1" x14ac:dyDescent="0.35">
      <c r="A166" s="156" t="s">
        <v>512</v>
      </c>
      <c r="B166" s="155" t="s">
        <v>513</v>
      </c>
      <c r="C166" s="155"/>
      <c r="D166" s="155"/>
      <c r="E166" s="132" t="s">
        <v>514</v>
      </c>
      <c r="F166" s="111" t="s">
        <v>515</v>
      </c>
      <c r="G166" s="153" t="s">
        <v>516</v>
      </c>
      <c r="H166" s="153" t="s">
        <v>517</v>
      </c>
      <c r="I166" s="153" t="s">
        <v>518</v>
      </c>
      <c r="J166" s="153" t="s">
        <v>519</v>
      </c>
      <c r="K166" s="153" t="s">
        <v>520</v>
      </c>
      <c r="L166" s="153" t="s">
        <v>382</v>
      </c>
      <c r="M166" s="153" t="s">
        <v>521</v>
      </c>
      <c r="N166" s="153" t="s">
        <v>522</v>
      </c>
      <c r="O166" s="153" t="s">
        <v>523</v>
      </c>
      <c r="P166" s="153" t="s">
        <v>524</v>
      </c>
      <c r="Q166" s="153" t="s">
        <v>525</v>
      </c>
      <c r="R166" s="153" t="s">
        <v>526</v>
      </c>
      <c r="S166" s="153" t="s">
        <v>527</v>
      </c>
      <c r="T166" s="111" t="s">
        <v>528</v>
      </c>
      <c r="U166" s="110"/>
    </row>
    <row r="167" spans="1:21" x14ac:dyDescent="0.3">
      <c r="A167" s="108"/>
      <c r="B167" s="149"/>
      <c r="C167" s="149"/>
      <c r="D167" s="149"/>
      <c r="E167" s="81"/>
      <c r="F167" s="107"/>
      <c r="G167" s="438"/>
      <c r="H167" s="438"/>
      <c r="I167" s="438"/>
      <c r="J167" s="438"/>
      <c r="K167" s="438"/>
      <c r="L167" s="438"/>
      <c r="M167" s="438"/>
      <c r="N167" s="438"/>
      <c r="O167" s="438"/>
      <c r="P167" s="438"/>
      <c r="Q167" s="438"/>
      <c r="R167" s="438"/>
      <c r="S167" s="106"/>
      <c r="T167" s="106"/>
      <c r="U167" s="80"/>
    </row>
    <row r="168" spans="1:21" x14ac:dyDescent="0.3">
      <c r="A168" s="144">
        <f>+A162+1</f>
        <v>70</v>
      </c>
      <c r="C168" s="266" t="str">
        <f>+'Appendix A'!C258</f>
        <v>Excluded Transmission Facilities</v>
      </c>
      <c r="E168" s="27">
        <v>206</v>
      </c>
      <c r="F168" s="366" t="s">
        <v>540</v>
      </c>
      <c r="G168" s="244">
        <v>3254454.57</v>
      </c>
      <c r="H168" s="244">
        <v>3254454.57</v>
      </c>
      <c r="I168" s="244">
        <v>3254454.57</v>
      </c>
      <c r="J168" s="244">
        <v>3254454.57</v>
      </c>
      <c r="K168" s="244">
        <v>3254454.57</v>
      </c>
      <c r="L168" s="244">
        <v>3254454.57</v>
      </c>
      <c r="M168" s="244">
        <v>3254454.57</v>
      </c>
      <c r="N168" s="244">
        <v>3254454.57</v>
      </c>
      <c r="O168" s="244">
        <v>3254454.57</v>
      </c>
      <c r="P168" s="244">
        <v>3254454.57</v>
      </c>
      <c r="Q168" s="244">
        <v>3254454.57</v>
      </c>
      <c r="R168" s="244">
        <v>3254454.57</v>
      </c>
      <c r="S168" s="244">
        <v>3254454.57</v>
      </c>
      <c r="T168" s="308">
        <f>+AVERAGE(G168:S168)</f>
        <v>3254454.57</v>
      </c>
      <c r="U168" s="128"/>
    </row>
    <row r="169" spans="1:21" ht="21" thickBot="1" x14ac:dyDescent="0.35">
      <c r="A169" s="103"/>
      <c r="B169" s="557"/>
      <c r="C169" s="557"/>
      <c r="D169" s="557"/>
      <c r="E169" s="557"/>
      <c r="F169" s="557"/>
      <c r="G169" s="557"/>
      <c r="H169" s="565"/>
      <c r="I169" s="557"/>
      <c r="J169" s="557"/>
      <c r="K169" s="557"/>
      <c r="L169" s="557"/>
      <c r="M169" s="557"/>
      <c r="N169" s="557"/>
      <c r="O169" s="557"/>
      <c r="P169" s="557"/>
      <c r="Q169" s="557"/>
      <c r="R169" s="557"/>
      <c r="S169" s="557"/>
      <c r="T169" s="557"/>
      <c r="U169" s="127"/>
    </row>
    <row r="171" spans="1:21" x14ac:dyDescent="0.3">
      <c r="A171" s="304"/>
      <c r="B171" s="304"/>
      <c r="C171" s="304"/>
      <c r="D171" s="304"/>
      <c r="E171" s="304"/>
      <c r="F171" s="304"/>
      <c r="G171" s="304"/>
      <c r="H171" s="304"/>
      <c r="I171" s="304"/>
      <c r="J171" s="304"/>
      <c r="K171" s="304"/>
      <c r="L171" s="304"/>
      <c r="M171" s="304"/>
      <c r="N171" s="304"/>
      <c r="O171" s="304"/>
      <c r="P171" s="304"/>
      <c r="Q171" s="304"/>
      <c r="R171" s="304"/>
    </row>
    <row r="172" spans="1:21" ht="21" thickBot="1" x14ac:dyDescent="0.35">
      <c r="A172" s="342" t="s">
        <v>199</v>
      </c>
    </row>
    <row r="173" spans="1:21" ht="41.25" thickBot="1" x14ac:dyDescent="0.35">
      <c r="A173" s="156" t="s">
        <v>512</v>
      </c>
      <c r="B173" s="155" t="s">
        <v>513</v>
      </c>
      <c r="C173" s="155"/>
      <c r="D173" s="155"/>
      <c r="E173" s="132" t="s">
        <v>514</v>
      </c>
      <c r="F173" s="111" t="s">
        <v>515</v>
      </c>
      <c r="G173" s="152"/>
      <c r="H173" s="152"/>
      <c r="I173" s="152"/>
      <c r="J173" s="152"/>
      <c r="K173" s="152"/>
      <c r="L173" s="152"/>
      <c r="M173" s="152"/>
      <c r="N173" s="152"/>
      <c r="O173" s="152"/>
      <c r="P173" s="152"/>
      <c r="Q173" s="152"/>
      <c r="R173" s="152"/>
      <c r="S173" s="79" t="s">
        <v>550</v>
      </c>
      <c r="T173" s="669"/>
      <c r="U173" s="670"/>
    </row>
    <row r="174" spans="1:21" x14ac:dyDescent="0.3">
      <c r="A174" s="108"/>
      <c r="B174" s="149"/>
      <c r="C174" s="149"/>
      <c r="D174" s="149"/>
      <c r="E174" s="107"/>
      <c r="F174" s="107"/>
      <c r="G174" s="438"/>
      <c r="H174" s="438"/>
      <c r="I174" s="438"/>
      <c r="J174" s="438"/>
      <c r="K174" s="438"/>
      <c r="L174" s="438"/>
      <c r="M174" s="438"/>
      <c r="N174" s="438"/>
      <c r="O174" s="438"/>
      <c r="P174" s="438"/>
      <c r="Q174" s="438"/>
      <c r="R174" s="438"/>
      <c r="S174" s="106"/>
      <c r="T174" s="106"/>
      <c r="U174" s="105"/>
    </row>
    <row r="175" spans="1:21" x14ac:dyDescent="0.3">
      <c r="A175" s="144">
        <f>+A168+1</f>
        <v>71</v>
      </c>
      <c r="B175" s="304"/>
      <c r="C175" s="27" t="str">
        <f>+'Appendix A'!C283</f>
        <v>Facility Credits under Section 30.9 of the PJM OATT</v>
      </c>
      <c r="E175" s="304"/>
      <c r="F175" s="314" t="str">
        <f>"(Appendix A, Note "&amp;'Appendix A'!B315&amp;")"</f>
        <v>(Appendix A, Note S)</v>
      </c>
      <c r="G175" s="366"/>
      <c r="H175" s="304"/>
      <c r="I175" s="304"/>
      <c r="J175" s="304"/>
      <c r="K175" s="304"/>
      <c r="L175" s="304"/>
      <c r="M175" s="304"/>
      <c r="N175" s="304"/>
      <c r="O175" s="304"/>
      <c r="P175" s="304"/>
      <c r="Q175" s="304"/>
      <c r="R175" s="304"/>
      <c r="S175" s="102">
        <v>0</v>
      </c>
      <c r="T175" s="671"/>
      <c r="U175" s="672"/>
    </row>
    <row r="176" spans="1:21" ht="21" thickBot="1" x14ac:dyDescent="0.35">
      <c r="A176" s="138"/>
      <c r="B176" s="53"/>
      <c r="C176" s="53"/>
      <c r="D176" s="53"/>
      <c r="E176" s="53"/>
      <c r="F176" s="53"/>
      <c r="G176" s="53"/>
      <c r="H176" s="53"/>
      <c r="I176" s="53"/>
      <c r="J176" s="53"/>
      <c r="K176" s="53"/>
      <c r="L176" s="53"/>
      <c r="M176" s="53"/>
      <c r="N176" s="53"/>
      <c r="O176" s="53"/>
      <c r="P176" s="53"/>
      <c r="Q176" s="53"/>
      <c r="R176" s="53"/>
      <c r="S176" s="557"/>
      <c r="T176" s="557"/>
      <c r="U176" s="127"/>
    </row>
    <row r="179" spans="1:21" ht="21" thickBot="1" x14ac:dyDescent="0.35">
      <c r="A179" s="342" t="s">
        <v>672</v>
      </c>
    </row>
    <row r="180" spans="1:21" ht="41.25" thickBot="1" x14ac:dyDescent="0.35">
      <c r="A180" s="156" t="s">
        <v>512</v>
      </c>
      <c r="B180" s="155" t="s">
        <v>513</v>
      </c>
      <c r="C180" s="155"/>
      <c r="D180" s="155"/>
      <c r="E180" s="132" t="s">
        <v>514</v>
      </c>
      <c r="F180" s="111" t="s">
        <v>515</v>
      </c>
      <c r="G180" s="152"/>
      <c r="H180" s="152"/>
      <c r="I180" s="152"/>
      <c r="J180" s="152"/>
      <c r="K180" s="152"/>
      <c r="L180" s="152"/>
      <c r="M180" s="152"/>
      <c r="N180" s="152"/>
      <c r="O180" s="152"/>
      <c r="P180" s="152"/>
      <c r="Q180" s="152"/>
      <c r="R180" s="152"/>
      <c r="S180" s="79" t="s">
        <v>673</v>
      </c>
      <c r="T180" s="667"/>
      <c r="U180" s="668"/>
    </row>
    <row r="181" spans="1:21" x14ac:dyDescent="0.3">
      <c r="A181" s="108"/>
      <c r="B181" s="149"/>
      <c r="C181" s="149"/>
      <c r="D181" s="149"/>
      <c r="E181" s="107"/>
      <c r="F181" s="107"/>
      <c r="G181" s="438"/>
      <c r="H181" s="438"/>
      <c r="I181" s="438"/>
      <c r="J181" s="438"/>
      <c r="K181" s="438"/>
      <c r="L181" s="438"/>
      <c r="M181" s="438"/>
      <c r="N181" s="438"/>
      <c r="O181" s="438"/>
      <c r="P181" s="438"/>
      <c r="Q181" s="438"/>
      <c r="R181" s="438"/>
      <c r="S181" s="106"/>
      <c r="T181" s="106"/>
      <c r="U181" s="105"/>
    </row>
    <row r="182" spans="1:21" x14ac:dyDescent="0.3">
      <c r="A182" s="144"/>
      <c r="B182" s="342" t="s">
        <v>674</v>
      </c>
      <c r="G182" s="304"/>
      <c r="U182" s="128"/>
    </row>
    <row r="183" spans="1:21" x14ac:dyDescent="0.3">
      <c r="A183" s="144">
        <f>+A175+1</f>
        <v>72</v>
      </c>
      <c r="B183" s="304"/>
      <c r="C183" s="27" t="s">
        <v>675</v>
      </c>
      <c r="D183" s="27"/>
      <c r="E183" s="27" t="s">
        <v>676</v>
      </c>
      <c r="F183" s="366" t="s">
        <v>632</v>
      </c>
      <c r="H183" s="27"/>
      <c r="I183" s="27"/>
      <c r="J183" s="27"/>
      <c r="K183" s="27"/>
      <c r="L183" s="27"/>
      <c r="M183" s="27"/>
      <c r="N183" s="27"/>
      <c r="O183" s="27"/>
      <c r="P183" s="27"/>
      <c r="Q183" s="27"/>
      <c r="R183" s="27"/>
      <c r="S183" s="78">
        <v>3365</v>
      </c>
      <c r="T183" s="671"/>
      <c r="U183" s="672"/>
    </row>
    <row r="184" spans="1:21" ht="21" thickBot="1" x14ac:dyDescent="0.35">
      <c r="A184" s="103"/>
      <c r="B184" s="557"/>
      <c r="C184" s="557"/>
      <c r="D184" s="557"/>
      <c r="E184" s="557"/>
      <c r="F184" s="557"/>
      <c r="G184" s="557"/>
      <c r="H184" s="557"/>
      <c r="I184" s="557"/>
      <c r="J184" s="557"/>
      <c r="K184" s="557"/>
      <c r="L184" s="557"/>
      <c r="M184" s="557"/>
      <c r="N184" s="557"/>
      <c r="O184" s="557"/>
      <c r="P184" s="557"/>
      <c r="Q184" s="557"/>
      <c r="R184" s="557"/>
      <c r="S184" s="557"/>
      <c r="T184" s="557"/>
      <c r="U184" s="127"/>
    </row>
    <row r="185" spans="1:21" x14ac:dyDescent="0.3">
      <c r="D185" s="77"/>
    </row>
    <row r="186" spans="1:21" x14ac:dyDescent="0.3">
      <c r="A186" s="342"/>
      <c r="U186" s="233"/>
    </row>
    <row r="187" spans="1:21" ht="21" thickBot="1" x14ac:dyDescent="0.35">
      <c r="A187" s="198" t="s">
        <v>48</v>
      </c>
      <c r="K187" s="76"/>
      <c r="L187" s="76"/>
      <c r="M187" s="76"/>
      <c r="N187" s="76"/>
      <c r="O187" s="76"/>
      <c r="P187" s="76"/>
      <c r="Q187" s="76"/>
      <c r="R187" s="76"/>
    </row>
    <row r="188" spans="1:21" ht="41.25" thickBot="1" x14ac:dyDescent="0.35">
      <c r="A188" s="134" t="s">
        <v>512</v>
      </c>
      <c r="B188" s="133" t="s">
        <v>513</v>
      </c>
      <c r="C188" s="133"/>
      <c r="D188" s="133"/>
      <c r="E188" s="132" t="s">
        <v>514</v>
      </c>
      <c r="F188" s="111" t="s">
        <v>515</v>
      </c>
      <c r="G188" s="153"/>
      <c r="H188" s="153" t="s">
        <v>677</v>
      </c>
      <c r="I188" s="153" t="s">
        <v>678</v>
      </c>
      <c r="J188" s="153" t="s">
        <v>679</v>
      </c>
      <c r="K188" s="153" t="s">
        <v>69</v>
      </c>
      <c r="L188" s="153"/>
      <c r="M188" s="153"/>
      <c r="N188" s="153"/>
      <c r="O188" s="153"/>
      <c r="P188" s="153"/>
      <c r="Q188" s="153"/>
      <c r="R188" s="153"/>
      <c r="S188" s="111"/>
      <c r="T188" s="667"/>
      <c r="U188" s="668"/>
    </row>
    <row r="189" spans="1:21" x14ac:dyDescent="0.3">
      <c r="A189" s="75"/>
      <c r="B189" s="201"/>
      <c r="C189" s="201"/>
      <c r="D189" s="201"/>
      <c r="E189" s="74"/>
      <c r="F189" s="74"/>
      <c r="G189" s="201"/>
      <c r="H189" s="200"/>
      <c r="I189" s="200"/>
      <c r="J189" s="200"/>
      <c r="K189" s="73"/>
      <c r="L189" s="73"/>
      <c r="M189" s="73"/>
      <c r="N189" s="73"/>
      <c r="O189" s="73"/>
      <c r="P189" s="73"/>
      <c r="Q189" s="73"/>
      <c r="R189" s="73"/>
      <c r="S189" s="302"/>
      <c r="T189" s="84"/>
      <c r="U189" s="83"/>
    </row>
    <row r="190" spans="1:21" x14ac:dyDescent="0.3">
      <c r="A190" s="144">
        <f>+A183+1</f>
        <v>73</v>
      </c>
      <c r="C190" s="266" t="s">
        <v>680</v>
      </c>
      <c r="D190" s="201"/>
      <c r="E190" s="266" t="s">
        <v>681</v>
      </c>
      <c r="F190" s="266">
        <v>182.1</v>
      </c>
      <c r="G190" s="201"/>
      <c r="H190" s="72">
        <v>0</v>
      </c>
      <c r="I190" s="72">
        <v>0</v>
      </c>
      <c r="J190" s="72">
        <v>0</v>
      </c>
      <c r="K190" s="312">
        <f>+H190+I190+J190</f>
        <v>0</v>
      </c>
      <c r="L190" s="73"/>
      <c r="M190" s="73"/>
      <c r="N190" s="73"/>
      <c r="O190" s="73"/>
      <c r="P190" s="73"/>
      <c r="Q190" s="73"/>
      <c r="R190" s="73"/>
      <c r="S190" s="302"/>
      <c r="T190" s="84"/>
      <c r="U190" s="83"/>
    </row>
    <row r="191" spans="1:21" x14ac:dyDescent="0.3">
      <c r="A191" s="144">
        <f>+A190+1</f>
        <v>74</v>
      </c>
      <c r="C191" s="266" t="s">
        <v>682</v>
      </c>
      <c r="D191" s="200"/>
      <c r="E191" s="266" t="str">
        <f>+E190</f>
        <v>Per FERC Order</v>
      </c>
      <c r="G191" s="201"/>
      <c r="H191" s="72">
        <v>0</v>
      </c>
      <c r="I191" s="72">
        <v>0</v>
      </c>
      <c r="J191" s="72">
        <v>0</v>
      </c>
      <c r="K191" s="312"/>
      <c r="L191" s="73"/>
      <c r="M191" s="73"/>
      <c r="N191" s="73"/>
      <c r="O191" s="73"/>
      <c r="P191" s="73"/>
      <c r="Q191" s="73"/>
      <c r="R191" s="73"/>
      <c r="S191" s="302"/>
      <c r="T191" s="84"/>
      <c r="U191" s="83"/>
    </row>
    <row r="192" spans="1:21" x14ac:dyDescent="0.3">
      <c r="A192" s="144">
        <f>+A191+1</f>
        <v>75</v>
      </c>
      <c r="C192" s="266" t="s">
        <v>683</v>
      </c>
      <c r="D192" s="200"/>
      <c r="E192" s="266" t="str">
        <f>"(Line "&amp;A190&amp;") / (Line "&amp;A191&amp;")"</f>
        <v>(Line 73) / (Line 74)</v>
      </c>
      <c r="F192" s="266">
        <v>407</v>
      </c>
      <c r="G192" s="201"/>
      <c r="H192" s="72">
        <v>0</v>
      </c>
      <c r="I192" s="72">
        <v>0</v>
      </c>
      <c r="J192" s="72">
        <v>0</v>
      </c>
      <c r="K192" s="312">
        <f>+H192+I192+J192</f>
        <v>0</v>
      </c>
      <c r="L192" s="73"/>
      <c r="M192" s="73"/>
      <c r="N192" s="73"/>
      <c r="O192" s="73"/>
      <c r="P192" s="73"/>
      <c r="Q192" s="73"/>
      <c r="R192" s="73"/>
      <c r="S192" s="302"/>
      <c r="T192" s="84"/>
      <c r="U192" s="83"/>
    </row>
    <row r="193" spans="1:21" x14ac:dyDescent="0.3">
      <c r="A193" s="144"/>
      <c r="D193" s="200"/>
      <c r="G193" s="201"/>
      <c r="H193" s="386"/>
      <c r="I193" s="386"/>
      <c r="J193" s="386"/>
      <c r="K193" s="312"/>
      <c r="L193" s="73"/>
      <c r="M193" s="73"/>
      <c r="N193" s="73"/>
      <c r="O193" s="73"/>
      <c r="P193" s="73"/>
      <c r="Q193" s="73"/>
      <c r="R193" s="73"/>
      <c r="S193" s="302"/>
      <c r="T193" s="84"/>
      <c r="U193" s="83"/>
    </row>
    <row r="194" spans="1:21" x14ac:dyDescent="0.3">
      <c r="A194" s="144">
        <f>+A192+1</f>
        <v>76</v>
      </c>
      <c r="C194" s="266" t="s">
        <v>684</v>
      </c>
      <c r="D194" s="200"/>
      <c r="E194" s="266" t="str">
        <f>"(Line "&amp;A190&amp;") - (Line "&amp;A192&amp;")"</f>
        <v>(Line 73) - (Line 75)</v>
      </c>
      <c r="F194" s="266">
        <v>182.1</v>
      </c>
      <c r="G194" s="71"/>
      <c r="H194" s="386">
        <f>+H190-H192</f>
        <v>0</v>
      </c>
      <c r="I194" s="386">
        <f>+I190-I192</f>
        <v>0</v>
      </c>
      <c r="J194" s="386">
        <f>+J190-J192</f>
        <v>0</v>
      </c>
      <c r="K194" s="312">
        <f>+H194+I194+J194</f>
        <v>0</v>
      </c>
      <c r="L194" s="73"/>
      <c r="M194" s="73"/>
      <c r="N194" s="73"/>
      <c r="O194" s="73"/>
      <c r="P194" s="73"/>
      <c r="Q194" s="73"/>
      <c r="R194" s="73"/>
      <c r="S194" s="302"/>
      <c r="T194" s="84"/>
      <c r="U194" s="83"/>
    </row>
    <row r="195" spans="1:21" x14ac:dyDescent="0.3">
      <c r="A195" s="144">
        <f>+A194+1</f>
        <v>77</v>
      </c>
      <c r="C195" s="266" t="s">
        <v>685</v>
      </c>
      <c r="D195" s="200"/>
      <c r="E195" s="266" t="str">
        <f>"(Line "&amp;A190&amp;") + (Line "&amp;A194&amp;") / 2"</f>
        <v>(Line 73) + (Line 76) / 2</v>
      </c>
      <c r="G195" s="201"/>
      <c r="H195" s="386">
        <f>+H190/2+H194/2</f>
        <v>0</v>
      </c>
      <c r="I195" s="386">
        <f>+I190/2+I194/2</f>
        <v>0</v>
      </c>
      <c r="J195" s="386">
        <f>+J190/2+J194/2</f>
        <v>0</v>
      </c>
      <c r="K195" s="312">
        <f>+H195+I195+J195</f>
        <v>0</v>
      </c>
      <c r="L195" s="73"/>
      <c r="M195" s="73"/>
      <c r="N195" s="73"/>
      <c r="O195" s="73"/>
      <c r="P195" s="73"/>
      <c r="Q195" s="73"/>
      <c r="R195" s="73"/>
      <c r="S195" s="302"/>
      <c r="T195" s="84"/>
      <c r="U195" s="83"/>
    </row>
    <row r="196" spans="1:21" x14ac:dyDescent="0.3">
      <c r="A196" s="70"/>
      <c r="C196" s="201"/>
      <c r="D196" s="200"/>
      <c r="G196" s="201"/>
      <c r="H196" s="201"/>
      <c r="I196" s="201"/>
      <c r="J196" s="201"/>
      <c r="K196" s="201"/>
      <c r="L196" s="76"/>
      <c r="M196" s="76"/>
      <c r="N196" s="76"/>
      <c r="O196" s="76"/>
      <c r="P196" s="76"/>
      <c r="Q196" s="76"/>
      <c r="R196" s="76"/>
      <c r="U196" s="128"/>
    </row>
    <row r="197" spans="1:21" ht="21" thickBot="1" x14ac:dyDescent="0.35">
      <c r="A197" s="69"/>
      <c r="B197" s="557"/>
      <c r="C197" s="557" t="s">
        <v>686</v>
      </c>
      <c r="D197" s="53"/>
      <c r="E197" s="557"/>
      <c r="F197" s="557"/>
      <c r="G197" s="557"/>
      <c r="H197" s="53" t="s">
        <v>687</v>
      </c>
      <c r="I197" s="53" t="s">
        <v>688</v>
      </c>
      <c r="J197" s="53" t="s">
        <v>687</v>
      </c>
      <c r="K197" s="53"/>
      <c r="L197" s="570"/>
      <c r="M197" s="571"/>
      <c r="N197" s="571"/>
      <c r="O197" s="571"/>
      <c r="P197" s="571"/>
      <c r="Q197" s="571"/>
      <c r="R197" s="571"/>
      <c r="S197" s="557"/>
      <c r="T197" s="557"/>
      <c r="U197" s="127"/>
    </row>
    <row r="200" spans="1:21" ht="21" thickBot="1" x14ac:dyDescent="0.35">
      <c r="A200" s="342" t="s">
        <v>689</v>
      </c>
      <c r="G200" s="135"/>
      <c r="H200" s="675"/>
      <c r="I200" s="675"/>
      <c r="J200" s="675"/>
      <c r="K200" s="675"/>
      <c r="L200" s="675"/>
      <c r="M200" s="675"/>
      <c r="N200" s="675"/>
      <c r="O200" s="675"/>
      <c r="P200" s="675"/>
      <c r="Q200" s="675"/>
      <c r="R200" s="675"/>
      <c r="S200" s="675"/>
    </row>
    <row r="201" spans="1:21" ht="41.25" thickBot="1" x14ac:dyDescent="0.35">
      <c r="A201" s="134" t="s">
        <v>512</v>
      </c>
      <c r="B201" s="133" t="s">
        <v>513</v>
      </c>
      <c r="C201" s="133"/>
      <c r="D201" s="133"/>
      <c r="E201" s="132" t="s">
        <v>514</v>
      </c>
      <c r="F201" s="111" t="s">
        <v>515</v>
      </c>
      <c r="G201" s="131"/>
      <c r="H201" s="131"/>
      <c r="I201" s="131"/>
      <c r="J201" s="131"/>
      <c r="K201" s="131"/>
      <c r="L201" s="131"/>
      <c r="M201" s="131"/>
      <c r="N201" s="131"/>
      <c r="O201" s="131"/>
      <c r="P201" s="131"/>
      <c r="Q201" s="111" t="s">
        <v>558</v>
      </c>
      <c r="R201" s="111" t="s">
        <v>690</v>
      </c>
      <c r="S201" s="111" t="s">
        <v>691</v>
      </c>
      <c r="T201" s="111" t="s">
        <v>528</v>
      </c>
      <c r="U201" s="110"/>
    </row>
    <row r="202" spans="1:21" x14ac:dyDescent="0.3">
      <c r="A202" s="144"/>
      <c r="C202" s="27"/>
      <c r="E202" s="308"/>
      <c r="F202" s="308"/>
      <c r="Q202" s="263"/>
      <c r="R202" s="263"/>
      <c r="S202" s="263"/>
      <c r="T202" s="263"/>
      <c r="U202" s="128"/>
    </row>
    <row r="203" spans="1:21" x14ac:dyDescent="0.3">
      <c r="A203" s="144">
        <f>+A195+1</f>
        <v>78</v>
      </c>
      <c r="C203" s="27" t="s">
        <v>45</v>
      </c>
      <c r="E203" s="266" t="s">
        <v>692</v>
      </c>
      <c r="F203" s="314" t="s">
        <v>693</v>
      </c>
      <c r="J203" s="263"/>
      <c r="Q203" s="308">
        <f>+'9 - Excess ADIT'!V38+'9 - Excess ADIT'!V64</f>
        <v>-21472269.564499814</v>
      </c>
      <c r="R203" s="308">
        <f>+'9 - Excess ADIT'!W70</f>
        <v>-2920070.7537237941</v>
      </c>
      <c r="S203" s="308">
        <f>+'9 - Excess ADIT'!X38+'9 - Excess ADIT'!X64</f>
        <v>-18552198.810776021</v>
      </c>
      <c r="T203" s="308">
        <f>+(S203+Q203)/2</f>
        <v>-20012234.187637918</v>
      </c>
      <c r="U203" s="128"/>
    </row>
    <row r="204" spans="1:21" ht="21" thickBot="1" x14ac:dyDescent="0.35">
      <c r="A204" s="138"/>
      <c r="B204" s="53"/>
      <c r="C204" s="553"/>
      <c r="D204" s="53"/>
      <c r="E204" s="554"/>
      <c r="F204" s="554"/>
      <c r="G204" s="557"/>
      <c r="H204" s="557"/>
      <c r="I204" s="561"/>
      <c r="J204" s="554"/>
      <c r="K204" s="554"/>
      <c r="L204" s="554"/>
      <c r="M204" s="554"/>
      <c r="N204" s="554"/>
      <c r="O204" s="554"/>
      <c r="P204" s="554"/>
      <c r="Q204" s="554"/>
      <c r="R204" s="554"/>
      <c r="S204" s="565"/>
      <c r="T204" s="664"/>
      <c r="U204" s="665"/>
    </row>
    <row r="206" spans="1:21" x14ac:dyDescent="0.3">
      <c r="U206" s="299"/>
    </row>
    <row r="207" spans="1:21" ht="21" thickBot="1" x14ac:dyDescent="0.35">
      <c r="A207" s="342" t="s">
        <v>64</v>
      </c>
      <c r="G207" s="135"/>
      <c r="H207" s="675"/>
      <c r="I207" s="675"/>
      <c r="J207" s="675"/>
      <c r="K207" s="675"/>
      <c r="L207" s="675"/>
      <c r="M207" s="675"/>
      <c r="N207" s="675"/>
      <c r="O207" s="675"/>
      <c r="P207" s="675"/>
      <c r="Q207" s="675"/>
      <c r="R207" s="675"/>
      <c r="S207" s="675"/>
      <c r="U207" s="233"/>
    </row>
    <row r="208" spans="1:21" ht="41.25" thickBot="1" x14ac:dyDescent="0.35">
      <c r="A208" s="134" t="s">
        <v>512</v>
      </c>
      <c r="B208" s="133" t="s">
        <v>513</v>
      </c>
      <c r="C208" s="133"/>
      <c r="D208" s="133"/>
      <c r="E208" s="132" t="s">
        <v>514</v>
      </c>
      <c r="F208" s="111" t="s">
        <v>515</v>
      </c>
      <c r="G208" s="153" t="s">
        <v>516</v>
      </c>
      <c r="H208" s="153" t="s">
        <v>517</v>
      </c>
      <c r="I208" s="153" t="s">
        <v>518</v>
      </c>
      <c r="J208" s="153" t="s">
        <v>519</v>
      </c>
      <c r="K208" s="153" t="s">
        <v>520</v>
      </c>
      <c r="L208" s="153" t="s">
        <v>382</v>
      </c>
      <c r="M208" s="153" t="s">
        <v>521</v>
      </c>
      <c r="N208" s="153" t="s">
        <v>522</v>
      </c>
      <c r="O208" s="153" t="s">
        <v>523</v>
      </c>
      <c r="P208" s="153" t="s">
        <v>524</v>
      </c>
      <c r="Q208" s="153" t="s">
        <v>525</v>
      </c>
      <c r="R208" s="153" t="s">
        <v>526</v>
      </c>
      <c r="S208" s="153" t="s">
        <v>527</v>
      </c>
      <c r="T208" s="111" t="s">
        <v>528</v>
      </c>
      <c r="U208" s="110"/>
    </row>
    <row r="209" spans="1:21" x14ac:dyDescent="0.3">
      <c r="A209" s="144"/>
      <c r="C209" s="27"/>
      <c r="E209" s="308"/>
      <c r="F209" s="308"/>
      <c r="Q209" s="263"/>
      <c r="R209" s="263"/>
      <c r="S209" s="263"/>
      <c r="T209" s="263"/>
      <c r="U209" s="128"/>
    </row>
    <row r="210" spans="1:21" x14ac:dyDescent="0.3">
      <c r="A210" s="144"/>
      <c r="B210" s="342" t="s">
        <v>64</v>
      </c>
      <c r="C210" s="27"/>
      <c r="E210" s="308"/>
      <c r="F210" s="308"/>
      <c r="G210" s="304"/>
      <c r="Q210" s="263"/>
      <c r="R210" s="263"/>
      <c r="S210" s="263"/>
      <c r="T210" s="263"/>
      <c r="U210" s="128"/>
    </row>
    <row r="211" spans="1:21" x14ac:dyDescent="0.3">
      <c r="A211" s="144"/>
      <c r="C211" s="27"/>
      <c r="E211" s="308"/>
      <c r="F211" s="308"/>
      <c r="Q211" s="263"/>
      <c r="R211" s="263"/>
      <c r="S211" s="263"/>
      <c r="T211" s="263"/>
      <c r="U211" s="128"/>
    </row>
    <row r="212" spans="1:21" x14ac:dyDescent="0.3">
      <c r="A212" s="144">
        <f>+A203+1</f>
        <v>79</v>
      </c>
      <c r="C212" s="27" t="s">
        <v>65</v>
      </c>
      <c r="E212" s="266" t="s">
        <v>694</v>
      </c>
      <c r="F212" s="366">
        <v>228.1</v>
      </c>
      <c r="G212" s="174">
        <v>0</v>
      </c>
      <c r="H212" s="174">
        <v>0</v>
      </c>
      <c r="I212" s="174">
        <v>0</v>
      </c>
      <c r="J212" s="174">
        <v>0</v>
      </c>
      <c r="K212" s="174">
        <v>0</v>
      </c>
      <c r="L212" s="174">
        <v>0</v>
      </c>
      <c r="M212" s="174">
        <v>0</v>
      </c>
      <c r="N212" s="174">
        <v>0</v>
      </c>
      <c r="O212" s="174">
        <v>0</v>
      </c>
      <c r="P212" s="174">
        <v>0</v>
      </c>
      <c r="Q212" s="174">
        <v>0</v>
      </c>
      <c r="R212" s="174">
        <v>0</v>
      </c>
      <c r="S212" s="174">
        <v>0</v>
      </c>
      <c r="T212" s="308">
        <f>AVERAGE(G212:S212)</f>
        <v>0</v>
      </c>
      <c r="U212" s="128"/>
    </row>
    <row r="213" spans="1:21" x14ac:dyDescent="0.3">
      <c r="A213" s="144">
        <f>+A212+1</f>
        <v>80</v>
      </c>
      <c r="C213" s="27" t="s">
        <v>67</v>
      </c>
      <c r="E213" s="266" t="s">
        <v>695</v>
      </c>
      <c r="F213" s="366">
        <v>228.2</v>
      </c>
      <c r="G213" s="174">
        <v>-1073423</v>
      </c>
      <c r="H213" s="174">
        <v>-1073423</v>
      </c>
      <c r="I213" s="174">
        <v>-1073423</v>
      </c>
      <c r="J213" s="174">
        <v>-1073423</v>
      </c>
      <c r="K213" s="174">
        <v>-1073423</v>
      </c>
      <c r="L213" s="174">
        <v>-1073423</v>
      </c>
      <c r="M213" s="174">
        <v>-1173423</v>
      </c>
      <c r="N213" s="174">
        <v>-1173423</v>
      </c>
      <c r="O213" s="174">
        <v>-1173423</v>
      </c>
      <c r="P213" s="174">
        <v>-1098423</v>
      </c>
      <c r="Q213" s="174">
        <v>-1098423</v>
      </c>
      <c r="R213" s="174">
        <v>-1098423</v>
      </c>
      <c r="S213" s="174">
        <v>-1245828</v>
      </c>
      <c r="T213" s="308">
        <v>-1115531</v>
      </c>
      <c r="U213" s="128"/>
    </row>
    <row r="214" spans="1:21" x14ac:dyDescent="0.3">
      <c r="A214" s="144">
        <f>+A213+1</f>
        <v>81</v>
      </c>
      <c r="C214" s="27" t="s">
        <v>696</v>
      </c>
      <c r="E214" s="266" t="s">
        <v>697</v>
      </c>
      <c r="F214" s="366">
        <v>228.3</v>
      </c>
      <c r="G214" s="174">
        <v>-1741509</v>
      </c>
      <c r="H214" s="174">
        <v>-1755037</v>
      </c>
      <c r="I214" s="174">
        <v>-1758684</v>
      </c>
      <c r="J214" s="174">
        <v>-1767063</v>
      </c>
      <c r="K214" s="174">
        <v>-1799064</v>
      </c>
      <c r="L214" s="174">
        <v>-1749772</v>
      </c>
      <c r="M214" s="174">
        <v>-1754682</v>
      </c>
      <c r="N214" s="174">
        <v>-1766574</v>
      </c>
      <c r="O214" s="174">
        <v>-1794367</v>
      </c>
      <c r="P214" s="174">
        <v>-1803968</v>
      </c>
      <c r="Q214" s="174">
        <v>-1741332</v>
      </c>
      <c r="R214" s="174">
        <v>-1749389</v>
      </c>
      <c r="S214" s="174">
        <v>-1578667</v>
      </c>
      <c r="T214" s="308">
        <v>-1750778</v>
      </c>
      <c r="U214" s="128"/>
    </row>
    <row r="215" spans="1:21" x14ac:dyDescent="0.3">
      <c r="A215" s="144">
        <f>+A214+1</f>
        <v>82</v>
      </c>
      <c r="C215" s="27" t="s">
        <v>698</v>
      </c>
      <c r="E215" s="266" t="s">
        <v>699</v>
      </c>
      <c r="F215" s="366">
        <v>228.4</v>
      </c>
      <c r="G215" s="174">
        <v>0</v>
      </c>
      <c r="H215" s="174">
        <v>0</v>
      </c>
      <c r="I215" s="174">
        <v>0</v>
      </c>
      <c r="J215" s="174">
        <v>0</v>
      </c>
      <c r="K215" s="174">
        <v>0</v>
      </c>
      <c r="L215" s="174">
        <v>0</v>
      </c>
      <c r="M215" s="174">
        <v>0</v>
      </c>
      <c r="N215" s="174">
        <v>0</v>
      </c>
      <c r="O215" s="174">
        <v>0</v>
      </c>
      <c r="P215" s="174">
        <v>0</v>
      </c>
      <c r="Q215" s="174">
        <v>0</v>
      </c>
      <c r="R215" s="174">
        <v>0</v>
      </c>
      <c r="S215" s="174">
        <v>0</v>
      </c>
      <c r="T215" s="308">
        <f>AVERAGE(G215:S215)</f>
        <v>0</v>
      </c>
      <c r="U215" s="128"/>
    </row>
    <row r="216" spans="1:21" x14ac:dyDescent="0.3">
      <c r="A216" s="144"/>
      <c r="C216" s="27"/>
      <c r="J216" s="263"/>
      <c r="Q216" s="112"/>
      <c r="R216" s="112"/>
      <c r="S216" s="112"/>
      <c r="T216" s="112"/>
      <c r="U216" s="128"/>
    </row>
    <row r="217" spans="1:21" ht="21" thickBot="1" x14ac:dyDescent="0.35">
      <c r="A217" s="69" t="s">
        <v>700</v>
      </c>
      <c r="B217" s="53"/>
      <c r="C217" s="553"/>
      <c r="D217" s="53"/>
      <c r="E217" s="554"/>
      <c r="F217" s="554"/>
      <c r="G217" s="557"/>
      <c r="H217" s="557"/>
      <c r="I217" s="561"/>
      <c r="J217" s="554"/>
      <c r="K217" s="554"/>
      <c r="L217" s="554"/>
      <c r="M217" s="554"/>
      <c r="N217" s="554"/>
      <c r="O217" s="554"/>
      <c r="P217" s="554"/>
      <c r="Q217" s="554"/>
      <c r="R217" s="554"/>
      <c r="S217" s="557"/>
      <c r="T217" s="664"/>
      <c r="U217" s="665"/>
    </row>
    <row r="219" spans="1:21" ht="21" thickBot="1" x14ac:dyDescent="0.35">
      <c r="A219" s="342" t="s">
        <v>74</v>
      </c>
      <c r="G219" s="135"/>
      <c r="H219" s="675"/>
      <c r="I219" s="675"/>
      <c r="J219" s="675"/>
      <c r="K219" s="675"/>
      <c r="L219" s="675"/>
      <c r="M219" s="675"/>
      <c r="N219" s="675"/>
      <c r="O219" s="675"/>
      <c r="P219" s="675"/>
      <c r="Q219" s="675"/>
      <c r="R219" s="675"/>
      <c r="S219" s="675"/>
    </row>
    <row r="220" spans="1:21" ht="41.25" thickBot="1" x14ac:dyDescent="0.35">
      <c r="A220" s="134" t="s">
        <v>512</v>
      </c>
      <c r="B220" s="133" t="s">
        <v>513</v>
      </c>
      <c r="C220" s="133"/>
      <c r="D220" s="133"/>
      <c r="E220" s="132" t="s">
        <v>514</v>
      </c>
      <c r="F220" s="111" t="s">
        <v>515</v>
      </c>
      <c r="G220" s="153" t="s">
        <v>516</v>
      </c>
      <c r="H220" s="153" t="s">
        <v>517</v>
      </c>
      <c r="I220" s="153" t="s">
        <v>518</v>
      </c>
      <c r="J220" s="153" t="s">
        <v>519</v>
      </c>
      <c r="K220" s="153" t="s">
        <v>520</v>
      </c>
      <c r="L220" s="153" t="s">
        <v>382</v>
      </c>
      <c r="M220" s="153" t="s">
        <v>521</v>
      </c>
      <c r="N220" s="153" t="s">
        <v>522</v>
      </c>
      <c r="O220" s="153" t="s">
        <v>523</v>
      </c>
      <c r="P220" s="153" t="s">
        <v>524</v>
      </c>
      <c r="Q220" s="153" t="s">
        <v>525</v>
      </c>
      <c r="R220" s="153" t="s">
        <v>526</v>
      </c>
      <c r="S220" s="153" t="s">
        <v>527</v>
      </c>
      <c r="T220" s="111" t="s">
        <v>528</v>
      </c>
      <c r="U220" s="110"/>
    </row>
    <row r="221" spans="1:21" x14ac:dyDescent="0.3">
      <c r="A221" s="144"/>
      <c r="C221" s="27"/>
      <c r="E221" s="308"/>
      <c r="F221" s="308"/>
      <c r="Q221" s="263"/>
      <c r="R221" s="263"/>
      <c r="S221" s="263"/>
      <c r="T221" s="263"/>
      <c r="U221" s="128"/>
    </row>
    <row r="222" spans="1:21" x14ac:dyDescent="0.3">
      <c r="A222" s="144">
        <f>+A215+1</f>
        <v>83</v>
      </c>
      <c r="C222" s="27" t="s">
        <v>701</v>
      </c>
      <c r="E222" s="266" t="s">
        <v>702</v>
      </c>
      <c r="F222" s="266">
        <v>253</v>
      </c>
      <c r="G222" s="102">
        <v>0</v>
      </c>
      <c r="H222" s="102">
        <v>0</v>
      </c>
      <c r="I222" s="102">
        <v>0</v>
      </c>
      <c r="J222" s="102">
        <v>0</v>
      </c>
      <c r="K222" s="102">
        <v>0</v>
      </c>
      <c r="L222" s="102">
        <v>0</v>
      </c>
      <c r="M222" s="102">
        <v>0</v>
      </c>
      <c r="N222" s="102">
        <v>0</v>
      </c>
      <c r="O222" s="102">
        <v>0</v>
      </c>
      <c r="P222" s="102">
        <v>0</v>
      </c>
      <c r="Q222" s="102">
        <v>0</v>
      </c>
      <c r="R222" s="102">
        <v>0</v>
      </c>
      <c r="S222" s="102">
        <v>0</v>
      </c>
      <c r="T222" s="308">
        <f>AVERAGE(G222:S222)</f>
        <v>0</v>
      </c>
      <c r="U222" s="128"/>
    </row>
    <row r="223" spans="1:21" ht="21" thickBot="1" x14ac:dyDescent="0.35">
      <c r="A223" s="69"/>
      <c r="B223" s="53"/>
      <c r="C223" s="553"/>
      <c r="D223" s="53"/>
      <c r="E223" s="554"/>
      <c r="F223" s="554"/>
      <c r="G223" s="557"/>
      <c r="H223" s="557"/>
      <c r="I223" s="561"/>
      <c r="J223" s="554"/>
      <c r="K223" s="554"/>
      <c r="L223" s="554"/>
      <c r="M223" s="554"/>
      <c r="N223" s="554"/>
      <c r="O223" s="554"/>
      <c r="P223" s="554"/>
      <c r="Q223" s="554"/>
      <c r="R223" s="554"/>
      <c r="S223" s="557"/>
      <c r="T223" s="664"/>
      <c r="U223" s="665"/>
    </row>
    <row r="227" spans="1:21" ht="21" thickBot="1" x14ac:dyDescent="0.35">
      <c r="A227" s="198" t="s">
        <v>73</v>
      </c>
    </row>
    <row r="228" spans="1:21" ht="41.25" thickBot="1" x14ac:dyDescent="0.35">
      <c r="A228" s="134" t="s">
        <v>512</v>
      </c>
      <c r="B228" s="133" t="s">
        <v>513</v>
      </c>
      <c r="C228" s="133"/>
      <c r="D228" s="133"/>
      <c r="E228" s="132" t="s">
        <v>514</v>
      </c>
      <c r="F228" s="111" t="s">
        <v>515</v>
      </c>
      <c r="G228" s="153" t="s">
        <v>516</v>
      </c>
      <c r="H228" s="153" t="s">
        <v>517</v>
      </c>
      <c r="I228" s="153" t="s">
        <v>518</v>
      </c>
      <c r="J228" s="153" t="s">
        <v>519</v>
      </c>
      <c r="K228" s="153" t="s">
        <v>520</v>
      </c>
      <c r="L228" s="153" t="s">
        <v>382</v>
      </c>
      <c r="M228" s="153" t="s">
        <v>521</v>
      </c>
      <c r="N228" s="153" t="s">
        <v>522</v>
      </c>
      <c r="O228" s="153" t="s">
        <v>523</v>
      </c>
      <c r="P228" s="153" t="s">
        <v>524</v>
      </c>
      <c r="Q228" s="153" t="s">
        <v>525</v>
      </c>
      <c r="R228" s="153" t="s">
        <v>526</v>
      </c>
      <c r="S228" s="153" t="s">
        <v>527</v>
      </c>
      <c r="T228" s="111" t="s">
        <v>528</v>
      </c>
      <c r="U228" s="110"/>
    </row>
    <row r="229" spans="1:21" x14ac:dyDescent="0.3">
      <c r="A229" s="144">
        <f>+A222+1</f>
        <v>84</v>
      </c>
      <c r="C229" s="27" t="s">
        <v>703</v>
      </c>
      <c r="E229" s="308" t="s">
        <v>704</v>
      </c>
      <c r="F229" s="314">
        <v>252</v>
      </c>
      <c r="G229" s="102">
        <v>0</v>
      </c>
      <c r="H229" s="102">
        <v>0</v>
      </c>
      <c r="I229" s="102">
        <v>0</v>
      </c>
      <c r="J229" s="102">
        <v>0</v>
      </c>
      <c r="K229" s="102">
        <v>0</v>
      </c>
      <c r="L229" s="102">
        <v>0</v>
      </c>
      <c r="M229" s="102">
        <v>0</v>
      </c>
      <c r="N229" s="102">
        <v>0</v>
      </c>
      <c r="O229" s="102">
        <v>0</v>
      </c>
      <c r="P229" s="102">
        <v>0</v>
      </c>
      <c r="Q229" s="102">
        <v>0</v>
      </c>
      <c r="R229" s="102">
        <v>0</v>
      </c>
      <c r="S229" s="102">
        <v>0</v>
      </c>
      <c r="T229" s="308">
        <f>AVERAGE(G229:S229)</f>
        <v>0</v>
      </c>
      <c r="U229" s="128"/>
    </row>
    <row r="230" spans="1:21" x14ac:dyDescent="0.3">
      <c r="A230" s="144">
        <f>+A229+1</f>
        <v>85</v>
      </c>
      <c r="C230" s="27" t="s">
        <v>705</v>
      </c>
      <c r="E230" s="308" t="s">
        <v>706</v>
      </c>
      <c r="F230" s="314">
        <v>235</v>
      </c>
      <c r="G230" s="102">
        <v>0</v>
      </c>
      <c r="H230" s="102">
        <v>0</v>
      </c>
      <c r="I230" s="102">
        <v>0</v>
      </c>
      <c r="J230" s="102">
        <v>0</v>
      </c>
      <c r="K230" s="102">
        <v>0</v>
      </c>
      <c r="L230" s="102">
        <v>0</v>
      </c>
      <c r="M230" s="102">
        <v>0</v>
      </c>
      <c r="N230" s="102">
        <v>0</v>
      </c>
      <c r="O230" s="102">
        <v>0</v>
      </c>
      <c r="P230" s="102">
        <v>0</v>
      </c>
      <c r="Q230" s="102">
        <v>0</v>
      </c>
      <c r="R230" s="102">
        <v>0</v>
      </c>
      <c r="S230" s="102">
        <v>0</v>
      </c>
      <c r="T230" s="308">
        <f>AVERAGE(G230:S230)</f>
        <v>0</v>
      </c>
      <c r="U230" s="128"/>
    </row>
    <row r="231" spans="1:21" x14ac:dyDescent="0.3">
      <c r="A231" s="144">
        <f>+A230+1</f>
        <v>86</v>
      </c>
      <c r="C231" s="27" t="s">
        <v>69</v>
      </c>
      <c r="E231" s="308"/>
      <c r="F231" s="314"/>
      <c r="G231" s="297"/>
      <c r="H231" s="297"/>
      <c r="I231" s="297"/>
      <c r="J231" s="297"/>
      <c r="K231" s="297"/>
      <c r="L231" s="297"/>
      <c r="M231" s="297"/>
      <c r="N231" s="297"/>
      <c r="O231" s="297"/>
      <c r="P231" s="297"/>
      <c r="Q231" s="297"/>
      <c r="R231" s="297"/>
      <c r="S231" s="297"/>
      <c r="T231" s="308">
        <f>+T229+T230</f>
        <v>0</v>
      </c>
      <c r="U231" s="128"/>
    </row>
    <row r="232" spans="1:21" ht="21" thickBot="1" x14ac:dyDescent="0.35">
      <c r="A232" s="69"/>
      <c r="B232" s="557"/>
      <c r="C232" s="554"/>
      <c r="D232" s="557"/>
      <c r="E232" s="557" t="s">
        <v>707</v>
      </c>
      <c r="F232" s="557"/>
      <c r="G232" s="560"/>
      <c r="H232" s="560"/>
      <c r="I232" s="560"/>
      <c r="J232" s="560"/>
      <c r="K232" s="560"/>
      <c r="L232" s="560"/>
      <c r="M232" s="560"/>
      <c r="N232" s="560"/>
      <c r="O232" s="560"/>
      <c r="P232" s="560"/>
      <c r="Q232" s="560"/>
      <c r="R232" s="560"/>
      <c r="S232" s="560"/>
      <c r="T232" s="560"/>
      <c r="U232" s="127"/>
    </row>
    <row r="235" spans="1:21" ht="21" thickBot="1" x14ac:dyDescent="0.35">
      <c r="A235" s="198" t="s">
        <v>75</v>
      </c>
    </row>
    <row r="236" spans="1:21" ht="41.25" thickBot="1" x14ac:dyDescent="0.35">
      <c r="A236" s="134" t="s">
        <v>512</v>
      </c>
      <c r="B236" s="133" t="s">
        <v>513</v>
      </c>
      <c r="C236" s="133"/>
      <c r="D236" s="133"/>
      <c r="E236" s="132" t="s">
        <v>514</v>
      </c>
      <c r="F236" s="111" t="s">
        <v>515</v>
      </c>
      <c r="G236" s="68"/>
      <c r="H236" s="131"/>
      <c r="I236" s="131"/>
      <c r="J236" s="131"/>
      <c r="K236" s="131"/>
      <c r="L236" s="131"/>
      <c r="M236" s="131"/>
      <c r="N236" s="131"/>
      <c r="O236" s="131"/>
      <c r="P236" s="131"/>
      <c r="Q236" s="131"/>
      <c r="R236" s="111"/>
      <c r="S236" s="111"/>
      <c r="T236" s="111" t="s">
        <v>528</v>
      </c>
      <c r="U236" s="130"/>
    </row>
    <row r="237" spans="1:21" x14ac:dyDescent="0.3">
      <c r="A237" s="144">
        <f>+A231+1</f>
        <v>87</v>
      </c>
      <c r="C237" s="27" t="s">
        <v>708</v>
      </c>
      <c r="E237" s="266" t="s">
        <v>709</v>
      </c>
      <c r="F237" s="314">
        <v>242</v>
      </c>
      <c r="G237" s="304"/>
      <c r="R237" s="308"/>
      <c r="S237" s="308"/>
      <c r="T237" s="308">
        <f>+'10 - Misc. Liabilities'!W22</f>
        <v>-1130087.6974042465</v>
      </c>
      <c r="U237" s="128"/>
    </row>
    <row r="238" spans="1:21" ht="21" thickBot="1" x14ac:dyDescent="0.35">
      <c r="A238" s="103"/>
      <c r="B238" s="557"/>
      <c r="C238" s="557"/>
      <c r="D238" s="557"/>
      <c r="E238" s="557"/>
      <c r="F238" s="557"/>
      <c r="G238" s="557"/>
      <c r="H238" s="557"/>
      <c r="I238" s="557"/>
      <c r="J238" s="557"/>
      <c r="K238" s="557"/>
      <c r="L238" s="557"/>
      <c r="M238" s="557"/>
      <c r="N238" s="557"/>
      <c r="O238" s="557"/>
      <c r="P238" s="557"/>
      <c r="Q238" s="557"/>
      <c r="R238" s="557"/>
      <c r="S238" s="557"/>
      <c r="T238" s="557"/>
      <c r="U238" s="127"/>
    </row>
    <row r="240" spans="1:21" ht="21" thickBot="1" x14ac:dyDescent="0.35">
      <c r="A240" s="198" t="s">
        <v>710</v>
      </c>
      <c r="G240" s="4"/>
      <c r="H240" s="676" t="s">
        <v>711</v>
      </c>
      <c r="I240" s="676"/>
      <c r="J240" s="676"/>
      <c r="K240" s="676"/>
      <c r="L240" s="676"/>
      <c r="M240" s="676"/>
      <c r="N240" s="676"/>
      <c r="O240" s="676"/>
      <c r="P240" s="676"/>
      <c r="Q240" s="676"/>
      <c r="R240" s="676"/>
      <c r="S240" s="677"/>
    </row>
    <row r="241" spans="1:21" ht="41.25" thickBot="1" x14ac:dyDescent="0.35">
      <c r="A241" s="134" t="s">
        <v>512</v>
      </c>
      <c r="B241" s="133" t="s">
        <v>513</v>
      </c>
      <c r="C241" s="133"/>
      <c r="D241" s="133"/>
      <c r="E241" s="132" t="s">
        <v>514</v>
      </c>
      <c r="F241" s="111" t="s">
        <v>515</v>
      </c>
      <c r="G241" s="5" t="s">
        <v>516</v>
      </c>
      <c r="H241" s="153" t="s">
        <v>517</v>
      </c>
      <c r="I241" s="153" t="s">
        <v>518</v>
      </c>
      <c r="J241" s="153" t="s">
        <v>519</v>
      </c>
      <c r="K241" s="153" t="s">
        <v>520</v>
      </c>
      <c r="L241" s="153" t="s">
        <v>382</v>
      </c>
      <c r="M241" s="153" t="s">
        <v>521</v>
      </c>
      <c r="N241" s="153" t="s">
        <v>522</v>
      </c>
      <c r="O241" s="153" t="s">
        <v>523</v>
      </c>
      <c r="P241" s="153" t="s">
        <v>524</v>
      </c>
      <c r="Q241" s="153" t="s">
        <v>525</v>
      </c>
      <c r="R241" s="153" t="s">
        <v>526</v>
      </c>
      <c r="S241" s="153" t="s">
        <v>527</v>
      </c>
      <c r="T241" s="110" t="s">
        <v>528</v>
      </c>
      <c r="U241" s="84"/>
    </row>
    <row r="242" spans="1:21" x14ac:dyDescent="0.3">
      <c r="A242" s="144"/>
      <c r="B242" s="230" t="str">
        <f>+'7A - Project ROE Adder'!G8</f>
        <v>Name</v>
      </c>
      <c r="C242" s="27"/>
      <c r="F242" s="314"/>
      <c r="T242" s="65"/>
    </row>
    <row r="243" spans="1:21" x14ac:dyDescent="0.3">
      <c r="A243" s="144">
        <f>+A237+1</f>
        <v>88</v>
      </c>
      <c r="B243" s="266" t="s">
        <v>712</v>
      </c>
      <c r="C243" s="27"/>
      <c r="E243" s="27">
        <v>206</v>
      </c>
      <c r="F243" s="314"/>
      <c r="G243" s="64">
        <v>0</v>
      </c>
      <c r="H243" s="244">
        <v>0</v>
      </c>
      <c r="I243" s="244">
        <v>0</v>
      </c>
      <c r="J243" s="244">
        <v>0</v>
      </c>
      <c r="K243" s="244">
        <v>0</v>
      </c>
      <c r="L243" s="244">
        <v>0</v>
      </c>
      <c r="M243" s="244">
        <v>0</v>
      </c>
      <c r="N243" s="244">
        <v>0</v>
      </c>
      <c r="O243" s="244">
        <v>0</v>
      </c>
      <c r="P243" s="244">
        <v>0</v>
      </c>
      <c r="Q243" s="244">
        <v>0</v>
      </c>
      <c r="R243" s="244">
        <v>0</v>
      </c>
      <c r="S243" s="244">
        <v>0</v>
      </c>
      <c r="T243" s="63">
        <f>+SUM(G243:S243)/13</f>
        <v>0</v>
      </c>
    </row>
    <row r="244" spans="1:21" x14ac:dyDescent="0.3">
      <c r="A244" s="144">
        <f>+A243+1</f>
        <v>89</v>
      </c>
      <c r="B244" s="266" t="s">
        <v>33</v>
      </c>
      <c r="C244" s="27"/>
      <c r="E244" s="27">
        <v>219</v>
      </c>
      <c r="F244" s="314"/>
      <c r="G244" s="64">
        <v>0</v>
      </c>
      <c r="H244" s="244">
        <v>0</v>
      </c>
      <c r="I244" s="244">
        <v>0</v>
      </c>
      <c r="J244" s="244">
        <v>0</v>
      </c>
      <c r="K244" s="244">
        <v>0</v>
      </c>
      <c r="L244" s="244">
        <v>0</v>
      </c>
      <c r="M244" s="244">
        <v>0</v>
      </c>
      <c r="N244" s="244">
        <v>0</v>
      </c>
      <c r="O244" s="244">
        <v>0</v>
      </c>
      <c r="P244" s="244">
        <v>0</v>
      </c>
      <c r="Q244" s="244">
        <v>0</v>
      </c>
      <c r="R244" s="244">
        <v>0</v>
      </c>
      <c r="S244" s="244">
        <v>0</v>
      </c>
      <c r="T244" s="63">
        <f t="shared" ref="T244" si="10">+SUM(G244:S244)/13</f>
        <v>0</v>
      </c>
    </row>
    <row r="245" spans="1:21" x14ac:dyDescent="0.3">
      <c r="A245" s="144">
        <f>+A244+1</f>
        <v>90</v>
      </c>
      <c r="B245" s="266" t="s">
        <v>43</v>
      </c>
      <c r="C245" s="27"/>
      <c r="E245" s="27">
        <v>274</v>
      </c>
      <c r="F245" s="314"/>
      <c r="G245" s="64">
        <v>0</v>
      </c>
      <c r="H245" s="308"/>
      <c r="I245" s="308"/>
      <c r="J245" s="308"/>
      <c r="K245" s="308"/>
      <c r="L245" s="308"/>
      <c r="M245" s="308"/>
      <c r="N245" s="308"/>
      <c r="O245" s="308"/>
      <c r="P245" s="308"/>
      <c r="Q245" s="308"/>
      <c r="R245" s="308"/>
      <c r="S245" s="244">
        <v>0</v>
      </c>
      <c r="T245" s="63">
        <f>+(G245+S245)/2</f>
        <v>0</v>
      </c>
    </row>
    <row r="246" spans="1:21" x14ac:dyDescent="0.3">
      <c r="A246" s="144"/>
      <c r="C246" s="27"/>
      <c r="E246" s="27"/>
      <c r="F246" s="314"/>
      <c r="G246" s="312"/>
      <c r="H246" s="308"/>
      <c r="I246" s="308"/>
      <c r="J246" s="308"/>
      <c r="K246" s="308"/>
      <c r="L246" s="308"/>
      <c r="M246" s="308"/>
      <c r="N246" s="308"/>
      <c r="O246" s="308"/>
      <c r="P246" s="308"/>
      <c r="Q246" s="308"/>
      <c r="R246" s="308"/>
      <c r="S246" s="308"/>
      <c r="T246" s="63"/>
    </row>
    <row r="247" spans="1:21" x14ac:dyDescent="0.3">
      <c r="A247" s="144"/>
      <c r="B247" s="230" t="str">
        <f>+'7A - Project ROE Adder'!I8</f>
        <v>Name</v>
      </c>
      <c r="C247" s="27"/>
      <c r="E247" s="27"/>
      <c r="F247" s="314"/>
      <c r="G247" s="308"/>
      <c r="H247" s="308"/>
      <c r="I247" s="308"/>
      <c r="J247" s="308"/>
      <c r="K247" s="308"/>
      <c r="L247" s="308"/>
      <c r="M247" s="308"/>
      <c r="N247" s="308"/>
      <c r="O247" s="308"/>
      <c r="P247" s="308"/>
      <c r="Q247" s="308"/>
      <c r="R247" s="308"/>
      <c r="S247" s="308"/>
      <c r="T247" s="63"/>
    </row>
    <row r="248" spans="1:21" x14ac:dyDescent="0.3">
      <c r="A248" s="144">
        <f>+A245+1</f>
        <v>91</v>
      </c>
      <c r="B248" s="266" t="s">
        <v>712</v>
      </c>
      <c r="C248" s="27"/>
      <c r="E248" s="27">
        <v>206</v>
      </c>
      <c r="F248" s="314"/>
      <c r="G248" s="64">
        <v>0</v>
      </c>
      <c r="H248" s="244">
        <v>0</v>
      </c>
      <c r="I248" s="244">
        <v>0</v>
      </c>
      <c r="J248" s="244">
        <v>0</v>
      </c>
      <c r="K248" s="244">
        <v>0</v>
      </c>
      <c r="L248" s="244">
        <v>0</v>
      </c>
      <c r="M248" s="244">
        <v>0</v>
      </c>
      <c r="N248" s="244">
        <v>0</v>
      </c>
      <c r="O248" s="244">
        <v>0</v>
      </c>
      <c r="P248" s="244">
        <v>0</v>
      </c>
      <c r="Q248" s="244">
        <v>0</v>
      </c>
      <c r="R248" s="244">
        <v>0</v>
      </c>
      <c r="S248" s="244">
        <v>0</v>
      </c>
      <c r="T248" s="63">
        <f>+SUM(G248:S248)/13</f>
        <v>0</v>
      </c>
    </row>
    <row r="249" spans="1:21" x14ac:dyDescent="0.3">
      <c r="A249" s="144">
        <f>+A248+1</f>
        <v>92</v>
      </c>
      <c r="B249" s="266" t="s">
        <v>33</v>
      </c>
      <c r="C249" s="27"/>
      <c r="E249" s="27">
        <v>219</v>
      </c>
      <c r="F249" s="314"/>
      <c r="G249" s="64">
        <v>0</v>
      </c>
      <c r="H249" s="244">
        <v>0</v>
      </c>
      <c r="I249" s="244">
        <v>0</v>
      </c>
      <c r="J249" s="244">
        <v>0</v>
      </c>
      <c r="K249" s="244">
        <v>0</v>
      </c>
      <c r="L249" s="244">
        <v>0</v>
      </c>
      <c r="M249" s="244">
        <v>0</v>
      </c>
      <c r="N249" s="244">
        <v>0</v>
      </c>
      <c r="O249" s="244">
        <v>0</v>
      </c>
      <c r="P249" s="244">
        <v>0</v>
      </c>
      <c r="Q249" s="244">
        <v>0</v>
      </c>
      <c r="R249" s="244">
        <v>0</v>
      </c>
      <c r="S249" s="244">
        <v>0</v>
      </c>
      <c r="T249" s="63">
        <f t="shared" ref="T249" si="11">+SUM(G249:S249)/13</f>
        <v>0</v>
      </c>
    </row>
    <row r="250" spans="1:21" x14ac:dyDescent="0.3">
      <c r="A250" s="144">
        <f>+A249+1</f>
        <v>93</v>
      </c>
      <c r="B250" s="266" t="s">
        <v>43</v>
      </c>
      <c r="C250" s="27"/>
      <c r="E250" s="27">
        <v>274</v>
      </c>
      <c r="F250" s="314"/>
      <c r="G250" s="64">
        <v>0</v>
      </c>
      <c r="H250" s="308"/>
      <c r="I250" s="308"/>
      <c r="J250" s="308"/>
      <c r="K250" s="308"/>
      <c r="L250" s="308"/>
      <c r="M250" s="308"/>
      <c r="N250" s="308"/>
      <c r="O250" s="308"/>
      <c r="P250" s="308"/>
      <c r="Q250" s="308"/>
      <c r="R250" s="308"/>
      <c r="S250" s="244">
        <v>0</v>
      </c>
      <c r="T250" s="63">
        <f>+(G250+S250)/2</f>
        <v>0</v>
      </c>
    </row>
    <row r="251" spans="1:21" x14ac:dyDescent="0.3">
      <c r="E251" s="27"/>
      <c r="G251" s="308"/>
      <c r="H251" s="308"/>
      <c r="I251" s="308"/>
      <c r="J251" s="308"/>
      <c r="K251" s="308"/>
      <c r="L251" s="308"/>
      <c r="M251" s="308"/>
      <c r="N251" s="308"/>
      <c r="O251" s="308"/>
      <c r="P251" s="308"/>
      <c r="Q251" s="308"/>
      <c r="R251" s="308"/>
      <c r="S251" s="308"/>
      <c r="T251" s="63"/>
    </row>
    <row r="252" spans="1:21" x14ac:dyDescent="0.3">
      <c r="A252" s="144"/>
      <c r="B252" s="230" t="str">
        <f>+'7A - Project ROE Adder'!K8</f>
        <v>Name</v>
      </c>
      <c r="C252" s="27"/>
      <c r="E252" s="27"/>
      <c r="F252" s="314"/>
      <c r="G252" s="308"/>
      <c r="H252" s="308"/>
      <c r="I252" s="308"/>
      <c r="J252" s="308"/>
      <c r="K252" s="308"/>
      <c r="L252" s="308"/>
      <c r="M252" s="308"/>
      <c r="N252" s="308"/>
      <c r="O252" s="308"/>
      <c r="P252" s="308"/>
      <c r="Q252" s="308"/>
      <c r="R252" s="308"/>
      <c r="S252" s="308"/>
      <c r="T252" s="63"/>
    </row>
    <row r="253" spans="1:21" x14ac:dyDescent="0.3">
      <c r="A253" s="144">
        <f>+A250+1</f>
        <v>94</v>
      </c>
      <c r="B253" s="266" t="s">
        <v>712</v>
      </c>
      <c r="C253" s="27"/>
      <c r="E253" s="27">
        <v>206</v>
      </c>
      <c r="F253" s="314"/>
      <c r="G253" s="64">
        <v>0</v>
      </c>
      <c r="H253" s="244">
        <v>0</v>
      </c>
      <c r="I253" s="244">
        <v>0</v>
      </c>
      <c r="J253" s="244">
        <v>0</v>
      </c>
      <c r="K253" s="244">
        <v>0</v>
      </c>
      <c r="L253" s="244">
        <v>0</v>
      </c>
      <c r="M253" s="244">
        <v>0</v>
      </c>
      <c r="N253" s="244">
        <v>0</v>
      </c>
      <c r="O253" s="244">
        <v>0</v>
      </c>
      <c r="P253" s="244">
        <v>0</v>
      </c>
      <c r="Q253" s="244">
        <v>0</v>
      </c>
      <c r="R253" s="244">
        <v>0</v>
      </c>
      <c r="S253" s="244">
        <v>0</v>
      </c>
      <c r="T253" s="63">
        <f>+SUM(G253:S253)/13</f>
        <v>0</v>
      </c>
    </row>
    <row r="254" spans="1:21" x14ac:dyDescent="0.3">
      <c r="A254" s="144">
        <f>+A253+1</f>
        <v>95</v>
      </c>
      <c r="B254" s="266" t="s">
        <v>33</v>
      </c>
      <c r="C254" s="27"/>
      <c r="E254" s="27">
        <v>219</v>
      </c>
      <c r="F254" s="314"/>
      <c r="G254" s="64">
        <v>0</v>
      </c>
      <c r="H254" s="244">
        <v>0</v>
      </c>
      <c r="I254" s="244">
        <v>0</v>
      </c>
      <c r="J254" s="244">
        <v>0</v>
      </c>
      <c r="K254" s="244">
        <v>0</v>
      </c>
      <c r="L254" s="244">
        <v>0</v>
      </c>
      <c r="M254" s="244">
        <v>0</v>
      </c>
      <c r="N254" s="244">
        <v>0</v>
      </c>
      <c r="O254" s="244">
        <v>0</v>
      </c>
      <c r="P254" s="244">
        <v>0</v>
      </c>
      <c r="Q254" s="244">
        <v>0</v>
      </c>
      <c r="R254" s="244">
        <v>0</v>
      </c>
      <c r="S254" s="244">
        <v>0</v>
      </c>
      <c r="T254" s="63">
        <f t="shared" ref="T254" si="12">+SUM(G254:S254)/13</f>
        <v>0</v>
      </c>
    </row>
    <row r="255" spans="1:21" x14ac:dyDescent="0.3">
      <c r="A255" s="144">
        <f>+A254+1</f>
        <v>96</v>
      </c>
      <c r="B255" s="266" t="s">
        <v>43</v>
      </c>
      <c r="C255" s="27"/>
      <c r="E255" s="27">
        <v>274</v>
      </c>
      <c r="F255" s="314"/>
      <c r="G255" s="64">
        <v>0</v>
      </c>
      <c r="H255" s="308"/>
      <c r="I255" s="308"/>
      <c r="J255" s="308"/>
      <c r="K255" s="308"/>
      <c r="L255" s="308"/>
      <c r="M255" s="308"/>
      <c r="N255" s="308"/>
      <c r="O255" s="308"/>
      <c r="P255" s="308"/>
      <c r="Q255" s="308"/>
      <c r="R255" s="308"/>
      <c r="S255" s="244">
        <v>0</v>
      </c>
      <c r="T255" s="63">
        <f>+(G255+S255)/2</f>
        <v>0</v>
      </c>
    </row>
    <row r="256" spans="1:21" x14ac:dyDescent="0.3">
      <c r="E256" s="27"/>
      <c r="G256" s="308"/>
      <c r="H256" s="308"/>
      <c r="I256" s="308"/>
      <c r="J256" s="308"/>
      <c r="K256" s="308"/>
      <c r="L256" s="308"/>
      <c r="M256" s="308"/>
      <c r="N256" s="308"/>
      <c r="O256" s="308"/>
      <c r="P256" s="308"/>
      <c r="Q256" s="308"/>
      <c r="R256" s="308"/>
      <c r="S256" s="308"/>
      <c r="T256" s="63"/>
    </row>
    <row r="257" spans="1:20" x14ac:dyDescent="0.3">
      <c r="A257" s="144"/>
      <c r="B257" s="230" t="str">
        <f>+'7A - Project ROE Adder'!M8</f>
        <v>Name</v>
      </c>
      <c r="C257" s="27"/>
      <c r="E257" s="27"/>
      <c r="F257" s="314"/>
      <c r="G257" s="308"/>
      <c r="H257" s="308"/>
      <c r="I257" s="308"/>
      <c r="J257" s="308"/>
      <c r="K257" s="308"/>
      <c r="L257" s="308"/>
      <c r="M257" s="308"/>
      <c r="N257" s="308"/>
      <c r="O257" s="308"/>
      <c r="P257" s="308"/>
      <c r="Q257" s="308"/>
      <c r="R257" s="308"/>
      <c r="S257" s="308"/>
      <c r="T257" s="63"/>
    </row>
    <row r="258" spans="1:20" x14ac:dyDescent="0.3">
      <c r="A258" s="144">
        <f>+A255+1</f>
        <v>97</v>
      </c>
      <c r="B258" s="266" t="s">
        <v>712</v>
      </c>
      <c r="C258" s="27"/>
      <c r="E258" s="27">
        <v>206</v>
      </c>
      <c r="F258" s="314"/>
      <c r="G258" s="64">
        <v>0</v>
      </c>
      <c r="H258" s="244">
        <v>0</v>
      </c>
      <c r="I258" s="244">
        <v>0</v>
      </c>
      <c r="J258" s="244">
        <v>0</v>
      </c>
      <c r="K258" s="244">
        <v>0</v>
      </c>
      <c r="L258" s="244">
        <v>0</v>
      </c>
      <c r="M258" s="244">
        <v>0</v>
      </c>
      <c r="N258" s="244">
        <v>0</v>
      </c>
      <c r="O258" s="244">
        <v>0</v>
      </c>
      <c r="P258" s="244">
        <v>0</v>
      </c>
      <c r="Q258" s="244">
        <v>0</v>
      </c>
      <c r="R258" s="244">
        <v>0</v>
      </c>
      <c r="S258" s="244">
        <v>0</v>
      </c>
      <c r="T258" s="63">
        <f>+SUM(G258:S258)/13</f>
        <v>0</v>
      </c>
    </row>
    <row r="259" spans="1:20" x14ac:dyDescent="0.3">
      <c r="A259" s="144">
        <f>+A258+1</f>
        <v>98</v>
      </c>
      <c r="B259" s="266" t="s">
        <v>33</v>
      </c>
      <c r="C259" s="27"/>
      <c r="E259" s="27">
        <v>219</v>
      </c>
      <c r="F259" s="314"/>
      <c r="G259" s="64">
        <v>0</v>
      </c>
      <c r="H259" s="244">
        <v>0</v>
      </c>
      <c r="I259" s="244">
        <v>0</v>
      </c>
      <c r="J259" s="244">
        <v>0</v>
      </c>
      <c r="K259" s="244">
        <v>0</v>
      </c>
      <c r="L259" s="244">
        <v>0</v>
      </c>
      <c r="M259" s="244">
        <v>0</v>
      </c>
      <c r="N259" s="244">
        <v>0</v>
      </c>
      <c r="O259" s="244">
        <v>0</v>
      </c>
      <c r="P259" s="244">
        <v>0</v>
      </c>
      <c r="Q259" s="244">
        <v>0</v>
      </c>
      <c r="R259" s="244">
        <v>0</v>
      </c>
      <c r="S259" s="244">
        <v>0</v>
      </c>
      <c r="T259" s="63">
        <f t="shared" ref="T259" si="13">+SUM(G259:S259)/13</f>
        <v>0</v>
      </c>
    </row>
    <row r="260" spans="1:20" x14ac:dyDescent="0.3">
      <c r="A260" s="144">
        <f>+A259+1</f>
        <v>99</v>
      </c>
      <c r="B260" s="266" t="s">
        <v>43</v>
      </c>
      <c r="C260" s="27"/>
      <c r="E260" s="27">
        <v>274</v>
      </c>
      <c r="F260" s="314"/>
      <c r="G260" s="64">
        <v>0</v>
      </c>
      <c r="H260" s="308"/>
      <c r="I260" s="308"/>
      <c r="J260" s="308"/>
      <c r="K260" s="308"/>
      <c r="L260" s="308"/>
      <c r="M260" s="308"/>
      <c r="N260" s="308"/>
      <c r="O260" s="308"/>
      <c r="P260" s="308"/>
      <c r="Q260" s="308"/>
      <c r="R260" s="308"/>
      <c r="S260" s="244">
        <v>0</v>
      </c>
      <c r="T260" s="63">
        <f>+(G260+S260)/2</f>
        <v>0</v>
      </c>
    </row>
    <row r="261" spans="1:20" x14ac:dyDescent="0.3">
      <c r="E261" s="27"/>
      <c r="G261" s="308"/>
      <c r="H261" s="308"/>
      <c r="I261" s="308"/>
      <c r="J261" s="308"/>
      <c r="K261" s="308"/>
      <c r="L261" s="308"/>
      <c r="M261" s="308"/>
      <c r="N261" s="308"/>
      <c r="O261" s="308"/>
      <c r="P261" s="308"/>
      <c r="Q261" s="308"/>
      <c r="R261" s="308"/>
      <c r="S261" s="308"/>
      <c r="T261" s="63"/>
    </row>
    <row r="262" spans="1:20" x14ac:dyDescent="0.3">
      <c r="A262" s="144"/>
      <c r="B262" s="230" t="str">
        <f>+'7A - Project ROE Adder'!O8</f>
        <v>Name</v>
      </c>
      <c r="C262" s="27"/>
      <c r="E262" s="27"/>
      <c r="F262" s="314"/>
      <c r="G262" s="308"/>
      <c r="H262" s="308"/>
      <c r="I262" s="308"/>
      <c r="J262" s="308"/>
      <c r="K262" s="308"/>
      <c r="L262" s="308"/>
      <c r="M262" s="308"/>
      <c r="N262" s="308"/>
      <c r="O262" s="308"/>
      <c r="P262" s="308"/>
      <c r="Q262" s="308"/>
      <c r="R262" s="308"/>
      <c r="S262" s="308"/>
      <c r="T262" s="63"/>
    </row>
    <row r="263" spans="1:20" x14ac:dyDescent="0.3">
      <c r="A263" s="144">
        <f>+A260+1</f>
        <v>100</v>
      </c>
      <c r="B263" s="266" t="s">
        <v>712</v>
      </c>
      <c r="C263" s="27"/>
      <c r="E263" s="27">
        <v>206</v>
      </c>
      <c r="F263" s="314"/>
      <c r="G263" s="64">
        <v>0</v>
      </c>
      <c r="H263" s="244">
        <v>0</v>
      </c>
      <c r="I263" s="244">
        <v>0</v>
      </c>
      <c r="J263" s="244">
        <v>0</v>
      </c>
      <c r="K263" s="244">
        <v>0</v>
      </c>
      <c r="L263" s="244">
        <v>0</v>
      </c>
      <c r="M263" s="244">
        <v>0</v>
      </c>
      <c r="N263" s="244">
        <v>0</v>
      </c>
      <c r="O263" s="244">
        <v>0</v>
      </c>
      <c r="P263" s="244">
        <v>0</v>
      </c>
      <c r="Q263" s="244">
        <v>0</v>
      </c>
      <c r="R263" s="244">
        <v>0</v>
      </c>
      <c r="S263" s="244">
        <v>0</v>
      </c>
      <c r="T263" s="63">
        <f>+SUM(G263:S263)/13</f>
        <v>0</v>
      </c>
    </row>
    <row r="264" spans="1:20" x14ac:dyDescent="0.3">
      <c r="A264" s="144">
        <f>+A263+1</f>
        <v>101</v>
      </c>
      <c r="B264" s="266" t="s">
        <v>33</v>
      </c>
      <c r="C264" s="27"/>
      <c r="E264" s="27">
        <v>219</v>
      </c>
      <c r="F264" s="314"/>
      <c r="G264" s="64">
        <v>0</v>
      </c>
      <c r="H264" s="244">
        <v>0</v>
      </c>
      <c r="I264" s="244">
        <v>0</v>
      </c>
      <c r="J264" s="244">
        <v>0</v>
      </c>
      <c r="K264" s="244">
        <v>0</v>
      </c>
      <c r="L264" s="244">
        <v>0</v>
      </c>
      <c r="M264" s="244">
        <v>0</v>
      </c>
      <c r="N264" s="244">
        <v>0</v>
      </c>
      <c r="O264" s="244">
        <v>0</v>
      </c>
      <c r="P264" s="244">
        <v>0</v>
      </c>
      <c r="Q264" s="244">
        <v>0</v>
      </c>
      <c r="R264" s="244">
        <v>0</v>
      </c>
      <c r="S264" s="244">
        <v>0</v>
      </c>
      <c r="T264" s="63">
        <f t="shared" ref="T264" si="14">+SUM(G264:S264)/13</f>
        <v>0</v>
      </c>
    </row>
    <row r="265" spans="1:20" x14ac:dyDescent="0.3">
      <c r="A265" s="144">
        <f>+A264+1</f>
        <v>102</v>
      </c>
      <c r="B265" s="266" t="s">
        <v>43</v>
      </c>
      <c r="C265" s="27"/>
      <c r="E265" s="27">
        <v>274</v>
      </c>
      <c r="F265" s="314"/>
      <c r="G265" s="64">
        <v>0</v>
      </c>
      <c r="H265" s="308"/>
      <c r="I265" s="308"/>
      <c r="J265" s="308"/>
      <c r="K265" s="308"/>
      <c r="L265" s="308"/>
      <c r="M265" s="308"/>
      <c r="N265" s="308"/>
      <c r="O265" s="308"/>
      <c r="P265" s="308"/>
      <c r="Q265" s="308"/>
      <c r="R265" s="308"/>
      <c r="S265" s="244">
        <v>0</v>
      </c>
      <c r="T265" s="63">
        <f>+(G265+S265)/2</f>
        <v>0</v>
      </c>
    </row>
    <row r="266" spans="1:20" x14ac:dyDescent="0.3">
      <c r="E266" s="27"/>
      <c r="G266" s="308"/>
      <c r="H266" s="308"/>
      <c r="I266" s="308"/>
      <c r="J266" s="308"/>
      <c r="K266" s="308"/>
      <c r="L266" s="308"/>
      <c r="M266" s="308"/>
      <c r="N266" s="308"/>
      <c r="O266" s="308"/>
      <c r="P266" s="308"/>
      <c r="Q266" s="308"/>
      <c r="R266" s="308"/>
      <c r="S266" s="308"/>
      <c r="T266" s="63"/>
    </row>
    <row r="267" spans="1:20" x14ac:dyDescent="0.3">
      <c r="A267" s="144"/>
      <c r="B267" s="230" t="str">
        <f>+'7A - Project ROE Adder'!Q8</f>
        <v>Name</v>
      </c>
      <c r="C267" s="27"/>
      <c r="E267" s="27"/>
      <c r="F267" s="314"/>
      <c r="G267" s="308"/>
      <c r="H267" s="308"/>
      <c r="I267" s="308"/>
      <c r="J267" s="308"/>
      <c r="K267" s="308"/>
      <c r="L267" s="308"/>
      <c r="M267" s="308"/>
      <c r="N267" s="308"/>
      <c r="O267" s="308"/>
      <c r="P267" s="308"/>
      <c r="Q267" s="308"/>
      <c r="R267" s="308"/>
      <c r="S267" s="308"/>
      <c r="T267" s="63"/>
    </row>
    <row r="268" spans="1:20" x14ac:dyDescent="0.3">
      <c r="A268" s="144">
        <f>+A265+1</f>
        <v>103</v>
      </c>
      <c r="B268" s="266" t="s">
        <v>712</v>
      </c>
      <c r="C268" s="27"/>
      <c r="E268" s="27">
        <v>206</v>
      </c>
      <c r="F268" s="314"/>
      <c r="G268" s="64">
        <v>0</v>
      </c>
      <c r="H268" s="244">
        <v>0</v>
      </c>
      <c r="I268" s="244">
        <v>0</v>
      </c>
      <c r="J268" s="244">
        <v>0</v>
      </c>
      <c r="K268" s="244">
        <v>0</v>
      </c>
      <c r="L268" s="244">
        <v>0</v>
      </c>
      <c r="M268" s="244">
        <v>0</v>
      </c>
      <c r="N268" s="244">
        <v>0</v>
      </c>
      <c r="O268" s="244">
        <v>0</v>
      </c>
      <c r="P268" s="244">
        <v>0</v>
      </c>
      <c r="Q268" s="244">
        <v>0</v>
      </c>
      <c r="R268" s="244">
        <v>0</v>
      </c>
      <c r="S268" s="244">
        <v>0</v>
      </c>
      <c r="T268" s="63">
        <f>+SUM(G268:S268)/13</f>
        <v>0</v>
      </c>
    </row>
    <row r="269" spans="1:20" x14ac:dyDescent="0.3">
      <c r="A269" s="144">
        <f>+A268+1</f>
        <v>104</v>
      </c>
      <c r="B269" s="266" t="s">
        <v>33</v>
      </c>
      <c r="C269" s="27"/>
      <c r="E269" s="27">
        <v>219</v>
      </c>
      <c r="F269" s="314"/>
      <c r="G269" s="64">
        <v>0</v>
      </c>
      <c r="H269" s="244">
        <v>0</v>
      </c>
      <c r="I269" s="244">
        <v>0</v>
      </c>
      <c r="J269" s="244">
        <v>0</v>
      </c>
      <c r="K269" s="244">
        <v>0</v>
      </c>
      <c r="L269" s="244">
        <v>0</v>
      </c>
      <c r="M269" s="244">
        <v>0</v>
      </c>
      <c r="N269" s="244">
        <v>0</v>
      </c>
      <c r="O269" s="244">
        <v>0</v>
      </c>
      <c r="P269" s="244">
        <v>0</v>
      </c>
      <c r="Q269" s="244">
        <v>0</v>
      </c>
      <c r="R269" s="244">
        <v>0</v>
      </c>
      <c r="S269" s="244">
        <v>0</v>
      </c>
      <c r="T269" s="63">
        <f t="shared" ref="T269" si="15">+SUM(G269:S269)/13</f>
        <v>0</v>
      </c>
    </row>
    <row r="270" spans="1:20" x14ac:dyDescent="0.3">
      <c r="A270" s="144">
        <f>+A269+1</f>
        <v>105</v>
      </c>
      <c r="B270" s="266" t="s">
        <v>43</v>
      </c>
      <c r="C270" s="27"/>
      <c r="E270" s="27">
        <v>274</v>
      </c>
      <c r="F270" s="314"/>
      <c r="G270" s="64">
        <v>0</v>
      </c>
      <c r="H270" s="308"/>
      <c r="I270" s="308"/>
      <c r="J270" s="308"/>
      <c r="K270" s="308"/>
      <c r="L270" s="308"/>
      <c r="M270" s="308"/>
      <c r="N270" s="308"/>
      <c r="O270" s="308"/>
      <c r="P270" s="308"/>
      <c r="Q270" s="308"/>
      <c r="R270" s="308"/>
      <c r="S270" s="244">
        <v>0</v>
      </c>
      <c r="T270" s="63">
        <f>+(G270+S270)/2</f>
        <v>0</v>
      </c>
    </row>
    <row r="271" spans="1:20" x14ac:dyDescent="0.3">
      <c r="E271" s="27"/>
      <c r="G271" s="308"/>
      <c r="H271" s="308"/>
      <c r="I271" s="308"/>
      <c r="J271" s="308"/>
      <c r="K271" s="308"/>
      <c r="L271" s="308"/>
      <c r="M271" s="308"/>
      <c r="N271" s="308"/>
      <c r="O271" s="308"/>
      <c r="P271" s="308"/>
      <c r="Q271" s="308"/>
      <c r="R271" s="308"/>
      <c r="S271" s="308"/>
      <c r="T271" s="63"/>
    </row>
    <row r="272" spans="1:20" x14ac:dyDescent="0.3">
      <c r="A272" s="144"/>
      <c r="B272" s="230" t="str">
        <f>+'7A - Project ROE Adder'!S8</f>
        <v>Name</v>
      </c>
      <c r="C272" s="27"/>
      <c r="E272" s="27"/>
      <c r="F272" s="314"/>
      <c r="G272" s="308"/>
      <c r="H272" s="308"/>
      <c r="I272" s="308"/>
      <c r="J272" s="308"/>
      <c r="K272" s="308"/>
      <c r="L272" s="308"/>
      <c r="M272" s="308"/>
      <c r="N272" s="308"/>
      <c r="O272" s="308"/>
      <c r="P272" s="308"/>
      <c r="Q272" s="308"/>
      <c r="R272" s="308"/>
      <c r="S272" s="308"/>
      <c r="T272" s="63"/>
    </row>
    <row r="273" spans="1:20" x14ac:dyDescent="0.3">
      <c r="A273" s="144">
        <f>+A270+1</f>
        <v>106</v>
      </c>
      <c r="B273" s="266" t="s">
        <v>712</v>
      </c>
      <c r="C273" s="27"/>
      <c r="E273" s="27">
        <v>206</v>
      </c>
      <c r="F273" s="314"/>
      <c r="G273" s="64">
        <v>0</v>
      </c>
      <c r="H273" s="244">
        <v>0</v>
      </c>
      <c r="I273" s="244">
        <v>0</v>
      </c>
      <c r="J273" s="244">
        <v>0</v>
      </c>
      <c r="K273" s="244">
        <v>0</v>
      </c>
      <c r="L273" s="244">
        <v>0</v>
      </c>
      <c r="M273" s="244">
        <v>0</v>
      </c>
      <c r="N273" s="244">
        <v>0</v>
      </c>
      <c r="O273" s="244">
        <v>0</v>
      </c>
      <c r="P273" s="244">
        <v>0</v>
      </c>
      <c r="Q273" s="244">
        <v>0</v>
      </c>
      <c r="R273" s="244">
        <v>0</v>
      </c>
      <c r="S273" s="244">
        <v>0</v>
      </c>
      <c r="T273" s="63">
        <f>+SUM(G273:S273)/13</f>
        <v>0</v>
      </c>
    </row>
    <row r="274" spans="1:20" x14ac:dyDescent="0.3">
      <c r="A274" s="144">
        <f>+A273+1</f>
        <v>107</v>
      </c>
      <c r="B274" s="266" t="s">
        <v>33</v>
      </c>
      <c r="C274" s="27"/>
      <c r="E274" s="27">
        <v>219</v>
      </c>
      <c r="F274" s="314"/>
      <c r="G274" s="64">
        <v>0</v>
      </c>
      <c r="H274" s="244">
        <v>0</v>
      </c>
      <c r="I274" s="244">
        <v>0</v>
      </c>
      <c r="J274" s="244">
        <v>0</v>
      </c>
      <c r="K274" s="244">
        <v>0</v>
      </c>
      <c r="L274" s="244">
        <v>0</v>
      </c>
      <c r="M274" s="244">
        <v>0</v>
      </c>
      <c r="N274" s="244">
        <v>0</v>
      </c>
      <c r="O274" s="244">
        <v>0</v>
      </c>
      <c r="P274" s="244">
        <v>0</v>
      </c>
      <c r="Q274" s="244">
        <v>0</v>
      </c>
      <c r="R274" s="244">
        <v>0</v>
      </c>
      <c r="S274" s="244">
        <v>0</v>
      </c>
      <c r="T274" s="63">
        <f t="shared" ref="T274" si="16">+SUM(G274:S274)/13</f>
        <v>0</v>
      </c>
    </row>
    <row r="275" spans="1:20" x14ac:dyDescent="0.3">
      <c r="A275" s="144">
        <f>+A274+1</f>
        <v>108</v>
      </c>
      <c r="B275" s="266" t="s">
        <v>43</v>
      </c>
      <c r="C275" s="27"/>
      <c r="E275" s="27">
        <v>274</v>
      </c>
      <c r="F275" s="314"/>
      <c r="G275" s="64">
        <v>0</v>
      </c>
      <c r="H275" s="308"/>
      <c r="I275" s="308"/>
      <c r="J275" s="308"/>
      <c r="K275" s="308"/>
      <c r="L275" s="308"/>
      <c r="M275" s="308"/>
      <c r="N275" s="308"/>
      <c r="O275" s="308"/>
      <c r="P275" s="308"/>
      <c r="Q275" s="308"/>
      <c r="R275" s="308"/>
      <c r="S275" s="244">
        <v>0</v>
      </c>
      <c r="T275" s="63">
        <f>+(G275+S275)/2</f>
        <v>0</v>
      </c>
    </row>
    <row r="276" spans="1:20" x14ac:dyDescent="0.3">
      <c r="E276" s="27"/>
      <c r="G276" s="308"/>
      <c r="H276" s="308"/>
      <c r="I276" s="308"/>
      <c r="J276" s="308"/>
      <c r="K276" s="308"/>
      <c r="L276" s="308"/>
      <c r="M276" s="308"/>
      <c r="N276" s="308"/>
      <c r="O276" s="308"/>
      <c r="P276" s="308"/>
      <c r="Q276" s="308"/>
      <c r="R276" s="308"/>
      <c r="S276" s="308"/>
      <c r="T276" s="63"/>
    </row>
    <row r="277" spans="1:20" x14ac:dyDescent="0.3">
      <c r="A277" s="144"/>
      <c r="B277" s="230" t="str">
        <f>+'7A - Project ROE Adder'!U8</f>
        <v>Name</v>
      </c>
      <c r="C277" s="27"/>
      <c r="E277" s="27"/>
      <c r="F277" s="314"/>
      <c r="G277" s="308"/>
      <c r="H277" s="308"/>
      <c r="I277" s="308"/>
      <c r="J277" s="308"/>
      <c r="K277" s="308"/>
      <c r="L277" s="308"/>
      <c r="M277" s="308"/>
      <c r="N277" s="308"/>
      <c r="O277" s="308"/>
      <c r="P277" s="308"/>
      <c r="Q277" s="308"/>
      <c r="R277" s="308"/>
      <c r="S277" s="308"/>
      <c r="T277" s="63"/>
    </row>
    <row r="278" spans="1:20" x14ac:dyDescent="0.3">
      <c r="A278" s="144">
        <f>+A275+1</f>
        <v>109</v>
      </c>
      <c r="B278" s="266" t="s">
        <v>712</v>
      </c>
      <c r="C278" s="27"/>
      <c r="E278" s="27">
        <v>206</v>
      </c>
      <c r="F278" s="314"/>
      <c r="G278" s="64">
        <v>0</v>
      </c>
      <c r="H278" s="244">
        <v>0</v>
      </c>
      <c r="I278" s="244">
        <v>0</v>
      </c>
      <c r="J278" s="244">
        <v>0</v>
      </c>
      <c r="K278" s="244">
        <v>0</v>
      </c>
      <c r="L278" s="244">
        <v>0</v>
      </c>
      <c r="M278" s="244">
        <v>0</v>
      </c>
      <c r="N278" s="244">
        <v>0</v>
      </c>
      <c r="O278" s="244">
        <v>0</v>
      </c>
      <c r="P278" s="244">
        <v>0</v>
      </c>
      <c r="Q278" s="244">
        <v>0</v>
      </c>
      <c r="R278" s="244">
        <v>0</v>
      </c>
      <c r="S278" s="244">
        <v>0</v>
      </c>
      <c r="T278" s="63">
        <f>+SUM(G278:S278)/13</f>
        <v>0</v>
      </c>
    </row>
    <row r="279" spans="1:20" x14ac:dyDescent="0.3">
      <c r="A279" s="144">
        <f>+A278+1</f>
        <v>110</v>
      </c>
      <c r="B279" s="266" t="s">
        <v>33</v>
      </c>
      <c r="C279" s="27"/>
      <c r="E279" s="27">
        <v>219</v>
      </c>
      <c r="F279" s="314"/>
      <c r="G279" s="64">
        <v>0</v>
      </c>
      <c r="H279" s="244">
        <v>0</v>
      </c>
      <c r="I279" s="244">
        <v>0</v>
      </c>
      <c r="J279" s="244">
        <v>0</v>
      </c>
      <c r="K279" s="244">
        <v>0</v>
      </c>
      <c r="L279" s="244">
        <v>0</v>
      </c>
      <c r="M279" s="244">
        <v>0</v>
      </c>
      <c r="N279" s="244">
        <v>0</v>
      </c>
      <c r="O279" s="244">
        <v>0</v>
      </c>
      <c r="P279" s="244">
        <v>0</v>
      </c>
      <c r="Q279" s="244">
        <v>0</v>
      </c>
      <c r="R279" s="244">
        <v>0</v>
      </c>
      <c r="S279" s="244">
        <v>0</v>
      </c>
      <c r="T279" s="63">
        <f t="shared" ref="T279" si="17">+SUM(G279:S279)/13</f>
        <v>0</v>
      </c>
    </row>
    <row r="280" spans="1:20" x14ac:dyDescent="0.3">
      <c r="A280" s="144">
        <f>+A279+1</f>
        <v>111</v>
      </c>
      <c r="B280" s="266" t="s">
        <v>43</v>
      </c>
      <c r="C280" s="27"/>
      <c r="E280" s="27">
        <v>274</v>
      </c>
      <c r="F280" s="314"/>
      <c r="G280" s="64">
        <v>0</v>
      </c>
      <c r="H280" s="308"/>
      <c r="I280" s="308"/>
      <c r="J280" s="308"/>
      <c r="K280" s="308"/>
      <c r="L280" s="308"/>
      <c r="M280" s="308"/>
      <c r="N280" s="308"/>
      <c r="O280" s="308"/>
      <c r="P280" s="308"/>
      <c r="Q280" s="308"/>
      <c r="R280" s="308"/>
      <c r="S280" s="244">
        <v>0</v>
      </c>
      <c r="T280" s="63">
        <f>+(G280+S280)/2</f>
        <v>0</v>
      </c>
    </row>
    <row r="281" spans="1:20" x14ac:dyDescent="0.3">
      <c r="E281" s="27"/>
      <c r="G281" s="308"/>
      <c r="H281" s="308"/>
      <c r="I281" s="308"/>
      <c r="J281" s="308"/>
      <c r="K281" s="308"/>
      <c r="L281" s="308"/>
      <c r="M281" s="308"/>
      <c r="N281" s="308"/>
      <c r="O281" s="308"/>
      <c r="P281" s="308"/>
      <c r="Q281" s="308"/>
      <c r="R281" s="308"/>
      <c r="S281" s="308"/>
      <c r="T281" s="63"/>
    </row>
    <row r="282" spans="1:20" x14ac:dyDescent="0.3">
      <c r="A282" s="144"/>
      <c r="B282" s="230" t="str">
        <f>+'7A - Project ROE Adder'!W8</f>
        <v>Name</v>
      </c>
      <c r="C282" s="27"/>
      <c r="E282" s="27"/>
      <c r="F282" s="314"/>
      <c r="G282" s="308"/>
      <c r="H282" s="308"/>
      <c r="I282" s="308"/>
      <c r="J282" s="308"/>
      <c r="K282" s="308"/>
      <c r="L282" s="308"/>
      <c r="M282" s="308"/>
      <c r="N282" s="308"/>
      <c r="O282" s="308"/>
      <c r="P282" s="308"/>
      <c r="Q282" s="308"/>
      <c r="R282" s="308"/>
      <c r="S282" s="308"/>
      <c r="T282" s="63"/>
    </row>
    <row r="283" spans="1:20" x14ac:dyDescent="0.3">
      <c r="A283" s="144">
        <f>+A280+1</f>
        <v>112</v>
      </c>
      <c r="B283" s="266" t="s">
        <v>712</v>
      </c>
      <c r="C283" s="27"/>
      <c r="E283" s="27">
        <v>206</v>
      </c>
      <c r="F283" s="314"/>
      <c r="G283" s="64">
        <v>0</v>
      </c>
      <c r="H283" s="244">
        <v>0</v>
      </c>
      <c r="I283" s="244">
        <v>0</v>
      </c>
      <c r="J283" s="244">
        <v>0</v>
      </c>
      <c r="K283" s="244">
        <v>0</v>
      </c>
      <c r="L283" s="244">
        <v>0</v>
      </c>
      <c r="M283" s="244">
        <v>0</v>
      </c>
      <c r="N283" s="244">
        <v>0</v>
      </c>
      <c r="O283" s="244">
        <v>0</v>
      </c>
      <c r="P283" s="244">
        <v>0</v>
      </c>
      <c r="Q283" s="244">
        <v>0</v>
      </c>
      <c r="R283" s="244">
        <v>0</v>
      </c>
      <c r="S283" s="244">
        <v>0</v>
      </c>
      <c r="T283" s="63">
        <f>+SUM(G283:S283)/13</f>
        <v>0</v>
      </c>
    </row>
    <row r="284" spans="1:20" x14ac:dyDescent="0.3">
      <c r="A284" s="144">
        <f>+A283+1</f>
        <v>113</v>
      </c>
      <c r="B284" s="266" t="s">
        <v>33</v>
      </c>
      <c r="C284" s="27"/>
      <c r="E284" s="27">
        <v>219</v>
      </c>
      <c r="F284" s="314"/>
      <c r="G284" s="64">
        <v>0</v>
      </c>
      <c r="H284" s="244">
        <v>0</v>
      </c>
      <c r="I284" s="244">
        <v>0</v>
      </c>
      <c r="J284" s="244">
        <v>0</v>
      </c>
      <c r="K284" s="244">
        <v>0</v>
      </c>
      <c r="L284" s="244">
        <v>0</v>
      </c>
      <c r="M284" s="244">
        <v>0</v>
      </c>
      <c r="N284" s="244">
        <v>0</v>
      </c>
      <c r="O284" s="244">
        <v>0</v>
      </c>
      <c r="P284" s="244">
        <v>0</v>
      </c>
      <c r="Q284" s="244">
        <v>0</v>
      </c>
      <c r="R284" s="244">
        <v>0</v>
      </c>
      <c r="S284" s="244">
        <v>0</v>
      </c>
      <c r="T284" s="63">
        <f t="shared" ref="T284" si="18">+SUM(G284:S284)/13</f>
        <v>0</v>
      </c>
    </row>
    <row r="285" spans="1:20" x14ac:dyDescent="0.3">
      <c r="A285" s="144">
        <f>+A284+1</f>
        <v>114</v>
      </c>
      <c r="B285" s="266" t="s">
        <v>43</v>
      </c>
      <c r="C285" s="27"/>
      <c r="E285" s="27">
        <v>274</v>
      </c>
      <c r="F285" s="314"/>
      <c r="G285" s="64">
        <v>0</v>
      </c>
      <c r="H285" s="308"/>
      <c r="I285" s="308"/>
      <c r="J285" s="308"/>
      <c r="K285" s="308"/>
      <c r="L285" s="308"/>
      <c r="M285" s="308"/>
      <c r="N285" s="308"/>
      <c r="O285" s="308"/>
      <c r="P285" s="308"/>
      <c r="Q285" s="308"/>
      <c r="R285" s="308"/>
      <c r="S285" s="244">
        <v>0</v>
      </c>
      <c r="T285" s="63">
        <f>+(G285+S285)/2</f>
        <v>0</v>
      </c>
    </row>
    <row r="286" spans="1:20" x14ac:dyDescent="0.3">
      <c r="E286" s="27"/>
      <c r="G286" s="308"/>
      <c r="H286" s="308"/>
      <c r="I286" s="308"/>
      <c r="J286" s="308"/>
      <c r="K286" s="308"/>
      <c r="L286" s="308"/>
      <c r="M286" s="308"/>
      <c r="N286" s="308"/>
      <c r="O286" s="308"/>
      <c r="P286" s="308"/>
      <c r="Q286" s="308"/>
      <c r="R286" s="308"/>
      <c r="S286" s="308"/>
      <c r="T286" s="63"/>
    </row>
    <row r="287" spans="1:20" x14ac:dyDescent="0.3">
      <c r="A287" s="144"/>
      <c r="B287" s="230" t="str">
        <f>+'7A - Project ROE Adder'!Y8</f>
        <v>Name</v>
      </c>
      <c r="C287" s="27"/>
      <c r="E287" s="27"/>
      <c r="F287" s="314"/>
      <c r="G287" s="308"/>
      <c r="H287" s="308"/>
      <c r="I287" s="308"/>
      <c r="J287" s="308"/>
      <c r="K287" s="308"/>
      <c r="L287" s="308"/>
      <c r="M287" s="308"/>
      <c r="N287" s="308"/>
      <c r="O287" s="308"/>
      <c r="P287" s="308"/>
      <c r="Q287" s="308"/>
      <c r="R287" s="308"/>
      <c r="S287" s="308"/>
      <c r="T287" s="63"/>
    </row>
    <row r="288" spans="1:20" x14ac:dyDescent="0.3">
      <c r="A288" s="144">
        <f>+A285+1</f>
        <v>115</v>
      </c>
      <c r="B288" s="266" t="s">
        <v>712</v>
      </c>
      <c r="C288" s="27"/>
      <c r="E288" s="27">
        <v>206</v>
      </c>
      <c r="F288" s="314"/>
      <c r="G288" s="64">
        <v>0</v>
      </c>
      <c r="H288" s="244">
        <v>0</v>
      </c>
      <c r="I288" s="244">
        <v>0</v>
      </c>
      <c r="J288" s="244">
        <v>0</v>
      </c>
      <c r="K288" s="244">
        <v>0</v>
      </c>
      <c r="L288" s="244">
        <v>0</v>
      </c>
      <c r="M288" s="244">
        <v>0</v>
      </c>
      <c r="N288" s="244">
        <v>0</v>
      </c>
      <c r="O288" s="244">
        <v>0</v>
      </c>
      <c r="P288" s="244">
        <v>0</v>
      </c>
      <c r="Q288" s="244">
        <v>0</v>
      </c>
      <c r="R288" s="244">
        <v>0</v>
      </c>
      <c r="S288" s="244">
        <v>0</v>
      </c>
      <c r="T288" s="63">
        <f>+SUM(G288:S288)/13</f>
        <v>0</v>
      </c>
    </row>
    <row r="289" spans="1:21" x14ac:dyDescent="0.3">
      <c r="A289" s="144">
        <f>+A288+1</f>
        <v>116</v>
      </c>
      <c r="B289" s="266" t="s">
        <v>33</v>
      </c>
      <c r="C289" s="27"/>
      <c r="E289" s="27">
        <v>219</v>
      </c>
      <c r="F289" s="314"/>
      <c r="G289" s="64">
        <v>0</v>
      </c>
      <c r="H289" s="244">
        <v>0</v>
      </c>
      <c r="I289" s="244">
        <v>0</v>
      </c>
      <c r="J289" s="244">
        <v>0</v>
      </c>
      <c r="K289" s="244">
        <v>0</v>
      </c>
      <c r="L289" s="244">
        <v>0</v>
      </c>
      <c r="M289" s="244">
        <v>0</v>
      </c>
      <c r="N289" s="244">
        <v>0</v>
      </c>
      <c r="O289" s="244">
        <v>0</v>
      </c>
      <c r="P289" s="244">
        <v>0</v>
      </c>
      <c r="Q289" s="244">
        <v>0</v>
      </c>
      <c r="R289" s="244">
        <v>0</v>
      </c>
      <c r="S289" s="244">
        <v>0</v>
      </c>
      <c r="T289" s="63">
        <f t="shared" ref="T289" si="19">+SUM(G289:S289)/13</f>
        <v>0</v>
      </c>
    </row>
    <row r="290" spans="1:21" x14ac:dyDescent="0.3">
      <c r="A290" s="144">
        <f>+A289+1</f>
        <v>117</v>
      </c>
      <c r="B290" s="266" t="s">
        <v>43</v>
      </c>
      <c r="C290" s="27"/>
      <c r="E290" s="27">
        <v>274</v>
      </c>
      <c r="F290" s="314"/>
      <c r="G290" s="64">
        <v>0</v>
      </c>
      <c r="H290" s="308"/>
      <c r="I290" s="308"/>
      <c r="J290" s="308"/>
      <c r="K290" s="308"/>
      <c r="L290" s="308"/>
      <c r="M290" s="308"/>
      <c r="N290" s="308"/>
      <c r="O290" s="308"/>
      <c r="P290" s="308"/>
      <c r="Q290" s="308"/>
      <c r="R290" s="308"/>
      <c r="S290" s="244">
        <v>0</v>
      </c>
      <c r="T290" s="63">
        <f>+(G290+S290)/2</f>
        <v>0</v>
      </c>
    </row>
    <row r="291" spans="1:21" ht="21" thickBot="1" x14ac:dyDescent="0.35">
      <c r="A291" s="557"/>
      <c r="B291" s="557"/>
      <c r="C291" s="557"/>
      <c r="D291" s="557"/>
      <c r="E291" s="557"/>
      <c r="F291" s="557"/>
      <c r="G291" s="557"/>
      <c r="H291" s="557"/>
      <c r="I291" s="557"/>
      <c r="J291" s="557"/>
      <c r="K291" s="557"/>
      <c r="L291" s="557"/>
      <c r="M291" s="557"/>
      <c r="N291" s="557"/>
      <c r="O291" s="557"/>
      <c r="P291" s="557"/>
      <c r="Q291" s="557"/>
      <c r="R291" s="557"/>
      <c r="S291" s="557"/>
      <c r="T291" s="62"/>
    </row>
    <row r="292" spans="1:21" x14ac:dyDescent="0.3">
      <c r="U292" s="299"/>
    </row>
    <row r="293" spans="1:21" ht="21" thickBot="1" x14ac:dyDescent="0.35">
      <c r="A293" s="198" t="s">
        <v>713</v>
      </c>
      <c r="G293" s="4"/>
      <c r="H293" s="676" t="s">
        <v>711</v>
      </c>
      <c r="I293" s="676"/>
      <c r="J293" s="676"/>
      <c r="K293" s="676"/>
      <c r="L293" s="676"/>
      <c r="M293" s="676"/>
      <c r="N293" s="676"/>
      <c r="O293" s="676"/>
      <c r="P293" s="676"/>
      <c r="Q293" s="676"/>
      <c r="R293" s="676"/>
      <c r="S293" s="677"/>
    </row>
    <row r="294" spans="1:21" ht="41.25" thickBot="1" x14ac:dyDescent="0.35">
      <c r="A294" s="134" t="s">
        <v>512</v>
      </c>
      <c r="B294" s="133" t="s">
        <v>513</v>
      </c>
      <c r="C294" s="133"/>
      <c r="D294" s="133"/>
      <c r="E294" s="132" t="s">
        <v>514</v>
      </c>
      <c r="F294" s="111" t="s">
        <v>515</v>
      </c>
      <c r="G294" s="5" t="s">
        <v>516</v>
      </c>
      <c r="H294" s="153" t="s">
        <v>517</v>
      </c>
      <c r="I294" s="153" t="s">
        <v>518</v>
      </c>
      <c r="J294" s="153" t="s">
        <v>519</v>
      </c>
      <c r="K294" s="153" t="s">
        <v>520</v>
      </c>
      <c r="L294" s="153" t="s">
        <v>382</v>
      </c>
      <c r="M294" s="153" t="s">
        <v>521</v>
      </c>
      <c r="N294" s="153" t="s">
        <v>522</v>
      </c>
      <c r="O294" s="153" t="s">
        <v>523</v>
      </c>
      <c r="P294" s="153" t="s">
        <v>524</v>
      </c>
      <c r="Q294" s="153" t="s">
        <v>525</v>
      </c>
      <c r="R294" s="153" t="s">
        <v>526</v>
      </c>
      <c r="S294" s="153" t="s">
        <v>527</v>
      </c>
      <c r="T294" s="110" t="s">
        <v>714</v>
      </c>
    </row>
    <row r="295" spans="1:21" x14ac:dyDescent="0.3">
      <c r="A295" s="144"/>
      <c r="B295" s="230" t="s">
        <v>715</v>
      </c>
      <c r="C295" s="247"/>
      <c r="F295" s="314"/>
      <c r="T295" s="65"/>
    </row>
    <row r="296" spans="1:21" x14ac:dyDescent="0.3">
      <c r="A296" s="144">
        <f>+A290+1</f>
        <v>118</v>
      </c>
      <c r="B296" s="266" t="s">
        <v>716</v>
      </c>
      <c r="C296" s="27"/>
      <c r="E296" s="27" t="s">
        <v>717</v>
      </c>
      <c r="F296" s="314"/>
      <c r="G296" s="312">
        <v>20192146.350000001</v>
      </c>
      <c r="H296" s="312">
        <v>20192146.350000001</v>
      </c>
      <c r="I296" s="312">
        <v>20192146.350000001</v>
      </c>
      <c r="J296" s="312">
        <v>20192146.350000001</v>
      </c>
      <c r="K296" s="312">
        <v>20192146.350000001</v>
      </c>
      <c r="L296" s="312">
        <v>20192146.350000001</v>
      </c>
      <c r="M296" s="312">
        <v>20192146.350000001</v>
      </c>
      <c r="N296" s="312">
        <v>20192146.350000001</v>
      </c>
      <c r="O296" s="312">
        <v>20192146.350000001</v>
      </c>
      <c r="P296" s="312">
        <v>20192146.350000001</v>
      </c>
      <c r="Q296" s="312">
        <v>20192146.350000001</v>
      </c>
      <c r="R296" s="312">
        <v>20192146.350000001</v>
      </c>
      <c r="S296" s="312">
        <v>20192146.350000001</v>
      </c>
      <c r="T296" s="63">
        <f>+SUM(G296:S296)/13</f>
        <v>20192146.349999998</v>
      </c>
    </row>
    <row r="297" spans="1:21" x14ac:dyDescent="0.3">
      <c r="A297" s="144">
        <f>+A296+1</f>
        <v>119</v>
      </c>
      <c r="B297" s="266" t="s">
        <v>33</v>
      </c>
      <c r="C297" s="27"/>
      <c r="E297" s="27">
        <v>219</v>
      </c>
      <c r="F297" s="314"/>
      <c r="G297" s="312">
        <v>852423.36166895821</v>
      </c>
      <c r="H297" s="312">
        <v>882676.75323207176</v>
      </c>
      <c r="I297" s="312">
        <v>912930.1447951853</v>
      </c>
      <c r="J297" s="312">
        <v>943183.53635829885</v>
      </c>
      <c r="K297" s="312">
        <v>973436.9279214124</v>
      </c>
      <c r="L297" s="312">
        <v>1003690.3194845259</v>
      </c>
      <c r="M297" s="312">
        <v>1033943.7110476395</v>
      </c>
      <c r="N297" s="312">
        <v>1064197.1026107532</v>
      </c>
      <c r="O297" s="312">
        <v>1094450.4941738667</v>
      </c>
      <c r="P297" s="312">
        <v>1124703.8857369802</v>
      </c>
      <c r="Q297" s="312">
        <v>1154957.2773000938</v>
      </c>
      <c r="R297" s="312">
        <v>1185210.6688632073</v>
      </c>
      <c r="S297" s="312">
        <v>1215464.0604263209</v>
      </c>
      <c r="T297" s="63">
        <f t="shared" ref="T297" si="20">+SUM(G297:S297)/13</f>
        <v>1033943.7110476394</v>
      </c>
    </row>
    <row r="298" spans="1:21" x14ac:dyDescent="0.3">
      <c r="A298" s="144">
        <f>+A297+1</f>
        <v>120</v>
      </c>
      <c r="B298" s="266" t="s">
        <v>718</v>
      </c>
      <c r="C298" s="27"/>
      <c r="E298" s="27">
        <v>336</v>
      </c>
      <c r="F298" s="314"/>
      <c r="G298" s="312">
        <v>0</v>
      </c>
      <c r="H298" s="312">
        <v>30253.391563113597</v>
      </c>
      <c r="I298" s="312">
        <v>30253.391563113597</v>
      </c>
      <c r="J298" s="312">
        <v>30253.391563113597</v>
      </c>
      <c r="K298" s="312">
        <v>30253.391563113597</v>
      </c>
      <c r="L298" s="312">
        <v>30253.391563113597</v>
      </c>
      <c r="M298" s="312">
        <v>30253.391563113597</v>
      </c>
      <c r="N298" s="312">
        <v>30253.391563113597</v>
      </c>
      <c r="O298" s="312">
        <v>30253.391563113597</v>
      </c>
      <c r="P298" s="312">
        <v>30253.391563113597</v>
      </c>
      <c r="Q298" s="312">
        <v>30253.391563113597</v>
      </c>
      <c r="R298" s="312">
        <v>30253.391563113597</v>
      </c>
      <c r="S298" s="312">
        <v>30253.391563113597</v>
      </c>
      <c r="T298" s="63">
        <f>SUM(H298:S298)</f>
        <v>363040.69875736319</v>
      </c>
    </row>
    <row r="299" spans="1:21" x14ac:dyDescent="0.3">
      <c r="A299" s="144"/>
      <c r="C299" s="27"/>
      <c r="E299" s="27"/>
      <c r="F299" s="314"/>
      <c r="G299" s="312"/>
      <c r="H299" s="308"/>
      <c r="I299" s="308"/>
      <c r="J299" s="308"/>
      <c r="K299" s="308"/>
      <c r="L299" s="308"/>
      <c r="M299" s="308"/>
      <c r="N299" s="308"/>
      <c r="O299" s="308"/>
      <c r="P299" s="308"/>
      <c r="Q299" s="308"/>
      <c r="R299" s="308"/>
      <c r="S299" s="308"/>
      <c r="T299" s="63"/>
    </row>
    <row r="300" spans="1:21" x14ac:dyDescent="0.3">
      <c r="A300" s="144"/>
      <c r="B300" s="230" t="str">
        <f>+'7B - Schedule 12 Projects'!I8</f>
        <v>Name</v>
      </c>
      <c r="C300" s="27"/>
      <c r="E300" s="27"/>
      <c r="F300" s="314"/>
      <c r="G300" s="308"/>
      <c r="H300" s="308"/>
      <c r="I300" s="308"/>
      <c r="J300" s="308"/>
      <c r="K300" s="308"/>
      <c r="L300" s="308"/>
      <c r="M300" s="308"/>
      <c r="N300" s="308"/>
      <c r="O300" s="308"/>
      <c r="P300" s="308"/>
      <c r="Q300" s="308"/>
      <c r="R300" s="308"/>
      <c r="S300" s="308"/>
      <c r="T300" s="63"/>
    </row>
    <row r="301" spans="1:21" x14ac:dyDescent="0.3">
      <c r="A301" s="144">
        <f>+A298+1</f>
        <v>121</v>
      </c>
      <c r="B301" s="266" t="s">
        <v>716</v>
      </c>
      <c r="C301" s="27"/>
      <c r="E301" s="27" t="s">
        <v>717</v>
      </c>
      <c r="F301" s="314"/>
      <c r="G301" s="64">
        <v>0</v>
      </c>
      <c r="H301" s="244">
        <v>0</v>
      </c>
      <c r="I301" s="244">
        <v>0</v>
      </c>
      <c r="J301" s="244">
        <v>0</v>
      </c>
      <c r="K301" s="244">
        <v>0</v>
      </c>
      <c r="L301" s="244">
        <v>0</v>
      </c>
      <c r="M301" s="244">
        <v>0</v>
      </c>
      <c r="N301" s="244">
        <v>0</v>
      </c>
      <c r="O301" s="244">
        <v>0</v>
      </c>
      <c r="P301" s="244">
        <v>0</v>
      </c>
      <c r="Q301" s="244">
        <v>0</v>
      </c>
      <c r="R301" s="244">
        <v>0</v>
      </c>
      <c r="S301" s="244">
        <v>0</v>
      </c>
      <c r="T301" s="63">
        <f>+SUM(G301:S301)/13</f>
        <v>0</v>
      </c>
    </row>
    <row r="302" spans="1:21" x14ac:dyDescent="0.3">
      <c r="A302" s="144">
        <f>+A301+1</f>
        <v>122</v>
      </c>
      <c r="B302" s="266" t="s">
        <v>33</v>
      </c>
      <c r="C302" s="27"/>
      <c r="E302" s="27">
        <v>219</v>
      </c>
      <c r="F302" s="314"/>
      <c r="G302" s="64">
        <v>0</v>
      </c>
      <c r="H302" s="244">
        <v>0</v>
      </c>
      <c r="I302" s="244">
        <v>0</v>
      </c>
      <c r="J302" s="244">
        <v>0</v>
      </c>
      <c r="K302" s="244">
        <v>0</v>
      </c>
      <c r="L302" s="244">
        <v>0</v>
      </c>
      <c r="M302" s="244">
        <v>0</v>
      </c>
      <c r="N302" s="244">
        <v>0</v>
      </c>
      <c r="O302" s="244">
        <v>0</v>
      </c>
      <c r="P302" s="244">
        <v>0</v>
      </c>
      <c r="Q302" s="244">
        <v>0</v>
      </c>
      <c r="R302" s="244">
        <v>0</v>
      </c>
      <c r="S302" s="244">
        <v>0</v>
      </c>
      <c r="T302" s="63">
        <f t="shared" ref="T302" si="21">+SUM(G302:S302)/13</f>
        <v>0</v>
      </c>
    </row>
    <row r="303" spans="1:21" x14ac:dyDescent="0.3">
      <c r="A303" s="304">
        <f>+A302+1</f>
        <v>123</v>
      </c>
      <c r="B303" s="266" t="s">
        <v>718</v>
      </c>
      <c r="C303" s="27"/>
      <c r="E303" s="27">
        <v>336</v>
      </c>
      <c r="F303" s="314"/>
      <c r="G303" s="312"/>
      <c r="H303" s="308"/>
      <c r="I303" s="308"/>
      <c r="J303" s="308"/>
      <c r="K303" s="308"/>
      <c r="L303" s="308"/>
      <c r="M303" s="308"/>
      <c r="N303" s="308"/>
      <c r="O303" s="308"/>
      <c r="P303" s="308"/>
      <c r="Q303" s="308"/>
      <c r="R303" s="308"/>
      <c r="S303" s="308"/>
      <c r="T303" s="61">
        <v>0</v>
      </c>
    </row>
    <row r="304" spans="1:21" x14ac:dyDescent="0.3">
      <c r="E304" s="27"/>
      <c r="G304" s="308"/>
      <c r="H304" s="308"/>
      <c r="I304" s="308"/>
      <c r="J304" s="308"/>
      <c r="K304" s="308"/>
      <c r="L304" s="308"/>
      <c r="M304" s="308"/>
      <c r="N304" s="308"/>
      <c r="O304" s="308"/>
      <c r="P304" s="308"/>
      <c r="Q304" s="308"/>
      <c r="R304" s="308"/>
      <c r="S304" s="308"/>
      <c r="T304" s="63"/>
    </row>
    <row r="305" spans="1:20" x14ac:dyDescent="0.3">
      <c r="A305" s="144"/>
      <c r="B305" s="230" t="str">
        <f>+'7B - Schedule 12 Projects'!K8</f>
        <v>Name</v>
      </c>
      <c r="C305" s="27"/>
      <c r="E305" s="27"/>
      <c r="F305" s="314"/>
      <c r="G305" s="308"/>
      <c r="H305" s="308"/>
      <c r="I305" s="308"/>
      <c r="J305" s="308"/>
      <c r="K305" s="308"/>
      <c r="L305" s="308"/>
      <c r="M305" s="308"/>
      <c r="N305" s="308"/>
      <c r="O305" s="308"/>
      <c r="P305" s="308"/>
      <c r="Q305" s="308"/>
      <c r="R305" s="308"/>
      <c r="S305" s="308"/>
      <c r="T305" s="63"/>
    </row>
    <row r="306" spans="1:20" x14ac:dyDescent="0.3">
      <c r="A306" s="144">
        <f>+A303+1</f>
        <v>124</v>
      </c>
      <c r="B306" s="266" t="s">
        <v>716</v>
      </c>
      <c r="C306" s="27"/>
      <c r="E306" s="27" t="s">
        <v>717</v>
      </c>
      <c r="F306" s="314"/>
      <c r="G306" s="64">
        <v>0</v>
      </c>
      <c r="H306" s="244">
        <v>0</v>
      </c>
      <c r="I306" s="244">
        <v>0</v>
      </c>
      <c r="J306" s="244">
        <v>0</v>
      </c>
      <c r="K306" s="244">
        <v>0</v>
      </c>
      <c r="L306" s="244">
        <v>0</v>
      </c>
      <c r="M306" s="244">
        <v>0</v>
      </c>
      <c r="N306" s="244">
        <v>0</v>
      </c>
      <c r="O306" s="244">
        <v>0</v>
      </c>
      <c r="P306" s="244">
        <v>0</v>
      </c>
      <c r="Q306" s="244">
        <v>0</v>
      </c>
      <c r="R306" s="244">
        <v>0</v>
      </c>
      <c r="S306" s="244">
        <v>0</v>
      </c>
      <c r="T306" s="63">
        <f>+SUM(G306:S306)/13</f>
        <v>0</v>
      </c>
    </row>
    <row r="307" spans="1:20" x14ac:dyDescent="0.3">
      <c r="A307" s="144">
        <f>+A306+1</f>
        <v>125</v>
      </c>
      <c r="B307" s="266" t="s">
        <v>33</v>
      </c>
      <c r="C307" s="27"/>
      <c r="E307" s="27">
        <v>219</v>
      </c>
      <c r="F307" s="314"/>
      <c r="G307" s="64">
        <v>0</v>
      </c>
      <c r="H307" s="244">
        <v>0</v>
      </c>
      <c r="I307" s="244">
        <v>0</v>
      </c>
      <c r="J307" s="244">
        <v>0</v>
      </c>
      <c r="K307" s="244">
        <v>0</v>
      </c>
      <c r="L307" s="244">
        <v>0</v>
      </c>
      <c r="M307" s="244">
        <v>0</v>
      </c>
      <c r="N307" s="244">
        <v>0</v>
      </c>
      <c r="O307" s="244">
        <v>0</v>
      </c>
      <c r="P307" s="244">
        <v>0</v>
      </c>
      <c r="Q307" s="244">
        <v>0</v>
      </c>
      <c r="R307" s="244">
        <v>0</v>
      </c>
      <c r="S307" s="244">
        <v>0</v>
      </c>
      <c r="T307" s="63">
        <f t="shared" ref="T307" si="22">+SUM(G307:S307)/13</f>
        <v>0</v>
      </c>
    </row>
    <row r="308" spans="1:20" x14ac:dyDescent="0.3">
      <c r="A308" s="304">
        <f>+A307+1</f>
        <v>126</v>
      </c>
      <c r="B308" s="266" t="s">
        <v>718</v>
      </c>
      <c r="C308" s="27"/>
      <c r="E308" s="27">
        <v>336</v>
      </c>
      <c r="F308" s="314"/>
      <c r="G308" s="312"/>
      <c r="H308" s="308"/>
      <c r="I308" s="308"/>
      <c r="J308" s="308"/>
      <c r="K308" s="308"/>
      <c r="L308" s="308"/>
      <c r="M308" s="308"/>
      <c r="N308" s="308"/>
      <c r="O308" s="308"/>
      <c r="P308" s="308"/>
      <c r="Q308" s="308"/>
      <c r="R308" s="308"/>
      <c r="S308" s="308"/>
      <c r="T308" s="61">
        <v>0</v>
      </c>
    </row>
    <row r="309" spans="1:20" x14ac:dyDescent="0.3">
      <c r="E309" s="27"/>
      <c r="G309" s="308"/>
      <c r="H309" s="308"/>
      <c r="I309" s="308"/>
      <c r="J309" s="308"/>
      <c r="K309" s="308"/>
      <c r="L309" s="308"/>
      <c r="M309" s="308"/>
      <c r="N309" s="308"/>
      <c r="O309" s="308"/>
      <c r="P309" s="308"/>
      <c r="Q309" s="308"/>
      <c r="R309" s="308"/>
      <c r="S309" s="308"/>
      <c r="T309" s="63"/>
    </row>
    <row r="310" spans="1:20" x14ac:dyDescent="0.3">
      <c r="A310" s="144"/>
      <c r="B310" s="230" t="str">
        <f>+'7B - Schedule 12 Projects'!M8</f>
        <v>Name</v>
      </c>
      <c r="C310" s="27"/>
      <c r="E310" s="27"/>
      <c r="F310" s="314"/>
      <c r="G310" s="308"/>
      <c r="H310" s="308"/>
      <c r="I310" s="308"/>
      <c r="J310" s="308"/>
      <c r="K310" s="308"/>
      <c r="L310" s="308"/>
      <c r="M310" s="308"/>
      <c r="N310" s="308"/>
      <c r="O310" s="308"/>
      <c r="P310" s="308"/>
      <c r="Q310" s="308"/>
      <c r="R310" s="308"/>
      <c r="S310" s="308"/>
      <c r="T310" s="63"/>
    </row>
    <row r="311" spans="1:20" x14ac:dyDescent="0.3">
      <c r="A311" s="144">
        <f>+A308+1</f>
        <v>127</v>
      </c>
      <c r="B311" s="266" t="s">
        <v>716</v>
      </c>
      <c r="C311" s="27"/>
      <c r="E311" s="27" t="s">
        <v>717</v>
      </c>
      <c r="F311" s="314"/>
      <c r="G311" s="64">
        <v>0</v>
      </c>
      <c r="H311" s="244">
        <v>0</v>
      </c>
      <c r="I311" s="244">
        <v>0</v>
      </c>
      <c r="J311" s="244">
        <v>0</v>
      </c>
      <c r="K311" s="244">
        <v>0</v>
      </c>
      <c r="L311" s="244">
        <v>0</v>
      </c>
      <c r="M311" s="244">
        <v>0</v>
      </c>
      <c r="N311" s="244">
        <v>0</v>
      </c>
      <c r="O311" s="244">
        <v>0</v>
      </c>
      <c r="P311" s="244">
        <v>0</v>
      </c>
      <c r="Q311" s="244">
        <v>0</v>
      </c>
      <c r="R311" s="244">
        <v>0</v>
      </c>
      <c r="S311" s="244">
        <v>0</v>
      </c>
      <c r="T311" s="63">
        <f>+SUM(G311:S311)/13</f>
        <v>0</v>
      </c>
    </row>
    <row r="312" spans="1:20" x14ac:dyDescent="0.3">
      <c r="A312" s="144">
        <f>+A311+1</f>
        <v>128</v>
      </c>
      <c r="B312" s="266" t="s">
        <v>33</v>
      </c>
      <c r="C312" s="27"/>
      <c r="E312" s="27">
        <v>219</v>
      </c>
      <c r="F312" s="314"/>
      <c r="G312" s="64">
        <v>0</v>
      </c>
      <c r="H312" s="244">
        <v>0</v>
      </c>
      <c r="I312" s="244">
        <v>0</v>
      </c>
      <c r="J312" s="244">
        <v>0</v>
      </c>
      <c r="K312" s="244">
        <v>0</v>
      </c>
      <c r="L312" s="244">
        <v>0</v>
      </c>
      <c r="M312" s="244">
        <v>0</v>
      </c>
      <c r="N312" s="244">
        <v>0</v>
      </c>
      <c r="O312" s="244">
        <v>0</v>
      </c>
      <c r="P312" s="244">
        <v>0</v>
      </c>
      <c r="Q312" s="244">
        <v>0</v>
      </c>
      <c r="R312" s="244">
        <v>0</v>
      </c>
      <c r="S312" s="244">
        <v>0</v>
      </c>
      <c r="T312" s="63">
        <f t="shared" ref="T312" si="23">+SUM(G312:S312)/13</f>
        <v>0</v>
      </c>
    </row>
    <row r="313" spans="1:20" x14ac:dyDescent="0.3">
      <c r="A313" s="304">
        <f>+A312+1</f>
        <v>129</v>
      </c>
      <c r="B313" s="266" t="s">
        <v>718</v>
      </c>
      <c r="C313" s="27"/>
      <c r="E313" s="27">
        <v>336</v>
      </c>
      <c r="F313" s="314"/>
      <c r="G313" s="312"/>
      <c r="H313" s="308"/>
      <c r="I313" s="308"/>
      <c r="J313" s="308"/>
      <c r="K313" s="308"/>
      <c r="L313" s="308"/>
      <c r="M313" s="308"/>
      <c r="N313" s="308"/>
      <c r="O313" s="308"/>
      <c r="P313" s="308"/>
      <c r="Q313" s="308"/>
      <c r="R313" s="308"/>
      <c r="S313" s="308"/>
      <c r="T313" s="61">
        <v>0</v>
      </c>
    </row>
    <row r="314" spans="1:20" x14ac:dyDescent="0.3">
      <c r="C314" s="27"/>
      <c r="E314" s="27"/>
      <c r="F314" s="314"/>
      <c r="G314" s="312"/>
      <c r="H314" s="308"/>
      <c r="I314" s="308"/>
      <c r="J314" s="308"/>
      <c r="K314" s="308"/>
      <c r="L314" s="308"/>
      <c r="M314" s="308"/>
      <c r="N314" s="308"/>
      <c r="O314" s="308"/>
      <c r="P314" s="308"/>
      <c r="Q314" s="308"/>
      <c r="R314" s="308"/>
      <c r="S314" s="308"/>
      <c r="T314" s="63"/>
    </row>
    <row r="315" spans="1:20" x14ac:dyDescent="0.3">
      <c r="A315" s="144"/>
      <c r="B315" s="230" t="str">
        <f>+'7B - Schedule 12 Projects'!O8</f>
        <v>Name</v>
      </c>
      <c r="C315" s="27"/>
      <c r="E315" s="27"/>
      <c r="F315" s="314"/>
      <c r="G315" s="308"/>
      <c r="H315" s="308"/>
      <c r="I315" s="308"/>
      <c r="J315" s="308"/>
      <c r="K315" s="308"/>
      <c r="L315" s="308"/>
      <c r="M315" s="308"/>
      <c r="N315" s="308"/>
      <c r="O315" s="308"/>
      <c r="P315" s="308"/>
      <c r="Q315" s="308"/>
      <c r="R315" s="308"/>
      <c r="S315" s="308"/>
      <c r="T315" s="63"/>
    </row>
    <row r="316" spans="1:20" x14ac:dyDescent="0.3">
      <c r="A316" s="144">
        <f>+A313+1</f>
        <v>130</v>
      </c>
      <c r="B316" s="266" t="s">
        <v>716</v>
      </c>
      <c r="C316" s="27"/>
      <c r="E316" s="27" t="s">
        <v>717</v>
      </c>
      <c r="F316" s="314"/>
      <c r="G316" s="64">
        <v>0</v>
      </c>
      <c r="H316" s="244">
        <v>0</v>
      </c>
      <c r="I316" s="244">
        <v>0</v>
      </c>
      <c r="J316" s="244">
        <v>0</v>
      </c>
      <c r="K316" s="244">
        <v>0</v>
      </c>
      <c r="L316" s="244">
        <v>0</v>
      </c>
      <c r="M316" s="244">
        <v>0</v>
      </c>
      <c r="N316" s="244">
        <v>0</v>
      </c>
      <c r="O316" s="244">
        <v>0</v>
      </c>
      <c r="P316" s="244">
        <v>0</v>
      </c>
      <c r="Q316" s="244">
        <v>0</v>
      </c>
      <c r="R316" s="244">
        <v>0</v>
      </c>
      <c r="S316" s="244">
        <v>0</v>
      </c>
      <c r="T316" s="63">
        <f>+SUM(G316:S316)/13</f>
        <v>0</v>
      </c>
    </row>
    <row r="317" spans="1:20" x14ac:dyDescent="0.3">
      <c r="A317" s="144">
        <f>+A316+1</f>
        <v>131</v>
      </c>
      <c r="B317" s="266" t="s">
        <v>33</v>
      </c>
      <c r="C317" s="27"/>
      <c r="E317" s="27">
        <v>219</v>
      </c>
      <c r="F317" s="314"/>
      <c r="G317" s="64">
        <v>0</v>
      </c>
      <c r="H317" s="244">
        <v>0</v>
      </c>
      <c r="I317" s="244">
        <v>0</v>
      </c>
      <c r="J317" s="244">
        <v>0</v>
      </c>
      <c r="K317" s="244">
        <v>0</v>
      </c>
      <c r="L317" s="244">
        <v>0</v>
      </c>
      <c r="M317" s="244">
        <v>0</v>
      </c>
      <c r="N317" s="244">
        <v>0</v>
      </c>
      <c r="O317" s="244">
        <v>0</v>
      </c>
      <c r="P317" s="244">
        <v>0</v>
      </c>
      <c r="Q317" s="244">
        <v>0</v>
      </c>
      <c r="R317" s="244">
        <v>0</v>
      </c>
      <c r="S317" s="244">
        <v>0</v>
      </c>
      <c r="T317" s="63">
        <f t="shared" ref="T317" si="24">+SUM(G317:S317)/13</f>
        <v>0</v>
      </c>
    </row>
    <row r="318" spans="1:20" x14ac:dyDescent="0.3">
      <c r="A318" s="144">
        <f>+A317+1</f>
        <v>132</v>
      </c>
      <c r="B318" s="266" t="s">
        <v>718</v>
      </c>
      <c r="C318" s="27"/>
      <c r="E318" s="27">
        <v>336</v>
      </c>
      <c r="F318" s="314"/>
      <c r="G318" s="312"/>
      <c r="H318" s="308"/>
      <c r="I318" s="308"/>
      <c r="J318" s="308"/>
      <c r="K318" s="308"/>
      <c r="L318" s="308"/>
      <c r="M318" s="308"/>
      <c r="N318" s="308"/>
      <c r="O318" s="308"/>
      <c r="P318" s="308"/>
      <c r="Q318" s="308"/>
      <c r="R318" s="308"/>
      <c r="S318" s="308"/>
      <c r="T318" s="61">
        <v>0</v>
      </c>
    </row>
    <row r="319" spans="1:20" x14ac:dyDescent="0.3">
      <c r="A319" s="144"/>
      <c r="C319" s="27"/>
      <c r="E319" s="27"/>
      <c r="F319" s="314"/>
      <c r="G319" s="312"/>
      <c r="H319" s="308"/>
      <c r="I319" s="308"/>
      <c r="J319" s="308"/>
      <c r="K319" s="308"/>
      <c r="L319" s="308"/>
      <c r="M319" s="308"/>
      <c r="N319" s="308"/>
      <c r="O319" s="308"/>
      <c r="P319" s="308"/>
      <c r="Q319" s="308"/>
      <c r="R319" s="308"/>
      <c r="S319" s="308"/>
      <c r="T319" s="63"/>
    </row>
    <row r="320" spans="1:20" x14ac:dyDescent="0.3">
      <c r="A320" s="144"/>
      <c r="B320" s="230" t="str">
        <f>+'7B - Schedule 12 Projects'!Q8</f>
        <v>Name</v>
      </c>
      <c r="C320" s="27"/>
      <c r="E320" s="27"/>
      <c r="F320" s="314"/>
      <c r="G320" s="308"/>
      <c r="H320" s="308"/>
      <c r="I320" s="308"/>
      <c r="J320" s="308"/>
      <c r="K320" s="308"/>
      <c r="L320" s="308"/>
      <c r="M320" s="308"/>
      <c r="N320" s="308"/>
      <c r="O320" s="308"/>
      <c r="P320" s="308"/>
      <c r="Q320" s="308"/>
      <c r="R320" s="308"/>
      <c r="S320" s="308"/>
      <c r="T320" s="63"/>
    </row>
    <row r="321" spans="1:20" x14ac:dyDescent="0.3">
      <c r="A321" s="144">
        <f>+A318+1</f>
        <v>133</v>
      </c>
      <c r="B321" s="266" t="s">
        <v>716</v>
      </c>
      <c r="C321" s="27"/>
      <c r="E321" s="27" t="s">
        <v>717</v>
      </c>
      <c r="F321" s="314"/>
      <c r="G321" s="64">
        <v>0</v>
      </c>
      <c r="H321" s="244">
        <v>0</v>
      </c>
      <c r="I321" s="244">
        <v>0</v>
      </c>
      <c r="J321" s="244">
        <v>0</v>
      </c>
      <c r="K321" s="244">
        <v>0</v>
      </c>
      <c r="L321" s="244">
        <v>0</v>
      </c>
      <c r="M321" s="244">
        <v>0</v>
      </c>
      <c r="N321" s="244">
        <v>0</v>
      </c>
      <c r="O321" s="244">
        <v>0</v>
      </c>
      <c r="P321" s="244">
        <v>0</v>
      </c>
      <c r="Q321" s="244">
        <v>0</v>
      </c>
      <c r="R321" s="244">
        <v>0</v>
      </c>
      <c r="S321" s="244">
        <v>0</v>
      </c>
      <c r="T321" s="63">
        <f>+SUM(G321:S321)/13</f>
        <v>0</v>
      </c>
    </row>
    <row r="322" spans="1:20" x14ac:dyDescent="0.3">
      <c r="A322" s="144">
        <f>+A321+1</f>
        <v>134</v>
      </c>
      <c r="B322" s="266" t="s">
        <v>33</v>
      </c>
      <c r="C322" s="27"/>
      <c r="E322" s="27">
        <v>219</v>
      </c>
      <c r="F322" s="314"/>
      <c r="G322" s="64">
        <v>0</v>
      </c>
      <c r="H322" s="244">
        <v>0</v>
      </c>
      <c r="I322" s="244">
        <v>0</v>
      </c>
      <c r="J322" s="244">
        <v>0</v>
      </c>
      <c r="K322" s="244">
        <v>0</v>
      </c>
      <c r="L322" s="244">
        <v>0</v>
      </c>
      <c r="M322" s="244">
        <v>0</v>
      </c>
      <c r="N322" s="244">
        <v>0</v>
      </c>
      <c r="O322" s="244">
        <v>0</v>
      </c>
      <c r="P322" s="244">
        <v>0</v>
      </c>
      <c r="Q322" s="244">
        <v>0</v>
      </c>
      <c r="R322" s="244">
        <v>0</v>
      </c>
      <c r="S322" s="244">
        <v>0</v>
      </c>
      <c r="T322" s="63">
        <f t="shared" ref="T322" si="25">+SUM(G322:S322)/13</f>
        <v>0</v>
      </c>
    </row>
    <row r="323" spans="1:20" x14ac:dyDescent="0.3">
      <c r="A323" s="144">
        <f>+A322+1</f>
        <v>135</v>
      </c>
      <c r="B323" s="266" t="s">
        <v>718</v>
      </c>
      <c r="C323" s="27"/>
      <c r="E323" s="27">
        <v>336</v>
      </c>
      <c r="F323" s="314"/>
      <c r="G323" s="312"/>
      <c r="H323" s="308"/>
      <c r="I323" s="308"/>
      <c r="J323" s="308"/>
      <c r="K323" s="308"/>
      <c r="L323" s="308"/>
      <c r="M323" s="308"/>
      <c r="N323" s="308"/>
      <c r="O323" s="308"/>
      <c r="P323" s="308"/>
      <c r="Q323" s="308"/>
      <c r="R323" s="308"/>
      <c r="S323" s="308"/>
      <c r="T323" s="61">
        <v>0</v>
      </c>
    </row>
    <row r="324" spans="1:20" x14ac:dyDescent="0.3">
      <c r="A324" s="144"/>
      <c r="C324" s="27"/>
      <c r="E324" s="27"/>
      <c r="F324" s="314"/>
      <c r="G324" s="312"/>
      <c r="H324" s="308"/>
      <c r="I324" s="308"/>
      <c r="J324" s="308"/>
      <c r="K324" s="308"/>
      <c r="L324" s="308"/>
      <c r="M324" s="308"/>
      <c r="N324" s="308"/>
      <c r="O324" s="308"/>
      <c r="P324" s="308"/>
      <c r="Q324" s="308"/>
      <c r="R324" s="308"/>
      <c r="S324" s="308"/>
      <c r="T324" s="63"/>
    </row>
    <row r="325" spans="1:20" x14ac:dyDescent="0.3">
      <c r="A325" s="144"/>
      <c r="B325" s="230" t="str">
        <f>+'7B - Schedule 12 Projects'!S8</f>
        <v>Name</v>
      </c>
      <c r="C325" s="27"/>
      <c r="E325" s="27"/>
      <c r="F325" s="314"/>
      <c r="G325" s="308"/>
      <c r="H325" s="308"/>
      <c r="I325" s="308"/>
      <c r="J325" s="308"/>
      <c r="K325" s="308"/>
      <c r="L325" s="308"/>
      <c r="M325" s="308"/>
      <c r="N325" s="308"/>
      <c r="O325" s="308"/>
      <c r="P325" s="308"/>
      <c r="Q325" s="308"/>
      <c r="R325" s="308"/>
      <c r="S325" s="308"/>
      <c r="T325" s="63"/>
    </row>
    <row r="326" spans="1:20" x14ac:dyDescent="0.3">
      <c r="A326" s="144">
        <f>+A323+1</f>
        <v>136</v>
      </c>
      <c r="B326" s="266" t="s">
        <v>716</v>
      </c>
      <c r="C326" s="27"/>
      <c r="E326" s="27" t="s">
        <v>717</v>
      </c>
      <c r="F326" s="314"/>
      <c r="G326" s="64">
        <v>0</v>
      </c>
      <c r="H326" s="244">
        <v>0</v>
      </c>
      <c r="I326" s="244">
        <v>0</v>
      </c>
      <c r="J326" s="244">
        <v>0</v>
      </c>
      <c r="K326" s="244">
        <v>0</v>
      </c>
      <c r="L326" s="244">
        <v>0</v>
      </c>
      <c r="M326" s="244">
        <v>0</v>
      </c>
      <c r="N326" s="244">
        <v>0</v>
      </c>
      <c r="O326" s="244">
        <v>0</v>
      </c>
      <c r="P326" s="244">
        <v>0</v>
      </c>
      <c r="Q326" s="244">
        <v>0</v>
      </c>
      <c r="R326" s="244">
        <v>0</v>
      </c>
      <c r="S326" s="244">
        <v>0</v>
      </c>
      <c r="T326" s="63">
        <f>+SUM(G326:S326)/13</f>
        <v>0</v>
      </c>
    </row>
    <row r="327" spans="1:20" x14ac:dyDescent="0.3">
      <c r="A327" s="144">
        <f>+A326+1</f>
        <v>137</v>
      </c>
      <c r="B327" s="266" t="s">
        <v>33</v>
      </c>
      <c r="C327" s="27"/>
      <c r="E327" s="27">
        <v>219</v>
      </c>
      <c r="F327" s="314"/>
      <c r="G327" s="64">
        <v>0</v>
      </c>
      <c r="H327" s="244">
        <v>0</v>
      </c>
      <c r="I327" s="244">
        <v>0</v>
      </c>
      <c r="J327" s="244">
        <v>0</v>
      </c>
      <c r="K327" s="244">
        <v>0</v>
      </c>
      <c r="L327" s="244">
        <v>0</v>
      </c>
      <c r="M327" s="244">
        <v>0</v>
      </c>
      <c r="N327" s="244">
        <v>0</v>
      </c>
      <c r="O327" s="244">
        <v>0</v>
      </c>
      <c r="P327" s="244">
        <v>0</v>
      </c>
      <c r="Q327" s="244">
        <v>0</v>
      </c>
      <c r="R327" s="244">
        <v>0</v>
      </c>
      <c r="S327" s="244">
        <v>0</v>
      </c>
      <c r="T327" s="63">
        <f t="shared" ref="T327" si="26">+SUM(G327:S327)/13</f>
        <v>0</v>
      </c>
    </row>
    <row r="328" spans="1:20" x14ac:dyDescent="0.3">
      <c r="A328" s="144">
        <f>+A327+1</f>
        <v>138</v>
      </c>
      <c r="B328" s="266" t="s">
        <v>718</v>
      </c>
      <c r="C328" s="27"/>
      <c r="E328" s="27">
        <v>336</v>
      </c>
      <c r="F328" s="314"/>
      <c r="G328" s="312"/>
      <c r="H328" s="308"/>
      <c r="I328" s="308"/>
      <c r="J328" s="308"/>
      <c r="K328" s="308"/>
      <c r="L328" s="308"/>
      <c r="M328" s="308"/>
      <c r="N328" s="308"/>
      <c r="O328" s="308"/>
      <c r="P328" s="308"/>
      <c r="Q328" s="308"/>
      <c r="R328" s="308"/>
      <c r="S328" s="308"/>
      <c r="T328" s="61">
        <v>0</v>
      </c>
    </row>
    <row r="329" spans="1:20" x14ac:dyDescent="0.3">
      <c r="A329" s="144"/>
      <c r="C329" s="27"/>
      <c r="E329" s="27"/>
      <c r="F329" s="314"/>
      <c r="G329" s="312"/>
      <c r="H329" s="308"/>
      <c r="I329" s="308"/>
      <c r="J329" s="308"/>
      <c r="K329" s="308"/>
      <c r="L329" s="308"/>
      <c r="M329" s="308"/>
      <c r="N329" s="308"/>
      <c r="O329" s="308"/>
      <c r="P329" s="308"/>
      <c r="Q329" s="308"/>
      <c r="R329" s="308"/>
      <c r="S329" s="308"/>
      <c r="T329" s="63"/>
    </row>
    <row r="330" spans="1:20" x14ac:dyDescent="0.3">
      <c r="A330" s="144"/>
      <c r="B330" s="230" t="str">
        <f>+'7B - Schedule 12 Projects'!U8</f>
        <v>Name</v>
      </c>
      <c r="C330" s="27"/>
      <c r="E330" s="27"/>
      <c r="F330" s="314"/>
      <c r="G330" s="308"/>
      <c r="H330" s="308"/>
      <c r="I330" s="308"/>
      <c r="J330" s="308"/>
      <c r="K330" s="308"/>
      <c r="L330" s="308"/>
      <c r="M330" s="308"/>
      <c r="N330" s="308"/>
      <c r="O330" s="308"/>
      <c r="P330" s="308"/>
      <c r="Q330" s="308"/>
      <c r="R330" s="308"/>
      <c r="S330" s="308"/>
      <c r="T330" s="63"/>
    </row>
    <row r="331" spans="1:20" x14ac:dyDescent="0.3">
      <c r="A331" s="144">
        <f>+A328+1</f>
        <v>139</v>
      </c>
      <c r="B331" s="266" t="s">
        <v>716</v>
      </c>
      <c r="C331" s="27"/>
      <c r="E331" s="27" t="s">
        <v>717</v>
      </c>
      <c r="F331" s="314"/>
      <c r="G331" s="64">
        <v>0</v>
      </c>
      <c r="H331" s="244">
        <v>0</v>
      </c>
      <c r="I331" s="244">
        <v>0</v>
      </c>
      <c r="J331" s="244">
        <v>0</v>
      </c>
      <c r="K331" s="244">
        <v>0</v>
      </c>
      <c r="L331" s="244">
        <v>0</v>
      </c>
      <c r="M331" s="244">
        <v>0</v>
      </c>
      <c r="N331" s="244">
        <v>0</v>
      </c>
      <c r="O331" s="244">
        <v>0</v>
      </c>
      <c r="P331" s="244">
        <v>0</v>
      </c>
      <c r="Q331" s="244">
        <v>0</v>
      </c>
      <c r="R331" s="244">
        <v>0</v>
      </c>
      <c r="S331" s="244">
        <v>0</v>
      </c>
      <c r="T331" s="63">
        <f>+SUM(G331:S331)/13</f>
        <v>0</v>
      </c>
    </row>
    <row r="332" spans="1:20" x14ac:dyDescent="0.3">
      <c r="A332" s="144">
        <f>+A331+1</f>
        <v>140</v>
      </c>
      <c r="B332" s="266" t="s">
        <v>33</v>
      </c>
      <c r="C332" s="27"/>
      <c r="E332" s="27">
        <v>219</v>
      </c>
      <c r="F332" s="314"/>
      <c r="G332" s="64">
        <v>0</v>
      </c>
      <c r="H332" s="244">
        <v>0</v>
      </c>
      <c r="I332" s="244">
        <v>0</v>
      </c>
      <c r="J332" s="244">
        <v>0</v>
      </c>
      <c r="K332" s="244">
        <v>0</v>
      </c>
      <c r="L332" s="244">
        <v>0</v>
      </c>
      <c r="M332" s="244">
        <v>0</v>
      </c>
      <c r="N332" s="244">
        <v>0</v>
      </c>
      <c r="O332" s="244">
        <v>0</v>
      </c>
      <c r="P332" s="244">
        <v>0</v>
      </c>
      <c r="Q332" s="244">
        <v>0</v>
      </c>
      <c r="R332" s="244">
        <v>0</v>
      </c>
      <c r="S332" s="244">
        <v>0</v>
      </c>
      <c r="T332" s="63">
        <f t="shared" ref="T332" si="27">+SUM(G332:S332)/13</f>
        <v>0</v>
      </c>
    </row>
    <row r="333" spans="1:20" x14ac:dyDescent="0.3">
      <c r="A333" s="144">
        <f>+A332+1</f>
        <v>141</v>
      </c>
      <c r="B333" s="266" t="s">
        <v>718</v>
      </c>
      <c r="C333" s="27"/>
      <c r="E333" s="27">
        <v>336</v>
      </c>
      <c r="F333" s="314"/>
      <c r="G333" s="312"/>
      <c r="H333" s="308"/>
      <c r="I333" s="308"/>
      <c r="J333" s="308"/>
      <c r="K333" s="308"/>
      <c r="L333" s="308"/>
      <c r="M333" s="308"/>
      <c r="N333" s="308"/>
      <c r="O333" s="308"/>
      <c r="P333" s="308"/>
      <c r="Q333" s="308"/>
      <c r="R333" s="308"/>
      <c r="S333" s="308"/>
      <c r="T333" s="61">
        <v>0</v>
      </c>
    </row>
    <row r="334" spans="1:20" x14ac:dyDescent="0.3">
      <c r="A334" s="144"/>
      <c r="C334" s="27"/>
      <c r="E334" s="27"/>
      <c r="F334" s="314"/>
      <c r="G334" s="312"/>
      <c r="H334" s="308"/>
      <c r="I334" s="308"/>
      <c r="J334" s="308"/>
      <c r="K334" s="308"/>
      <c r="L334" s="308"/>
      <c r="M334" s="308"/>
      <c r="N334" s="308"/>
      <c r="O334" s="308"/>
      <c r="P334" s="308"/>
      <c r="Q334" s="308"/>
      <c r="R334" s="308"/>
      <c r="S334" s="308"/>
      <c r="T334" s="63"/>
    </row>
    <row r="335" spans="1:20" x14ac:dyDescent="0.3">
      <c r="A335" s="144"/>
      <c r="B335" s="230" t="str">
        <f>+'7B - Schedule 12 Projects'!W8</f>
        <v>Name</v>
      </c>
      <c r="C335" s="27"/>
      <c r="E335" s="27"/>
      <c r="F335" s="314"/>
      <c r="G335" s="308"/>
      <c r="H335" s="308"/>
      <c r="I335" s="308"/>
      <c r="J335" s="308"/>
      <c r="K335" s="308"/>
      <c r="L335" s="308"/>
      <c r="M335" s="308"/>
      <c r="N335" s="308"/>
      <c r="O335" s="308"/>
      <c r="P335" s="308"/>
      <c r="Q335" s="308"/>
      <c r="R335" s="308"/>
      <c r="S335" s="308"/>
      <c r="T335" s="63"/>
    </row>
    <row r="336" spans="1:20" x14ac:dyDescent="0.3">
      <c r="A336" s="144">
        <f>+A333+1</f>
        <v>142</v>
      </c>
      <c r="B336" s="266" t="s">
        <v>716</v>
      </c>
      <c r="C336" s="27"/>
      <c r="E336" s="27" t="s">
        <v>717</v>
      </c>
      <c r="F336" s="314"/>
      <c r="G336" s="64">
        <v>0</v>
      </c>
      <c r="H336" s="244">
        <v>0</v>
      </c>
      <c r="I336" s="244">
        <v>0</v>
      </c>
      <c r="J336" s="244">
        <v>0</v>
      </c>
      <c r="K336" s="244">
        <v>0</v>
      </c>
      <c r="L336" s="244">
        <v>0</v>
      </c>
      <c r="M336" s="244">
        <v>0</v>
      </c>
      <c r="N336" s="244">
        <v>0</v>
      </c>
      <c r="O336" s="244">
        <v>0</v>
      </c>
      <c r="P336" s="244">
        <v>0</v>
      </c>
      <c r="Q336" s="244">
        <v>0</v>
      </c>
      <c r="R336" s="244">
        <v>0</v>
      </c>
      <c r="S336" s="244">
        <v>0</v>
      </c>
      <c r="T336" s="63">
        <f>+SUM(G336:S336)/13</f>
        <v>0</v>
      </c>
    </row>
    <row r="337" spans="1:20" x14ac:dyDescent="0.3">
      <c r="A337" s="144">
        <f>+A336+1</f>
        <v>143</v>
      </c>
      <c r="B337" s="266" t="s">
        <v>33</v>
      </c>
      <c r="C337" s="27"/>
      <c r="E337" s="27">
        <v>219</v>
      </c>
      <c r="F337" s="314"/>
      <c r="G337" s="64">
        <v>0</v>
      </c>
      <c r="H337" s="244">
        <v>0</v>
      </c>
      <c r="I337" s="244">
        <v>0</v>
      </c>
      <c r="J337" s="244">
        <v>0</v>
      </c>
      <c r="K337" s="244">
        <v>0</v>
      </c>
      <c r="L337" s="244">
        <v>0</v>
      </c>
      <c r="M337" s="244">
        <v>0</v>
      </c>
      <c r="N337" s="244">
        <v>0</v>
      </c>
      <c r="O337" s="244">
        <v>0</v>
      </c>
      <c r="P337" s="244">
        <v>0</v>
      </c>
      <c r="Q337" s="244">
        <v>0</v>
      </c>
      <c r="R337" s="244">
        <v>0</v>
      </c>
      <c r="S337" s="244">
        <v>0</v>
      </c>
      <c r="T337" s="63">
        <f t="shared" ref="T337" si="28">+SUM(G337:S337)/13</f>
        <v>0</v>
      </c>
    </row>
    <row r="338" spans="1:20" x14ac:dyDescent="0.3">
      <c r="A338" s="144">
        <f>+A337+1</f>
        <v>144</v>
      </c>
      <c r="B338" s="266" t="s">
        <v>718</v>
      </c>
      <c r="C338" s="27"/>
      <c r="E338" s="27">
        <v>336</v>
      </c>
      <c r="F338" s="314"/>
      <c r="G338" s="312"/>
      <c r="H338" s="308"/>
      <c r="I338" s="308"/>
      <c r="J338" s="308"/>
      <c r="K338" s="308"/>
      <c r="L338" s="308"/>
      <c r="M338" s="308"/>
      <c r="N338" s="308"/>
      <c r="O338" s="308"/>
      <c r="P338" s="308"/>
      <c r="Q338" s="308"/>
      <c r="R338" s="308"/>
      <c r="S338" s="308"/>
      <c r="T338" s="61">
        <v>0</v>
      </c>
    </row>
    <row r="339" spans="1:20" x14ac:dyDescent="0.3">
      <c r="A339" s="144"/>
      <c r="C339" s="27"/>
      <c r="E339" s="27"/>
      <c r="F339" s="314"/>
      <c r="G339" s="312"/>
      <c r="H339" s="308"/>
      <c r="I339" s="308"/>
      <c r="J339" s="308"/>
      <c r="K339" s="308"/>
      <c r="L339" s="308"/>
      <c r="M339" s="308"/>
      <c r="N339" s="308"/>
      <c r="O339" s="308"/>
      <c r="P339" s="308"/>
      <c r="Q339" s="308"/>
      <c r="R339" s="308"/>
      <c r="S339" s="308"/>
      <c r="T339" s="63"/>
    </row>
    <row r="340" spans="1:20" x14ac:dyDescent="0.3">
      <c r="A340" s="144"/>
      <c r="B340" s="230" t="str">
        <f>+'7B - Schedule 12 Projects'!Y8</f>
        <v>Name</v>
      </c>
      <c r="C340" s="27"/>
      <c r="E340" s="27"/>
      <c r="F340" s="314"/>
      <c r="G340" s="308"/>
      <c r="H340" s="308"/>
      <c r="I340" s="308"/>
      <c r="J340" s="308"/>
      <c r="K340" s="308"/>
      <c r="L340" s="308"/>
      <c r="M340" s="308"/>
      <c r="N340" s="308"/>
      <c r="O340" s="308"/>
      <c r="P340" s="308"/>
      <c r="Q340" s="308"/>
      <c r="R340" s="308"/>
      <c r="S340" s="308"/>
      <c r="T340" s="63"/>
    </row>
    <row r="341" spans="1:20" x14ac:dyDescent="0.3">
      <c r="A341" s="144">
        <f>+A338+1</f>
        <v>145</v>
      </c>
      <c r="B341" s="266" t="s">
        <v>716</v>
      </c>
      <c r="C341" s="27"/>
      <c r="E341" s="27" t="s">
        <v>717</v>
      </c>
      <c r="F341" s="314"/>
      <c r="G341" s="64">
        <v>0</v>
      </c>
      <c r="H341" s="244">
        <v>0</v>
      </c>
      <c r="I341" s="244">
        <v>0</v>
      </c>
      <c r="J341" s="244">
        <v>0</v>
      </c>
      <c r="K341" s="244">
        <v>0</v>
      </c>
      <c r="L341" s="244">
        <v>0</v>
      </c>
      <c r="M341" s="244">
        <v>0</v>
      </c>
      <c r="N341" s="244">
        <v>0</v>
      </c>
      <c r="O341" s="244">
        <v>0</v>
      </c>
      <c r="P341" s="244">
        <v>0</v>
      </c>
      <c r="Q341" s="244">
        <v>0</v>
      </c>
      <c r="R341" s="244">
        <v>0</v>
      </c>
      <c r="S341" s="244">
        <v>0</v>
      </c>
      <c r="T341" s="63">
        <f>+SUM(G341:S341)/13</f>
        <v>0</v>
      </c>
    </row>
    <row r="342" spans="1:20" x14ac:dyDescent="0.3">
      <c r="A342" s="144">
        <f>+A341+1</f>
        <v>146</v>
      </c>
      <c r="B342" s="266" t="s">
        <v>33</v>
      </c>
      <c r="C342" s="27"/>
      <c r="E342" s="27">
        <v>219</v>
      </c>
      <c r="F342" s="314"/>
      <c r="G342" s="64">
        <v>0</v>
      </c>
      <c r="H342" s="244">
        <v>0</v>
      </c>
      <c r="I342" s="244">
        <v>0</v>
      </c>
      <c r="J342" s="244">
        <v>0</v>
      </c>
      <c r="K342" s="244">
        <v>0</v>
      </c>
      <c r="L342" s="244">
        <v>0</v>
      </c>
      <c r="M342" s="244">
        <v>0</v>
      </c>
      <c r="N342" s="244">
        <v>0</v>
      </c>
      <c r="O342" s="244">
        <v>0</v>
      </c>
      <c r="P342" s="244">
        <v>0</v>
      </c>
      <c r="Q342" s="244">
        <v>0</v>
      </c>
      <c r="R342" s="244">
        <v>0</v>
      </c>
      <c r="S342" s="244">
        <v>0</v>
      </c>
      <c r="T342" s="63">
        <f t="shared" ref="T342" si="29">+SUM(G342:S342)/13</f>
        <v>0</v>
      </c>
    </row>
    <row r="343" spans="1:20" x14ac:dyDescent="0.3">
      <c r="A343" s="144">
        <f>+A342+1</f>
        <v>147</v>
      </c>
      <c r="B343" s="266" t="s">
        <v>718</v>
      </c>
      <c r="C343" s="27"/>
      <c r="E343" s="27">
        <v>336</v>
      </c>
      <c r="F343" s="314"/>
      <c r="G343" s="312"/>
      <c r="H343" s="308"/>
      <c r="I343" s="308"/>
      <c r="J343" s="308"/>
      <c r="K343" s="308"/>
      <c r="L343" s="308"/>
      <c r="M343" s="308"/>
      <c r="N343" s="308"/>
      <c r="O343" s="308"/>
      <c r="P343" s="308"/>
      <c r="Q343" s="308"/>
      <c r="R343" s="308"/>
      <c r="S343" s="308"/>
      <c r="T343" s="61">
        <v>0</v>
      </c>
    </row>
    <row r="344" spans="1:20" x14ac:dyDescent="0.3">
      <c r="A344" s="304"/>
      <c r="C344" s="27"/>
      <c r="E344" s="27"/>
      <c r="F344" s="314"/>
      <c r="G344" s="312"/>
      <c r="H344" s="308"/>
      <c r="I344" s="308"/>
      <c r="J344" s="308"/>
      <c r="K344" s="308"/>
      <c r="L344" s="308"/>
      <c r="M344" s="308"/>
      <c r="N344" s="308"/>
      <c r="O344" s="308"/>
      <c r="P344" s="308"/>
      <c r="Q344" s="308"/>
      <c r="R344" s="308"/>
      <c r="S344" s="308"/>
      <c r="T344" s="61"/>
    </row>
    <row r="345" spans="1:20" ht="21" thickBot="1" x14ac:dyDescent="0.35">
      <c r="A345" s="572"/>
      <c r="B345" s="572"/>
      <c r="C345" s="572"/>
      <c r="D345" s="572"/>
      <c r="E345" s="572"/>
      <c r="F345" s="572"/>
      <c r="G345" s="572"/>
      <c r="H345" s="572"/>
      <c r="I345" s="572"/>
      <c r="J345" s="572"/>
      <c r="K345" s="572"/>
      <c r="L345" s="572"/>
      <c r="M345" s="572"/>
      <c r="N345" s="572"/>
      <c r="O345" s="572"/>
      <c r="P345" s="572"/>
      <c r="Q345" s="572"/>
      <c r="R345" s="572"/>
      <c r="S345" s="572"/>
      <c r="T345" s="60"/>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4">
    <mergeCell ref="H240:S240"/>
    <mergeCell ref="H293:S293"/>
    <mergeCell ref="T223:U223"/>
    <mergeCell ref="H200:S200"/>
    <mergeCell ref="T204:U204"/>
    <mergeCell ref="H207:S207"/>
    <mergeCell ref="T217:U217"/>
    <mergeCell ref="H219:S219"/>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T161:U161"/>
  </mergeCells>
  <phoneticPr fontId="5"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operties>
  <ignoredErrors>
    <ignoredError sqref="T136:T137" formula="1"/>
    <ignoredError sqref="T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pageSetUpPr fitToPage="1"/>
  </sheetPr>
  <dimension ref="A1:U18"/>
  <sheetViews>
    <sheetView zoomScale="50" zoomScaleNormal="50" workbookViewId="0">
      <selection activeCell="F13" sqref="F13:R13"/>
    </sheetView>
  </sheetViews>
  <sheetFormatPr defaultColWidth="9.140625" defaultRowHeight="20.25" x14ac:dyDescent="0.3"/>
  <cols>
    <col min="1" max="1" width="17.7109375" style="266" customWidth="1"/>
    <col min="2" max="2" width="6.42578125" style="266" customWidth="1"/>
    <col min="3" max="3" width="120.28515625" style="266" customWidth="1"/>
    <col min="4" max="4" width="29.42578125" style="266" customWidth="1"/>
    <col min="5" max="5" width="17.7109375" style="304" customWidth="1"/>
    <col min="6" max="6" width="24" style="266" customWidth="1"/>
    <col min="7" max="7" width="19.7109375" style="266" customWidth="1"/>
    <col min="8" max="8" width="21.28515625" style="266" customWidth="1"/>
    <col min="9" max="9" width="20.7109375" style="266" customWidth="1"/>
    <col min="10" max="10" width="19" style="266" customWidth="1"/>
    <col min="11" max="11" width="20.42578125" style="266" customWidth="1"/>
    <col min="12" max="12" width="18.28515625" style="266" customWidth="1"/>
    <col min="13" max="13" width="21.7109375" style="266" customWidth="1"/>
    <col min="14" max="14" width="21.42578125" style="266" customWidth="1"/>
    <col min="15" max="15" width="22" style="266" customWidth="1"/>
    <col min="16" max="16" width="20.7109375" style="266" customWidth="1"/>
    <col min="17" max="17" width="21.42578125" style="266" customWidth="1"/>
    <col min="18" max="18" width="24.7109375" style="266" bestFit="1" customWidth="1"/>
    <col min="19" max="19" width="20.28515625" style="266" customWidth="1"/>
    <col min="20" max="20" width="28.140625" style="266" customWidth="1"/>
    <col min="21" max="21" width="17.42578125" style="266" customWidth="1"/>
    <col min="22" max="16384" width="9.140625" style="266"/>
  </cols>
  <sheetData>
    <row r="1" spans="1:21" x14ac:dyDescent="0.3">
      <c r="F1" s="302" t="str">
        <f>+'Appendix A'!A3</f>
        <v>Dayton Power and Light</v>
      </c>
    </row>
    <row r="2" spans="1:21" x14ac:dyDescent="0.3">
      <c r="F2" s="302" t="str">
        <f>+'Appendix A'!A4</f>
        <v>ATTACHMENT H-15A, Effective April 17, 2024; Docket No. ER24-1268</v>
      </c>
      <c r="S2" s="299"/>
    </row>
    <row r="3" spans="1:21" x14ac:dyDescent="0.3">
      <c r="F3" s="198"/>
    </row>
    <row r="4" spans="1:21" x14ac:dyDescent="0.3">
      <c r="D4" s="230"/>
      <c r="E4" s="248"/>
      <c r="F4" s="301" t="s">
        <v>719</v>
      </c>
      <c r="G4" s="230"/>
      <c r="H4" s="230"/>
    </row>
    <row r="5" spans="1:21" x14ac:dyDescent="0.3">
      <c r="A5" s="266" t="s">
        <v>411</v>
      </c>
    </row>
    <row r="6" spans="1:21" ht="21" thickBot="1" x14ac:dyDescent="0.35"/>
    <row r="7" spans="1:21" ht="52.5" customHeight="1" thickBot="1" x14ac:dyDescent="0.35">
      <c r="A7" s="342"/>
      <c r="B7" s="304"/>
      <c r="E7" s="302"/>
      <c r="F7" s="67" t="s">
        <v>511</v>
      </c>
      <c r="G7" s="678" t="s">
        <v>720</v>
      </c>
      <c r="H7" s="678"/>
      <c r="I7" s="678"/>
      <c r="J7" s="678"/>
      <c r="K7" s="678"/>
      <c r="L7" s="678"/>
      <c r="M7" s="678"/>
      <c r="N7" s="678"/>
      <c r="O7" s="678"/>
      <c r="P7" s="678"/>
      <c r="Q7" s="678"/>
      <c r="R7" s="679"/>
      <c r="T7" s="680" t="s">
        <v>721</v>
      </c>
      <c r="U7" s="680"/>
    </row>
    <row r="8" spans="1:21" ht="61.5" thickBot="1" x14ac:dyDescent="0.35">
      <c r="A8" s="156" t="s">
        <v>512</v>
      </c>
      <c r="B8" s="155" t="s">
        <v>513</v>
      </c>
      <c r="C8" s="155"/>
      <c r="D8" s="152" t="s">
        <v>1031</v>
      </c>
      <c r="E8" s="79" t="s">
        <v>722</v>
      </c>
      <c r="F8" s="66" t="s">
        <v>723</v>
      </c>
      <c r="G8" s="153" t="s">
        <v>517</v>
      </c>
      <c r="H8" s="153" t="s">
        <v>518</v>
      </c>
      <c r="I8" s="153" t="s">
        <v>519</v>
      </c>
      <c r="J8" s="153" t="s">
        <v>520</v>
      </c>
      <c r="K8" s="153" t="s">
        <v>382</v>
      </c>
      <c r="L8" s="153" t="s">
        <v>521</v>
      </c>
      <c r="M8" s="153" t="s">
        <v>522</v>
      </c>
      <c r="N8" s="153" t="s">
        <v>523</v>
      </c>
      <c r="O8" s="153" t="s">
        <v>524</v>
      </c>
      <c r="P8" s="153" t="s">
        <v>525</v>
      </c>
      <c r="Q8" s="153" t="s">
        <v>526</v>
      </c>
      <c r="R8" s="153" t="s">
        <v>724</v>
      </c>
      <c r="S8" s="59" t="s">
        <v>528</v>
      </c>
      <c r="T8" s="58" t="s">
        <v>1024</v>
      </c>
      <c r="U8" s="110" t="s">
        <v>725</v>
      </c>
    </row>
    <row r="9" spans="1:21" x14ac:dyDescent="0.3">
      <c r="A9" s="150"/>
      <c r="B9" s="149" t="s">
        <v>726</v>
      </c>
      <c r="C9" s="148"/>
      <c r="D9" s="148"/>
      <c r="E9" s="57"/>
      <c r="F9" s="145"/>
      <c r="G9" s="56"/>
      <c r="H9" s="56"/>
      <c r="I9" s="56"/>
      <c r="J9" s="56"/>
      <c r="K9" s="56"/>
      <c r="L9" s="56"/>
      <c r="M9" s="56"/>
      <c r="N9" s="56"/>
      <c r="O9" s="56"/>
      <c r="P9" s="56"/>
      <c r="Q9" s="56"/>
      <c r="R9" s="56"/>
      <c r="S9" s="145"/>
      <c r="T9" s="581"/>
      <c r="U9" s="128"/>
    </row>
    <row r="10" spans="1:21" x14ac:dyDescent="0.3">
      <c r="A10" s="144">
        <v>1</v>
      </c>
      <c r="B10" s="198"/>
      <c r="C10" s="577" t="s">
        <v>728</v>
      </c>
      <c r="D10" s="230" t="s">
        <v>1032</v>
      </c>
      <c r="E10" s="584" t="s">
        <v>727</v>
      </c>
      <c r="F10" s="55">
        <v>565965.82499999995</v>
      </c>
      <c r="G10" s="55">
        <v>889069.92499999993</v>
      </c>
      <c r="H10" s="55">
        <v>972272.82499999995</v>
      </c>
      <c r="I10" s="55">
        <v>972272.82499999995</v>
      </c>
      <c r="J10" s="55">
        <v>972272.82499999995</v>
      </c>
      <c r="K10" s="55">
        <v>972272.82499999995</v>
      </c>
      <c r="L10" s="55">
        <v>978849.87497556908</v>
      </c>
      <c r="M10" s="55">
        <v>985426.92495113821</v>
      </c>
      <c r="N10" s="55">
        <v>992003.97492670733</v>
      </c>
      <c r="O10" s="55">
        <v>998581.02490227646</v>
      </c>
      <c r="P10" s="55">
        <v>1005158.0748778456</v>
      </c>
      <c r="Q10" s="55">
        <v>1011735.1248534147</v>
      </c>
      <c r="R10" s="55">
        <v>0</v>
      </c>
      <c r="S10" s="140">
        <f t="shared" ref="S10:S17" si="0">AVERAGE(F10:R10)</f>
        <v>870452.46534515009</v>
      </c>
      <c r="T10" s="593" t="s">
        <v>1025</v>
      </c>
      <c r="U10" s="54">
        <v>46022</v>
      </c>
    </row>
    <row r="11" spans="1:21" x14ac:dyDescent="0.3">
      <c r="A11" s="144">
        <f t="shared" ref="A11:A14" si="1">+A10+1</f>
        <v>2</v>
      </c>
      <c r="B11" s="198"/>
      <c r="C11" s="577" t="s">
        <v>729</v>
      </c>
      <c r="D11" s="230" t="s">
        <v>1033</v>
      </c>
      <c r="E11" s="584" t="s">
        <v>727</v>
      </c>
      <c r="F11" s="55">
        <v>1481837.4</v>
      </c>
      <c r="G11" s="55">
        <v>1624581.0999999999</v>
      </c>
      <c r="H11" s="55">
        <v>1767324.7999999998</v>
      </c>
      <c r="I11" s="55">
        <v>1910068.4999999998</v>
      </c>
      <c r="J11" s="55">
        <v>2020068.4999999998</v>
      </c>
      <c r="K11" s="55">
        <v>2130068.5</v>
      </c>
      <c r="L11" s="55">
        <v>2259458.3353242916</v>
      </c>
      <c r="M11" s="55">
        <v>2388848.1706485832</v>
      </c>
      <c r="N11" s="55">
        <v>2518238.0059728748</v>
      </c>
      <c r="O11" s="55">
        <v>2647627.8412971664</v>
      </c>
      <c r="P11" s="55">
        <v>2777017.676621458</v>
      </c>
      <c r="Q11" s="55">
        <v>2796407.5119457496</v>
      </c>
      <c r="R11" s="55">
        <v>0</v>
      </c>
      <c r="S11" s="140">
        <f t="shared" si="0"/>
        <v>2024734.3339853943</v>
      </c>
      <c r="T11" s="593" t="s">
        <v>1025</v>
      </c>
      <c r="U11" s="54">
        <v>46022</v>
      </c>
    </row>
    <row r="12" spans="1:21" x14ac:dyDescent="0.3">
      <c r="A12" s="144">
        <f t="shared" si="1"/>
        <v>3</v>
      </c>
      <c r="B12" s="198"/>
      <c r="C12" s="577" t="s">
        <v>730</v>
      </c>
      <c r="D12" s="230" t="s">
        <v>1034</v>
      </c>
      <c r="E12" s="584" t="s">
        <v>727</v>
      </c>
      <c r="F12" s="55">
        <v>385249</v>
      </c>
      <c r="G12" s="55">
        <v>411832.33333333331</v>
      </c>
      <c r="H12" s="55">
        <v>438415.66666666663</v>
      </c>
      <c r="I12" s="55">
        <v>438415.66666666663</v>
      </c>
      <c r="J12" s="55">
        <v>438415.66666666663</v>
      </c>
      <c r="K12" s="55">
        <v>438415.66666666663</v>
      </c>
      <c r="L12" s="55">
        <v>438415.66666666663</v>
      </c>
      <c r="M12" s="55">
        <v>603415.66666666663</v>
      </c>
      <c r="N12" s="55">
        <v>768415.66666666663</v>
      </c>
      <c r="O12" s="55">
        <v>933415.66666666663</v>
      </c>
      <c r="P12" s="55">
        <v>1098415.6666666665</v>
      </c>
      <c r="Q12" s="55">
        <v>1263415.6666666665</v>
      </c>
      <c r="R12" s="55">
        <v>0</v>
      </c>
      <c r="S12" s="140">
        <f t="shared" si="0"/>
        <v>588941.38461538451</v>
      </c>
      <c r="T12" s="593" t="s">
        <v>1025</v>
      </c>
      <c r="U12" s="54">
        <v>46022</v>
      </c>
    </row>
    <row r="13" spans="1:21" x14ac:dyDescent="0.3">
      <c r="A13" s="144">
        <f t="shared" si="1"/>
        <v>4</v>
      </c>
      <c r="B13" s="198"/>
      <c r="C13" s="577" t="s">
        <v>731</v>
      </c>
      <c r="D13" s="230" t="s">
        <v>1035</v>
      </c>
      <c r="E13" s="584" t="s">
        <v>727</v>
      </c>
      <c r="F13" s="55">
        <v>9765049</v>
      </c>
      <c r="G13" s="55">
        <v>10040049</v>
      </c>
      <c r="H13" s="55">
        <v>10150049</v>
      </c>
      <c r="I13" s="55">
        <v>10150049</v>
      </c>
      <c r="J13" s="55">
        <v>10150049</v>
      </c>
      <c r="K13" s="55">
        <v>10150049</v>
      </c>
      <c r="L13" s="55">
        <v>10370049</v>
      </c>
      <c r="M13" s="55">
        <v>10370049</v>
      </c>
      <c r="N13" s="55">
        <v>10370049</v>
      </c>
      <c r="O13" s="55">
        <v>10370049</v>
      </c>
      <c r="P13" s="55">
        <v>10370049</v>
      </c>
      <c r="Q13" s="55">
        <v>10370049</v>
      </c>
      <c r="R13" s="55">
        <v>10420049</v>
      </c>
      <c r="S13" s="140">
        <f t="shared" si="0"/>
        <v>10234279.76923077</v>
      </c>
      <c r="T13" s="593" t="s">
        <v>1025</v>
      </c>
      <c r="U13" s="54">
        <v>46143</v>
      </c>
    </row>
    <row r="14" spans="1:21" x14ac:dyDescent="0.3">
      <c r="A14" s="144">
        <f t="shared" si="1"/>
        <v>5</v>
      </c>
      <c r="B14" s="198"/>
      <c r="C14" s="577" t="s">
        <v>732</v>
      </c>
      <c r="D14" s="230" t="s">
        <v>1036</v>
      </c>
      <c r="E14" s="584" t="s">
        <v>727</v>
      </c>
      <c r="F14" s="55">
        <v>6413205.7000000002</v>
      </c>
      <c r="G14" s="55">
        <v>6517705.7000000002</v>
      </c>
      <c r="H14" s="55">
        <v>6605705.7000000002</v>
      </c>
      <c r="I14" s="55">
        <v>6693705.7000000002</v>
      </c>
      <c r="J14" s="55">
        <v>6781705.7000000002</v>
      </c>
      <c r="K14" s="55">
        <v>6869705.7000000002</v>
      </c>
      <c r="L14" s="55">
        <v>6957705.7000000002</v>
      </c>
      <c r="M14" s="55">
        <v>7045705.7000000002</v>
      </c>
      <c r="N14" s="55">
        <v>7133705.7000000002</v>
      </c>
      <c r="O14" s="55">
        <v>7757240.7000000002</v>
      </c>
      <c r="P14" s="55">
        <v>8142240.7000000002</v>
      </c>
      <c r="Q14" s="55">
        <v>8527240.6999999993</v>
      </c>
      <c r="R14" s="55">
        <v>8527240.6999999993</v>
      </c>
      <c r="S14" s="140">
        <f t="shared" si="0"/>
        <v>7228678.0076923091</v>
      </c>
      <c r="T14" s="593" t="s">
        <v>1025</v>
      </c>
      <c r="U14" s="54">
        <v>46387</v>
      </c>
    </row>
    <row r="15" spans="1:21" x14ac:dyDescent="0.3">
      <c r="A15" s="144">
        <f>+A14+1</f>
        <v>6</v>
      </c>
      <c r="C15" s="577" t="s">
        <v>1029</v>
      </c>
      <c r="D15" s="230" t="s">
        <v>1037</v>
      </c>
      <c r="E15" s="585" t="s">
        <v>727</v>
      </c>
      <c r="F15" s="629">
        <v>924862</v>
      </c>
      <c r="G15" s="629">
        <v>924862</v>
      </c>
      <c r="H15" s="629">
        <v>924862</v>
      </c>
      <c r="I15" s="629">
        <v>924862</v>
      </c>
      <c r="J15" s="629">
        <v>924862</v>
      </c>
      <c r="K15" s="629">
        <v>924862</v>
      </c>
      <c r="L15" s="629">
        <v>924862</v>
      </c>
      <c r="M15" s="629">
        <v>924862</v>
      </c>
      <c r="N15" s="629">
        <v>924862</v>
      </c>
      <c r="O15" s="629">
        <v>924862</v>
      </c>
      <c r="P15" s="629">
        <v>924862</v>
      </c>
      <c r="Q15" s="629">
        <v>924862</v>
      </c>
      <c r="R15" s="629">
        <v>924862</v>
      </c>
      <c r="S15" s="140">
        <f t="shared" si="0"/>
        <v>924862</v>
      </c>
      <c r="T15" s="590" t="s">
        <v>1030</v>
      </c>
      <c r="U15" s="583" t="s">
        <v>929</v>
      </c>
    </row>
    <row r="16" spans="1:21" x14ac:dyDescent="0.3">
      <c r="A16" s="144">
        <f t="shared" ref="A16:A17" si="2">+A15+1</f>
        <v>7</v>
      </c>
      <c r="C16" s="577" t="s">
        <v>1028</v>
      </c>
      <c r="D16" s="230" t="s">
        <v>1038</v>
      </c>
      <c r="E16" s="585" t="s">
        <v>727</v>
      </c>
      <c r="F16" s="629">
        <v>830362</v>
      </c>
      <c r="G16" s="629">
        <v>830362</v>
      </c>
      <c r="H16" s="629">
        <v>830362</v>
      </c>
      <c r="I16" s="629">
        <v>830362</v>
      </c>
      <c r="J16" s="629">
        <v>830362</v>
      </c>
      <c r="K16" s="629">
        <v>830362</v>
      </c>
      <c r="L16" s="629">
        <v>830362</v>
      </c>
      <c r="M16" s="629">
        <v>830362</v>
      </c>
      <c r="N16" s="629">
        <v>830362</v>
      </c>
      <c r="O16" s="629">
        <v>830362</v>
      </c>
      <c r="P16" s="629">
        <v>830362</v>
      </c>
      <c r="Q16" s="629">
        <v>830362</v>
      </c>
      <c r="R16" s="629">
        <v>830362</v>
      </c>
      <c r="S16" s="140">
        <f t="shared" si="0"/>
        <v>830362</v>
      </c>
      <c r="T16" s="590" t="s">
        <v>1030</v>
      </c>
      <c r="U16" s="583" t="s">
        <v>929</v>
      </c>
    </row>
    <row r="17" spans="1:21" x14ac:dyDescent="0.3">
      <c r="A17" s="144">
        <f t="shared" si="2"/>
        <v>8</v>
      </c>
      <c r="C17" s="577" t="s">
        <v>733</v>
      </c>
      <c r="D17" s="230" t="s">
        <v>1039</v>
      </c>
      <c r="E17" s="584" t="s">
        <v>727</v>
      </c>
      <c r="F17" s="591">
        <v>633434.58571428573</v>
      </c>
      <c r="G17" s="591">
        <v>705945.17142857146</v>
      </c>
      <c r="H17" s="591">
        <v>778455.75714285718</v>
      </c>
      <c r="I17" s="591">
        <v>923073.54285714286</v>
      </c>
      <c r="J17" s="591">
        <v>1341480.5428571429</v>
      </c>
      <c r="K17" s="591">
        <v>1341480.5428571429</v>
      </c>
      <c r="L17" s="591">
        <v>1341480.5428571429</v>
      </c>
      <c r="M17" s="591">
        <v>1341480.5428571429</v>
      </c>
      <c r="N17" s="591">
        <v>1341480.5428571429</v>
      </c>
      <c r="O17" s="591">
        <v>1341480.5428571429</v>
      </c>
      <c r="P17" s="591">
        <v>2887350.1428571427</v>
      </c>
      <c r="Q17" s="591">
        <v>3200018.8178571425</v>
      </c>
      <c r="R17" s="591">
        <v>0</v>
      </c>
      <c r="S17" s="630">
        <f t="shared" si="0"/>
        <v>1321320.0980769231</v>
      </c>
      <c r="T17" s="593" t="s">
        <v>1025</v>
      </c>
      <c r="U17" s="54">
        <v>46022</v>
      </c>
    </row>
    <row r="18" spans="1:21" ht="21" thickBot="1" x14ac:dyDescent="0.35">
      <c r="A18" s="578">
        <f>+A17+1</f>
        <v>9</v>
      </c>
      <c r="B18" s="579" t="s">
        <v>145</v>
      </c>
      <c r="C18" s="580" t="s">
        <v>69</v>
      </c>
      <c r="D18" s="579" t="s">
        <v>145</v>
      </c>
      <c r="E18" s="586" t="s">
        <v>727</v>
      </c>
      <c r="F18" s="592">
        <f>+SUM(F10:F17)</f>
        <v>20999965.510714285</v>
      </c>
      <c r="G18" s="592">
        <f t="shared" ref="G18:R18" si="3">+SUM(G10:G17)</f>
        <v>21944407.229761906</v>
      </c>
      <c r="H18" s="592">
        <f t="shared" si="3"/>
        <v>22467447.748809524</v>
      </c>
      <c r="I18" s="592">
        <f t="shared" si="3"/>
        <v>22842809.23452381</v>
      </c>
      <c r="J18" s="592">
        <f t="shared" si="3"/>
        <v>23459216.23452381</v>
      </c>
      <c r="K18" s="592">
        <f t="shared" si="3"/>
        <v>23657216.23452381</v>
      </c>
      <c r="L18" s="592">
        <f t="shared" si="3"/>
        <v>24101183.119823672</v>
      </c>
      <c r="M18" s="592">
        <f t="shared" si="3"/>
        <v>24490150.005123533</v>
      </c>
      <c r="N18" s="592">
        <f t="shared" si="3"/>
        <v>24879116.890423391</v>
      </c>
      <c r="O18" s="592">
        <f t="shared" si="3"/>
        <v>25803618.775723252</v>
      </c>
      <c r="P18" s="592">
        <f t="shared" si="3"/>
        <v>28035455.261023112</v>
      </c>
      <c r="Q18" s="592">
        <f t="shared" si="3"/>
        <v>28924090.821322974</v>
      </c>
      <c r="R18" s="592">
        <f t="shared" si="3"/>
        <v>20702513.699999999</v>
      </c>
      <c r="S18" s="592">
        <f>+SUM(S10:S17)</f>
        <v>24023630.058945931</v>
      </c>
      <c r="T18" s="582" t="s">
        <v>145</v>
      </c>
      <c r="U18" s="582"/>
    </row>
  </sheetData>
  <mergeCells count="2">
    <mergeCell ref="G7:R7"/>
    <mergeCell ref="T7:U7"/>
  </mergeCells>
  <phoneticPr fontId="5" type="noConversion"/>
  <pageMargins left="0.7" right="0.7" top="0.75" bottom="0.75" header="0.3" footer="0.3"/>
  <pageSetup scale="28" orientation="landscape"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8" ma:contentTypeDescription="Create a new document." ma:contentTypeScope="" ma:versionID="9bce969b80be0e7452bf860544d7a586">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f3b890a301364e6d96ad59931ecd31b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Application xmlns="http://www.sap.com/cof/excel/application">
  <Version>2</Version>
  <Revision>2.7.001.82873</Revision>
</Applicatio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764223-8ACD-4B9C-80D6-F381497FC622}">
  <ds:schemaRefs>
    <ds:schemaRef ds:uri="http://www.w3.org/XML/1998/namespace"/>
    <ds:schemaRef ds:uri="http://purl.org/dc/terms/"/>
    <ds:schemaRef ds:uri="http://purl.org/dc/elements/1.1/"/>
    <ds:schemaRef ds:uri="http://schemas.openxmlformats.org/package/2006/metadata/core-properties"/>
    <ds:schemaRef ds:uri="105a3813-a66c-4ab3-a28a-39e52728d7ee"/>
    <ds:schemaRef ds:uri="http://purl.org/dc/dcmitype/"/>
    <ds:schemaRef ds:uri="2ebaaeb8-4f79-42c6-8194-1050aaa831e5"/>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9A123E2-86C0-44BE-BFE9-CBB8697603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a3813-a66c-4ab3-a28a-39e52728d7ee"/>
    <ds:schemaRef ds:uri="2ebaaeb8-4f79-42c6-8194-1050aaa83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0B8641-DBD3-4544-8D96-45B8AD3AF0B1}">
  <ds:schemaRefs>
    <ds:schemaRef ds:uri="http://www.sap.com/cof/excel/application"/>
  </ds:schemaRefs>
</ds:datastoreItem>
</file>

<file path=customXml/itemProps4.xml><?xml version="1.0" encoding="utf-8"?>
<ds:datastoreItem xmlns:ds="http://schemas.openxmlformats.org/officeDocument/2006/customXml" ds:itemID="{40EA9821-6124-429A-A9C4-EB1264D6A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19</vt:i4>
      </vt:variant>
      <vt:variant>
        <vt:lpstr>Named Ranges</vt:lpstr>
      </vt:variant>
      <vt:variant>
        <vt:i4>58</vt:i4>
      </vt:variant>
    </vt:vector>
  </HeadingPairs>
  <TitlesOfParts>
    <vt:vector size="77" baseType="lpstr">
      <vt:lpstr>Appendix A</vt:lpstr>
      <vt:lpstr>1A - ADIT Current Year</vt:lpstr>
      <vt:lpstr>1B - ADIT Proration</vt:lpstr>
      <vt:lpstr>1C - ADIT Prior Year</vt:lpstr>
      <vt:lpstr>1D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 Current Year'!Print_Area</vt:lpstr>
      <vt:lpstr>'1B - ADIT Proration'!Print_Area</vt:lpstr>
      <vt:lpstr>'1C - ADIT Prior Year'!Print_Area</vt:lpstr>
      <vt:lpstr>'1D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lpstr>'1A - ADIT Current Year'!Z_28948E05_8F34_4F1E_96FB_A80A6A844600_.wvu.PrintArea</vt:lpstr>
      <vt:lpstr>'1C - ADIT Prior Year'!Z_28948E05_8F34_4F1E_96FB_A80A6A844600_.wvu.PrintArea</vt:lpstr>
      <vt:lpstr>'3 - Revenue Credits'!Z_28948E05_8F34_4F1E_96FB_A80A6A844600_.wvu.PrintArea</vt:lpstr>
      <vt:lpstr>'Appendix A'!Z_28948E05_8F34_4F1E_96FB_A80A6A844600_.wvu.PrintArea</vt:lpstr>
      <vt:lpstr>'3 - Revenue Credits'!Z_3A38DF7A_C35E_4DD3_9893_26310A3EF836_.wvu.PrintArea</vt:lpstr>
      <vt:lpstr>'Appendix A'!Z_3A38DF7A_C35E_4DD3_9893_26310A3EF836_.wvu.PrintArea</vt:lpstr>
      <vt:lpstr>'1A - ADIT Current Year'!Z_416404B7_8533_4A12_ABD0_58CFDEB49D80_.wvu.PrintArea</vt:lpstr>
      <vt:lpstr>'1C - ADIT Prior Year'!Z_416404B7_8533_4A12_ABD0_58CFDEB49D80_.wvu.PrintArea</vt:lpstr>
      <vt:lpstr>'2 - Other Taxes'!Z_416404B7_8533_4A12_ABD0_58CFDEB49D80_.wvu.PrintArea</vt:lpstr>
      <vt:lpstr>'3 - Revenue Credits'!Z_416404B7_8533_4A12_ABD0_58CFDEB49D80_.wvu.PrintArea</vt:lpstr>
      <vt:lpstr>'4 - Cost Support'!Z_416404B7_8533_4A12_ABD0_58CFDEB49D80_.wvu.PrintArea</vt:lpstr>
      <vt:lpstr>'6A - NITS True-Up '!Z_416404B7_8533_4A12_ABD0_58CFDEB49D80_.wvu.PrintArea</vt:lpstr>
      <vt:lpstr>'6B - Schedule 12 True-Up'!Z_416404B7_8533_4A12_ABD0_58CFDEB49D80_.wvu.PrintArea</vt:lpstr>
      <vt:lpstr>'Appendix A'!Z_416404B7_8533_4A12_ABD0_58CFDEB49D80_.wvu.PrintArea</vt:lpstr>
      <vt:lpstr>'4 - Cost Support'!Z_416404B7_8533_4A12_ABD0_58CFDEB49D80_.wvu.PrintTitles</vt:lpstr>
      <vt:lpstr>'Appendix A'!Z_416404B7_8533_4A12_ABD0_58CFDEB49D80_.wvu.PrintTitles</vt:lpstr>
      <vt:lpstr>'3 - Revenue Credits'!Z_4C7C2344_134C_465A_ADEB_A5E96AAE2308_.wvu.PrintArea</vt:lpstr>
      <vt:lpstr>'Appendix A'!Z_4C7C2344_134C_465A_ADEB_A5E96AAE2308_.wvu.PrintArea</vt:lpstr>
      <vt:lpstr>'1A - ADIT Current Year'!Z_63011E91_4609_4523_98FE_FD252E915668_.wvu.PrintArea</vt:lpstr>
      <vt:lpstr>'1C - ADIT Prior Year'!Z_63011E91_4609_4523_98FE_FD252E915668_.wvu.PrintArea</vt:lpstr>
      <vt:lpstr>'1A - ADIT Current Year'!Z_6928E596_79BD_4CEC_9F0D_07E62D69B2A5_.wvu.PrintArea</vt:lpstr>
      <vt:lpstr>'1C - ADIT Prior Year'!Z_6928E596_79BD_4CEC_9F0D_07E62D69B2A5_.wvu.PrintArea</vt:lpstr>
      <vt:lpstr>'1A - ADIT Current Year'!Z_71B42B22_A376_44B5_B0C1_23FC1AA3DBA2_.wvu.PrintArea</vt:lpstr>
      <vt:lpstr>'1C - ADIT Prior Year'!Z_71B42B22_A376_44B5_B0C1_23FC1AA3DBA2_.wvu.PrintArea</vt:lpstr>
      <vt:lpstr>'3 - Revenue Credits'!Z_71B42B22_A376_44B5_B0C1_23FC1AA3DBA2_.wvu.PrintArea</vt:lpstr>
      <vt:lpstr>'Appendix A'!Z_71B42B22_A376_44B5_B0C1_23FC1AA3DBA2_.wvu.PrintArea</vt:lpstr>
      <vt:lpstr>'1A - ADIT Current Year'!Z_8FBB4DC9_2D51_4AB9_80D8_F8474B404C29_.wvu.PrintArea</vt:lpstr>
      <vt:lpstr>'1C - ADIT Prior Year'!Z_8FBB4DC9_2D51_4AB9_80D8_F8474B404C29_.wvu.PrintArea</vt:lpstr>
      <vt:lpstr>'1A - ADIT Current Year'!Z_B647CB7F_C846_4278_B6B1_1EF7F3C004F5_.wvu.PrintArea</vt:lpstr>
      <vt:lpstr>'1C - ADIT Prior Year'!Z_B647CB7F_C846_4278_B6B1_1EF7F3C004F5_.wvu.PrintArea</vt:lpstr>
      <vt:lpstr>'3 - Revenue Credits'!Z_DA967730_B71F_4038_B1B7_9D4790729C5D_.wvu.PrintArea</vt:lpstr>
      <vt:lpstr>'Appendix A'!Z_DA967730_B71F_4038_B1B7_9D4790729C5D_.wvu.PrintArea</vt:lpstr>
      <vt:lpstr>'1A - ADIT Current Year'!Z_DC91DEF3_837B_4BB9_A81E_3B78C5914E6C_.wvu.PrintArea</vt:lpstr>
      <vt:lpstr>'1C - ADIT Prior Year'!Z_DC91DEF3_837B_4BB9_A81E_3B78C5914E6C_.wvu.PrintArea</vt:lpstr>
      <vt:lpstr>'3 - Revenue Credits'!Z_DC91DEF3_837B_4BB9_A81E_3B78C5914E6C_.wvu.PrintArea</vt:lpstr>
      <vt:lpstr>'Appendix A'!Z_DC91DEF3_837B_4BB9_A81E_3B78C5914E6C_.wvu.PrintArea</vt:lpstr>
      <vt:lpstr>'3 - Revenue Credits'!Z_F96D6087_3330_4A81_95EC_26BA83722A49_.wvu.PrintArea</vt:lpstr>
      <vt:lpstr>'Appendix A'!Z_F96D6087_3330_4A81_95EC_26BA83722A49_.wvu.PrintArea</vt:lpstr>
      <vt:lpstr>'1A - ADIT Current Year'!Z_FAAD9AAC_1337_43AB_BF1F_CCF9DFCF5B78_.wvu.PrintArea</vt:lpstr>
      <vt:lpstr>'1C - ADIT Prior Year'!Z_FAAD9AAC_1337_43AB_BF1F_CCF9DFCF5B78_.wvu.PrintArea</vt:lpstr>
      <vt:lpstr>'3 - Revenue Credits'!Z_FAAD9AAC_1337_43AB_BF1F_CCF9DFCF5B78_.wvu.PrintArea</vt:lpstr>
      <vt:lpstr>'Appendix A'!Z_FAAD9AAC_1337_43AB_BF1F_CCF9DFCF5B78_.wvu.PrintArea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Howdeshelt</dc:creator>
  <cp:keywords/>
  <dc:description/>
  <cp:lastModifiedBy>Pamela Archer</cp:lastModifiedBy>
  <cp:revision/>
  <dcterms:created xsi:type="dcterms:W3CDTF">2022-06-15T04:44:48Z</dcterms:created>
  <dcterms:modified xsi:type="dcterms:W3CDTF">2024-11-18T18:03:41Z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