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ANALYSIS\Transource\Pennsylvania\2022 Projection\Filing Documents\"/>
    </mc:Choice>
  </mc:AlternateContent>
  <bookViews>
    <workbookView xWindow="276" yWindow="48" windowWidth="28620" windowHeight="6912" tabRatio="862"/>
  </bookViews>
  <sheets>
    <sheet name="Attachment H-29A" sheetId="1" r:id="rId1"/>
    <sheet name="1-Project Rev Req" sheetId="2" r:id="rId2"/>
    <sheet name="2-Incentive ROE" sheetId="3" r:id="rId3"/>
    <sheet name="3-Project True-up" sheetId="4" r:id="rId4"/>
    <sheet name="4- Rate Base" sheetId="5" r:id="rId5"/>
    <sheet name="4a-ADIT" sheetId="18" r:id="rId6"/>
    <sheet name="4b-Ending ADIT" sheetId="21" r:id="rId7"/>
    <sheet name="4c-ADIT Proration" sheetId="20" r:id="rId8"/>
    <sheet name="5-Return" sheetId="6" r:id="rId9"/>
    <sheet name="6 - True-Up Interest" sheetId="7" r:id="rId10"/>
    <sheet name="6a - True-up Interest Rate" sheetId="8" r:id="rId11"/>
    <sheet name="7 - PBOP" sheetId="9" r:id="rId12"/>
    <sheet name="8-Construction Debt" sheetId="10" r:id="rId13"/>
    <sheet name="9- Cost of Debt True-up" sheetId="11" r:id="rId14"/>
    <sheet name="10 -Depreciation Rates" sheetId="12" r:id="rId15"/>
    <sheet name="11-Corrections" sheetId="13" r:id="rId16"/>
    <sheet name="12 - Revenue Credits" sheetId="14" r:id="rId17"/>
    <sheet name="13 - 30.9 credits" sheetId="15" r:id="rId18"/>
  </sheets>
  <externalReferences>
    <externalReference r:id="rId19"/>
    <externalReference r:id="rId20"/>
    <externalReference r:id="rId21"/>
    <externalReference r:id="rId22"/>
  </externalReferences>
  <definedNames>
    <definedName name="_1E_1">#N/A</definedName>
    <definedName name="_31_Dec_00" localSheetId="6">#REF!</definedName>
    <definedName name="_31_Dec_00">#REF!</definedName>
    <definedName name="_31_Jan_01" localSheetId="6">#REF!</definedName>
    <definedName name="_31_Jan_01">#REF!</definedName>
    <definedName name="_Fill" localSheetId="6" hidden="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 localSheetId="6">#REF!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6">#REF!</definedName>
    <definedName name="CH_COS">#REF!</definedName>
    <definedName name="Columns" localSheetId="6">#REF!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 localSheetId="6">#REF!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[1]Permanent!$A$9:$O$20</definedName>
    <definedName name="DefaultCopy" localSheetId="6">#REF!</definedName>
    <definedName name="DefaultCopy">#REF!</definedName>
    <definedName name="DefaultPaste" localSheetId="6">#REF!</definedName>
    <definedName name="DefaultPaste">#REF!</definedName>
    <definedName name="delete" hidden="1">{#N/A,#N/A,FALSE,"CURRENT"}</definedName>
    <definedName name="detail" localSheetId="6">#REF!</definedName>
    <definedName name="detail">#REF!</definedName>
    <definedName name="dg" localSheetId="6">#REF!</definedName>
    <definedName name="dg">#REF!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'[2]Actual Gross Rev Req'!$K$156</definedName>
    <definedName name="HEADA" localSheetId="6">#REF!</definedName>
    <definedName name="HEADA">#REF!</definedName>
    <definedName name="HEADB" localSheetId="6">#REF!</definedName>
    <definedName name="HEADB" localSheetId="7">#REF!</definedName>
    <definedName name="HEADB">#REF!</definedName>
    <definedName name="HEADC" localSheetId="6">#REF!</definedName>
    <definedName name="HEADC" localSheetId="7">#REF!</definedName>
    <definedName name="HEADC">#REF!</definedName>
    <definedName name="HEADD" localSheetId="6">#REF!</definedName>
    <definedName name="HEADD" localSheetId="7">#REF!</definedName>
    <definedName name="HEADD">#REF!</definedName>
    <definedName name="itc" localSheetId="6">#REF!</definedName>
    <definedName name="itc">#REF!</definedName>
    <definedName name="kk" localSheetId="6">#REF!</definedName>
    <definedName name="kk">#REF!</definedName>
    <definedName name="limcount" hidden="1">1</definedName>
    <definedName name="Mgmt" localSheetId="6">[3]Current!#REF!</definedName>
    <definedName name="Mgmt">[3]Current!#REF!</definedName>
    <definedName name="months">[1]Permanent!$A$24:$A$35</definedName>
    <definedName name="new" localSheetId="6">#REF!</definedName>
    <definedName name="new">#REF!</definedName>
    <definedName name="NP" localSheetId="6">#REF!</definedName>
    <definedName name="NP">#REF!</definedName>
    <definedName name="NSP_COS" localSheetId="6">#REF!</definedName>
    <definedName name="NSP_COS">#REF!</definedName>
    <definedName name="PAGEA" localSheetId="6">#REF!</definedName>
    <definedName name="PAGEA">#REF!</definedName>
    <definedName name="PAGEB" localSheetId="6">#REF!</definedName>
    <definedName name="PAGEB" localSheetId="7">#REF!</definedName>
    <definedName name="PAGEB">#REF!</definedName>
    <definedName name="PAGEC" localSheetId="6">#REF!</definedName>
    <definedName name="PAGEC" localSheetId="7">#REF!</definedName>
    <definedName name="PAGEC">#REF!</definedName>
    <definedName name="PAGED" localSheetId="6">#REF!</definedName>
    <definedName name="PAGED" localSheetId="7">#REF!</definedName>
    <definedName name="PAGED">#REF!</definedName>
    <definedName name="_xlnm.Print_Area" localSheetId="15">'11-Corrections'!$A$1:$G$35</definedName>
    <definedName name="_xlnm.Print_Area" localSheetId="16">'12 - Revenue Credits'!$A$1:$G$42</definedName>
    <definedName name="_xlnm.Print_Area" localSheetId="17">'13 - 30.9 credits'!$A$1:$D$29</definedName>
    <definedName name="_xlnm.Print_Area" localSheetId="1">'1-Project Rev Req'!$A$1:$K$82,'1-Project Rev Req'!$L$46:$U$82</definedName>
    <definedName name="_xlnm.Print_Area" localSheetId="2">'2-Incentive ROE'!$A$1:$J$48</definedName>
    <definedName name="_xlnm.Print_Area" localSheetId="3">'3-Project True-up'!$A$1:$L$48</definedName>
    <definedName name="_xlnm.Print_Area" localSheetId="4">'4- Rate Base'!$A$1:$K$86</definedName>
    <definedName name="_xlnm.Print_Area" localSheetId="5">'4a-ADIT'!$A$1:$H$80</definedName>
    <definedName name="_xlnm.Print_Area" localSheetId="6">'4b-Ending ADIT'!$A$1:$H$88</definedName>
    <definedName name="_xlnm.Print_Area" localSheetId="8">'5-Return'!$A$1:$L$47</definedName>
    <definedName name="_xlnm.Print_Area" localSheetId="10">'6a - True-up Interest Rate'!$A$1:$H$35</definedName>
    <definedName name="_xlnm.Print_Area" localSheetId="12">'8-Construction Debt'!$A$1:$J$60</definedName>
    <definedName name="_xlnm.Print_Area" localSheetId="13">'9- Cost of Debt True-up'!$A$1:$G$39</definedName>
    <definedName name="Print1" localSheetId="6">#REF!</definedName>
    <definedName name="Print1">#REF!</definedName>
    <definedName name="Print3" localSheetId="6">#REF!</definedName>
    <definedName name="Print3">#REF!</definedName>
    <definedName name="Print4" localSheetId="6">#REF!</definedName>
    <definedName name="Print4">#REF!</definedName>
    <definedName name="Print5" localSheetId="6">#REF!</definedName>
    <definedName name="Print5">#REF!</definedName>
    <definedName name="ProjIDList" localSheetId="6">#REF!</definedName>
    <definedName name="ProjIDList">#REF!</definedName>
    <definedName name="PSCo_COS" localSheetId="6">#REF!</definedName>
    <definedName name="PSCo_COS">#REF!</definedName>
    <definedName name="q_MTEP06_App_AB_Facility" localSheetId="6">#REF!</definedName>
    <definedName name="q_MTEP06_App_AB_Facility">#REF!</definedName>
    <definedName name="q_MTEP06_App_AB_Projects" localSheetId="6">#REF!</definedName>
    <definedName name="q_MTEP06_App_AB_Projects">#REF!</definedName>
    <definedName name="revreq" localSheetId="6">#REF!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2" hidden="1">'8-Construction Debt'!#REF!</definedName>
    <definedName name="solver_adj" localSheetId="13" hidden="1">'9- Cost of Debt True-up'!#REF!</definedName>
    <definedName name="solver_cvg" localSheetId="12" hidden="1">0.0001</definedName>
    <definedName name="solver_cvg" localSheetId="13" hidden="1">0.0001</definedName>
    <definedName name="solver_drv" localSheetId="12" hidden="1">1</definedName>
    <definedName name="solver_drv" localSheetId="13" hidden="1">1</definedName>
    <definedName name="solver_eng" localSheetId="12" hidden="1">1</definedName>
    <definedName name="solver_eng" localSheetId="13" hidden="1">1</definedName>
    <definedName name="solver_est" localSheetId="12" hidden="1">1</definedName>
    <definedName name="solver_est" localSheetId="13" hidden="1">1</definedName>
    <definedName name="solver_itr" localSheetId="12" hidden="1">2147483647</definedName>
    <definedName name="solver_itr" localSheetId="13" hidden="1">2147483647</definedName>
    <definedName name="solver_mip" localSheetId="12" hidden="1">2147483647</definedName>
    <definedName name="solver_mip" localSheetId="13" hidden="1">2147483647</definedName>
    <definedName name="solver_mni" localSheetId="12" hidden="1">30</definedName>
    <definedName name="solver_mni" localSheetId="13" hidden="1">30</definedName>
    <definedName name="solver_mrt" localSheetId="12" hidden="1">0.075</definedName>
    <definedName name="solver_mrt" localSheetId="13" hidden="1">0.075</definedName>
    <definedName name="solver_msl" localSheetId="12" hidden="1">2</definedName>
    <definedName name="solver_msl" localSheetId="13" hidden="1">2</definedName>
    <definedName name="solver_neg" localSheetId="12" hidden="1">1</definedName>
    <definedName name="solver_neg" localSheetId="13" hidden="1">1</definedName>
    <definedName name="solver_nod" localSheetId="12" hidden="1">2147483647</definedName>
    <definedName name="solver_nod" localSheetId="13" hidden="1">2147483647</definedName>
    <definedName name="solver_num" localSheetId="12" hidden="1">0</definedName>
    <definedName name="solver_num" localSheetId="13" hidden="1">0</definedName>
    <definedName name="solver_nwt" localSheetId="12" hidden="1">1</definedName>
    <definedName name="solver_nwt" localSheetId="13" hidden="1">1</definedName>
    <definedName name="solver_opt" localSheetId="12" hidden="1">'8-Construction Debt'!#REF!</definedName>
    <definedName name="solver_opt" localSheetId="13" hidden="1">'9- Cost of Debt True-up'!#REF!</definedName>
    <definedName name="solver_pre" localSheetId="12" hidden="1">0.000001</definedName>
    <definedName name="solver_pre" localSheetId="13" hidden="1">0.000001</definedName>
    <definedName name="solver_rbv" localSheetId="12" hidden="1">1</definedName>
    <definedName name="solver_rbv" localSheetId="13" hidden="1">1</definedName>
    <definedName name="solver_rlx" localSheetId="12" hidden="1">2</definedName>
    <definedName name="solver_rlx" localSheetId="13" hidden="1">2</definedName>
    <definedName name="solver_rsd" localSheetId="12" hidden="1">0</definedName>
    <definedName name="solver_rsd" localSheetId="13" hidden="1">0</definedName>
    <definedName name="solver_scl" localSheetId="12" hidden="1">1</definedName>
    <definedName name="solver_scl" localSheetId="13" hidden="1">1</definedName>
    <definedName name="solver_sho" localSheetId="12" hidden="1">2</definedName>
    <definedName name="solver_sho" localSheetId="13" hidden="1">2</definedName>
    <definedName name="solver_ssz" localSheetId="12" hidden="1">100</definedName>
    <definedName name="solver_ssz" localSheetId="13" hidden="1">100</definedName>
    <definedName name="solver_tim" localSheetId="12" hidden="1">2147483647</definedName>
    <definedName name="solver_tim" localSheetId="13" hidden="1">2147483647</definedName>
    <definedName name="solver_tol" localSheetId="12" hidden="1">0.01</definedName>
    <definedName name="solver_tol" localSheetId="13" hidden="1">0.01</definedName>
    <definedName name="solver_typ" localSheetId="12" hidden="1">3</definedName>
    <definedName name="solver_typ" localSheetId="13" hidden="1">3</definedName>
    <definedName name="solver_val" localSheetId="12" hidden="1">200000000</definedName>
    <definedName name="solver_val" localSheetId="13" hidden="1">200000000</definedName>
    <definedName name="solver_ver" localSheetId="12" hidden="1">3</definedName>
    <definedName name="solver_ver" localSheetId="13" hidden="1">3</definedName>
    <definedName name="SPS_COS" localSheetId="6">#REF!</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 localSheetId="6">#REF!</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6">#REF!</definedName>
    <definedName name="Tota_Deferred">#REF!</definedName>
    <definedName name="tp" localSheetId="6">#REF!</definedName>
    <definedName name="tp">#REF!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WS">'[2]Actual Gross Rev Req'!$M$194</definedName>
    <definedName name="Xcel" localSheetId="6">'[4]Data Entry and Forecaster'!#REF!</definedName>
    <definedName name="Xcel">'[4]Data Entry and Forecaster'!#REF!</definedName>
    <definedName name="Xcel_COS" localSheetId="6">#REF!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5" hidden="1">'4a-ADIT'!#REF!</definedName>
    <definedName name="Z_28948E05_8F34_4F1E_96FB_A80A6A844600_.wvu.Cols" localSheetId="6" hidden="1">'4b-Ending ADIT'!#REF!</definedName>
    <definedName name="Z_28948E05_8F34_4F1E_96FB_A80A6A844600_.wvu.PrintArea" localSheetId="5" hidden="1">'4a-ADIT'!$B$1:$H$101</definedName>
    <definedName name="Z_28948E05_8F34_4F1E_96FB_A80A6A844600_.wvu.PrintArea" localSheetId="6" hidden="1">'4b-Ending ADIT'!$B$1:$H$109</definedName>
    <definedName name="Z_3768C7C8_9953_11DA_B318_000FB55D51DC_.wvu.PrintArea" localSheetId="16" hidden="1">'12 - Revenue Credits'!$A$5:$E$37</definedName>
    <definedName name="Z_3768C7C8_9953_11DA_B318_000FB55D51DC_.wvu.PrintArea" localSheetId="17" hidden="1">'13 - 30.9 credits'!$A$5:$E$29</definedName>
    <definedName name="Z_3BDD6235_B127_4929_8311_BDAF7BB89818_.wvu.PrintArea" localSheetId="16" hidden="1">'12 - Revenue Credits'!$A$5:$E$37</definedName>
    <definedName name="Z_3BDD6235_B127_4929_8311_BDAF7BB89818_.wvu.PrintArea" localSheetId="17" hidden="1">'13 - 30.9 credits'!$A$5:$E$29</definedName>
    <definedName name="Z_63011E91_4609_4523_98FE_FD252E915668_.wvu.Cols" localSheetId="5" hidden="1">'4a-ADIT'!#REF!</definedName>
    <definedName name="Z_63011E91_4609_4523_98FE_FD252E915668_.wvu.Cols" localSheetId="6" hidden="1">'4b-Ending ADIT'!#REF!</definedName>
    <definedName name="Z_63011E91_4609_4523_98FE_FD252E915668_.wvu.PrintArea" localSheetId="5" hidden="1">'4a-ADIT'!$B$1:$H$101</definedName>
    <definedName name="Z_63011E91_4609_4523_98FE_FD252E915668_.wvu.PrintArea" localSheetId="6" hidden="1">'4b-Ending ADIT'!$B$1:$H$109</definedName>
    <definedName name="Z_63AFAF34_E340_4B5E_A289_FFB7051CA9B6_.wvu.PrintArea" localSheetId="15" hidden="1">'11-Corrections'!$A$1:$G$31</definedName>
    <definedName name="Z_63AFAF34_E340_4B5E_A289_FFB7051CA9B6_.wvu.PrintArea" localSheetId="16" hidden="1">'12 - Revenue Credits'!$A$1:$G$42</definedName>
    <definedName name="Z_63AFAF34_E340_4B5E_A289_FFB7051CA9B6_.wvu.PrintArea" localSheetId="17" hidden="1">'13 - 30.9 credits'!$A$1:$D$34</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Base'!$A$1:$K$85</definedName>
    <definedName name="Z_63AFAF34_E340_4B5E_A289_FFB7051CA9B6_.wvu.PrintArea" localSheetId="8" hidden="1">'5-Return'!$A$1:$L$46</definedName>
    <definedName name="Z_63AFAF34_E340_4B5E_A289_FFB7051CA9B6_.wvu.PrintArea" localSheetId="10" hidden="1">'6a - True-up Interest Rate'!$A$1:$H$35</definedName>
    <definedName name="Z_63AFAF34_E340_4B5E_A289_FFB7051CA9B6_.wvu.PrintArea" localSheetId="12" hidden="1">'8-Construction Debt'!$A$1:$J$60</definedName>
    <definedName name="Z_63AFAF34_E340_4B5E_A289_FFB7051CA9B6_.wvu.PrintArea" localSheetId="13" hidden="1">'9- Cost of Debt True-up'!$A$1:$G$38</definedName>
    <definedName name="Z_6928E596_79BD_4CEC_9F0D_07E62D69B2A5_.wvu.Cols" localSheetId="5" hidden="1">'4a-ADIT'!#REF!</definedName>
    <definedName name="Z_6928E596_79BD_4CEC_9F0D_07E62D69B2A5_.wvu.Cols" localSheetId="6" hidden="1">'4b-Ending ADIT'!#REF!</definedName>
    <definedName name="Z_6928E596_79BD_4CEC_9F0D_07E62D69B2A5_.wvu.PrintArea" localSheetId="5" hidden="1">'4a-ADIT'!$B$1:$H$101</definedName>
    <definedName name="Z_6928E596_79BD_4CEC_9F0D_07E62D69B2A5_.wvu.PrintArea" localSheetId="6" hidden="1">'4b-Ending ADIT'!$B$1:$H$109</definedName>
    <definedName name="Z_71B42B22_A376_44B5_B0C1_23FC1AA3DBA2_.wvu.Cols" localSheetId="5" hidden="1">'4a-ADIT'!#REF!</definedName>
    <definedName name="Z_71B42B22_A376_44B5_B0C1_23FC1AA3DBA2_.wvu.Cols" localSheetId="6" hidden="1">'4b-Ending ADIT'!#REF!</definedName>
    <definedName name="Z_71B42B22_A376_44B5_B0C1_23FC1AA3DBA2_.wvu.PrintArea" localSheetId="5" hidden="1">'4a-ADIT'!$B$1:$H$101</definedName>
    <definedName name="Z_71B42B22_A376_44B5_B0C1_23FC1AA3DBA2_.wvu.PrintArea" localSheetId="6" hidden="1">'4b-Ending ADIT'!$B$1:$H$109</definedName>
    <definedName name="Z_8FBB4DC9_2D51_4AB9_80D8_F8474B404C29_.wvu.Cols" localSheetId="5" hidden="1">'4a-ADIT'!#REF!</definedName>
    <definedName name="Z_8FBB4DC9_2D51_4AB9_80D8_F8474B404C29_.wvu.Cols" localSheetId="6" hidden="1">'4b-Ending ADIT'!#REF!</definedName>
    <definedName name="Z_8FBB4DC9_2D51_4AB9_80D8_F8474B404C29_.wvu.PrintArea" localSheetId="5" hidden="1">'4a-ADIT'!$B$1:$H$101</definedName>
    <definedName name="Z_8FBB4DC9_2D51_4AB9_80D8_F8474B404C29_.wvu.PrintArea" localSheetId="6" hidden="1">'4b-Ending ADIT'!$B$1:$H$109</definedName>
    <definedName name="Z_B0241363_5C8A_48FC_89A6_56D55586BABE_.wvu.PrintArea" localSheetId="16" hidden="1">'12 - Revenue Credits'!$A$5:$E$37</definedName>
    <definedName name="Z_B0241363_5C8A_48FC_89A6_56D55586BABE_.wvu.PrintArea" localSheetId="17" hidden="1">'13 - 30.9 credits'!$A$5:$E$29</definedName>
    <definedName name="Z_B647CB7F_C846_4278_B6B1_1EF7F3C004F5_.wvu.Cols" localSheetId="5" hidden="1">'4a-ADIT'!#REF!</definedName>
    <definedName name="Z_B647CB7F_C846_4278_B6B1_1EF7F3C004F5_.wvu.Cols" localSheetId="6" hidden="1">'4b-Ending ADIT'!#REF!</definedName>
    <definedName name="Z_B647CB7F_C846_4278_B6B1_1EF7F3C004F5_.wvu.PrintArea" localSheetId="5" hidden="1">'4a-ADIT'!$B$1:$H$101</definedName>
    <definedName name="Z_B647CB7F_C846_4278_B6B1_1EF7F3C004F5_.wvu.PrintArea" localSheetId="6" hidden="1">'4b-Ending ADIT'!$B$1:$H$109</definedName>
    <definedName name="Z_C0EA0F9F_7310_4201_82C9_7B8FC8DB9137_.wvu.PrintArea" localSheetId="16" hidden="1">'12 - Revenue Credits'!$A$5:$E$37</definedName>
    <definedName name="Z_C0EA0F9F_7310_4201_82C9_7B8FC8DB9137_.wvu.PrintArea" localSheetId="17" hidden="1">'13 - 30.9 credits'!$A$5:$E$29</definedName>
    <definedName name="Z_DC91DEF3_837B_4BB9_A81E_3B78C5914E6C_.wvu.Cols" localSheetId="5" hidden="1">'4a-ADIT'!#REF!</definedName>
    <definedName name="Z_DC91DEF3_837B_4BB9_A81E_3B78C5914E6C_.wvu.Cols" localSheetId="6" hidden="1">'4b-Ending ADIT'!#REF!</definedName>
    <definedName name="Z_DC91DEF3_837B_4BB9_A81E_3B78C5914E6C_.wvu.PrintArea" localSheetId="5" hidden="1">'4a-ADIT'!$B$1:$H$101</definedName>
    <definedName name="Z_DC91DEF3_837B_4BB9_A81E_3B78C5914E6C_.wvu.PrintArea" localSheetId="6" hidden="1">'4b-Ending ADIT'!$B$1:$H$109</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2" hidden="1">'8-Construction Debt'!$A$1:$K$57</definedName>
    <definedName name="Z_F04A2B9A_C6FE_4FEB_AD1E_2CF9AC309BE4_.wvu.PrintArea" localSheetId="13" hidden="1">'9- Cost of Debt True-up'!$A$1:$K$38</definedName>
    <definedName name="Z_F04A2B9A_C6FE_4FEB_AD1E_2CF9AC309BE4_.wvu.PrintArea" localSheetId="0" hidden="1">'Attachment H-29A'!$A$1:$J$247</definedName>
    <definedName name="Z_F1DC5514_577A_46EB_866C_26F0BED2C286_.wvu.PrintArea" localSheetId="15" hidden="1">'11-Corrections'!$A$1:$G$35</definedName>
    <definedName name="Z_F1DC5514_577A_46EB_866C_26F0BED2C286_.wvu.PrintArea" localSheetId="16" hidden="1">'12 - Revenue Credits'!$A$1:$G$38</definedName>
    <definedName name="Z_F1DC5514_577A_46EB_866C_26F0BED2C286_.wvu.PrintArea" localSheetId="17" hidden="1">'13 - 30.9 credits'!$A$1:$G$30</definedName>
    <definedName name="Z_F1DC5514_577A_46EB_866C_26F0BED2C286_.wvu.PrintArea" localSheetId="1" hidden="1">'1-Project Rev Req'!$A$1:$U$82</definedName>
    <definedName name="Z_F1DC5514_577A_46EB_866C_26F0BED2C286_.wvu.PrintArea" localSheetId="3" hidden="1">'3-Project True-up'!$A$1:$L$46</definedName>
    <definedName name="Z_F1DC5514_577A_46EB_866C_26F0BED2C286_.wvu.PrintArea" localSheetId="4" hidden="1">'4- Rate Base'!$A$1:$J$84</definedName>
    <definedName name="Z_F1DC5514_577A_46EB_866C_26F0BED2C286_.wvu.PrintArea" localSheetId="8" hidden="1">'5-Return'!$A$1:$J$46</definedName>
    <definedName name="Z_F1DC5514_577A_46EB_866C_26F0BED2C286_.wvu.PrintArea" localSheetId="10" hidden="1">'6a - True-up Interest Rate'!$A$1:$H$35</definedName>
    <definedName name="Z_F1DC5514_577A_46EB_866C_26F0BED2C286_.wvu.PrintArea" localSheetId="12" hidden="1">'8-Construction Debt'!$A$1:$I$60</definedName>
    <definedName name="Z_F1DC5514_577A_46EB_866C_26F0BED2C286_.wvu.PrintArea" localSheetId="13" hidden="1">'9- Cost of Debt True-up'!$A$1:$G$38</definedName>
    <definedName name="Z_FAAD9AAC_1337_43AB_BF1F_CCF9DFCF5B78_.wvu.Cols" localSheetId="5" hidden="1">'4a-ADIT'!#REF!</definedName>
    <definedName name="Z_FAAD9AAC_1337_43AB_BF1F_CCF9DFCF5B78_.wvu.Cols" localSheetId="6" hidden="1">'4b-Ending ADIT'!#REF!</definedName>
    <definedName name="Z_FAAD9AAC_1337_43AB_BF1F_CCF9DFCF5B78_.wvu.PrintArea" localSheetId="5" hidden="1">'4a-ADIT'!$B$1:$H$101</definedName>
    <definedName name="Z_FAAD9AAC_1337_43AB_BF1F_CCF9DFCF5B78_.wvu.PrintArea" localSheetId="6" hidden="1">'4b-Ending ADIT'!$B$1:$H$109</definedName>
  </definedNames>
  <calcPr calcId="162913"/>
  <customWorkbookViews>
    <customWorkbookView name="Jim Martin - Personal View" guid="{63AFAF34-E340-4B5E-A289-FFB7051CA9B6}" mergeInterval="0" personalView="1" maximized="1" windowWidth="1465" windowHeight="908" tabRatio="829" activeSheetId="5" showComments="commIndAndComment"/>
    <customWorkbookView name="CKD - Personal View" guid="{F1DC5514-577A-46EB-866C-26F0BED2C286}" mergeInterval="0" personalView="1" maximized="1" windowWidth="1280" windowHeight="799" tabRatio="829" activeSheetId="6"/>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workbook>
</file>

<file path=xl/calcChain.xml><?xml version="1.0" encoding="utf-8"?>
<calcChain xmlns="http://schemas.openxmlformats.org/spreadsheetml/2006/main">
  <c r="A64" i="21" l="1"/>
  <c r="A65" i="21" s="1"/>
  <c r="A66" i="21" s="1"/>
  <c r="A67" i="21" s="1"/>
  <c r="A68" i="21" s="1"/>
  <c r="A59" i="18"/>
  <c r="A60" i="18" s="1"/>
  <c r="A61" i="18" s="1"/>
  <c r="A62" i="18" s="1"/>
  <c r="G205" i="1" l="1"/>
  <c r="D74" i="21" l="1"/>
  <c r="G50" i="21" l="1"/>
  <c r="F50" i="21"/>
  <c r="E50" i="21"/>
  <c r="E53" i="21" s="1"/>
  <c r="E56" i="21" s="1"/>
  <c r="D50" i="21"/>
  <c r="G49" i="18"/>
  <c r="F49" i="18"/>
  <c r="E49" i="18"/>
  <c r="E52" i="18" s="1"/>
  <c r="D49" i="18"/>
  <c r="C50" i="21" l="1"/>
  <c r="C49" i="18"/>
  <c r="E66" i="5" l="1"/>
  <c r="D154" i="1"/>
  <c r="H1" i="18"/>
  <c r="H1" i="21"/>
  <c r="I1" i="20"/>
  <c r="G85" i="21" l="1"/>
  <c r="F85" i="21"/>
  <c r="E85" i="21"/>
  <c r="D85" i="21"/>
  <c r="G69" i="21"/>
  <c r="F69" i="21"/>
  <c r="E69" i="21"/>
  <c r="D69" i="21"/>
  <c r="B36" i="21"/>
  <c r="G29" i="21"/>
  <c r="F29" i="21"/>
  <c r="E29" i="21"/>
  <c r="D29" i="21"/>
  <c r="B1" i="21"/>
  <c r="B35" i="21" s="1"/>
  <c r="E32" i="21" l="1"/>
  <c r="E88" i="21"/>
  <c r="E72" i="21"/>
  <c r="C29" i="21"/>
  <c r="C85" i="21"/>
  <c r="C69" i="21"/>
  <c r="D77" i="18"/>
  <c r="E74" i="21" l="1"/>
  <c r="A20" i="21"/>
  <c r="A21" i="21" s="1"/>
  <c r="A22" i="21" s="1"/>
  <c r="A23" i="21" s="1"/>
  <c r="A24" i="21" s="1"/>
  <c r="A25" i="21" s="1"/>
  <c r="A26" i="21" s="1"/>
  <c r="A27" i="21" s="1"/>
  <c r="A28" i="21" s="1"/>
  <c r="A1" i="20"/>
  <c r="F31" i="20"/>
  <c r="G31" i="20" s="1"/>
  <c r="G30" i="20"/>
  <c r="G29" i="20"/>
  <c r="G28" i="20"/>
  <c r="G27" i="20"/>
  <c r="G26" i="20"/>
  <c r="G25" i="20"/>
  <c r="G24" i="20"/>
  <c r="G23" i="20"/>
  <c r="G22" i="20"/>
  <c r="G21" i="20"/>
  <c r="G20" i="20"/>
  <c r="G19" i="20"/>
  <c r="A11" i="20"/>
  <c r="A12" i="20" s="1"/>
  <c r="B36" i="18"/>
  <c r="B35" i="18"/>
  <c r="B1" i="18"/>
  <c r="B34" i="18" s="1"/>
  <c r="G77" i="18"/>
  <c r="F77" i="18"/>
  <c r="E77" i="18"/>
  <c r="G64" i="18"/>
  <c r="F64" i="18"/>
  <c r="E64" i="18"/>
  <c r="E67" i="18" s="1"/>
  <c r="D64" i="18"/>
  <c r="G29" i="18"/>
  <c r="F29" i="18"/>
  <c r="E29" i="18"/>
  <c r="D29" i="18"/>
  <c r="A29" i="21" l="1"/>
  <c r="E80" i="18"/>
  <c r="E32" i="18"/>
  <c r="E13" i="20"/>
  <c r="A13" i="20"/>
  <c r="A19" i="20" s="1"/>
  <c r="A20" i="20" s="1"/>
  <c r="A21" i="20" s="1"/>
  <c r="A22" i="20" s="1"/>
  <c r="A23" i="20" s="1"/>
  <c r="A24" i="20" s="1"/>
  <c r="A25" i="20" s="1"/>
  <c r="A26" i="20" s="1"/>
  <c r="A27" i="20" s="1"/>
  <c r="A28" i="20" s="1"/>
  <c r="A29" i="20" s="1"/>
  <c r="A30" i="20" s="1"/>
  <c r="A31" i="20" s="1"/>
  <c r="A33" i="20" s="1"/>
  <c r="A35" i="20" s="1"/>
  <c r="E12" i="20"/>
  <c r="C64" i="18"/>
  <c r="C77" i="18"/>
  <c r="C29" i="18"/>
  <c r="A30" i="21" l="1"/>
  <c r="A31" i="21" s="1"/>
  <c r="A32" i="21" s="1"/>
  <c r="A48" i="21" s="1"/>
  <c r="A49" i="21" s="1"/>
  <c r="A50" i="21" s="1"/>
  <c r="A51" i="21" s="1"/>
  <c r="A52" i="21" s="1"/>
  <c r="A53" i="21" s="1"/>
  <c r="C19" i="20"/>
  <c r="B35" i="20"/>
  <c r="A54" i="21" l="1"/>
  <c r="A55" i="21" s="1"/>
  <c r="A56" i="21" s="1"/>
  <c r="A61" i="21" s="1"/>
  <c r="A62" i="21" s="1"/>
  <c r="A63" i="21" s="1"/>
  <c r="A69" i="21" s="1"/>
  <c r="A70" i="21" s="1"/>
  <c r="A71" i="21" s="1"/>
  <c r="A72" i="21" s="1"/>
  <c r="A73" i="21" s="1"/>
  <c r="A74" i="21" s="1"/>
  <c r="A79" i="21" s="1"/>
  <c r="D19" i="20"/>
  <c r="H19" i="20"/>
  <c r="I19" i="20" s="1"/>
  <c r="E10" i="20" l="1"/>
  <c r="A80" i="21"/>
  <c r="A81" i="21" s="1"/>
  <c r="A82" i="21" s="1"/>
  <c r="A83" i="21" s="1"/>
  <c r="A84" i="21" s="1"/>
  <c r="A85" i="21" s="1"/>
  <c r="A86" i="21" s="1"/>
  <c r="A87" i="21" s="1"/>
  <c r="A88" i="21" s="1"/>
  <c r="A20" i="18"/>
  <c r="A21" i="18" s="1"/>
  <c r="A22" i="18" s="1"/>
  <c r="A23" i="18" s="1"/>
  <c r="A24" i="18" s="1"/>
  <c r="A25" i="18" s="1"/>
  <c r="A26" i="18" s="1"/>
  <c r="A27" i="18" s="1"/>
  <c r="A28" i="18" s="1"/>
  <c r="A29" i="18" s="1"/>
  <c r="A30" i="18" l="1"/>
  <c r="A31" i="18" s="1"/>
  <c r="A32" i="18" s="1"/>
  <c r="E21" i="14"/>
  <c r="D21" i="14"/>
  <c r="F21" i="14" s="1"/>
  <c r="F20" i="14"/>
  <c r="F19" i="14"/>
  <c r="A47" i="18" l="1"/>
  <c r="A48" i="18" l="1"/>
  <c r="A49" i="18" s="1"/>
  <c r="A50" i="18" s="1"/>
  <c r="A51" i="18" s="1"/>
  <c r="A52" i="18" s="1"/>
  <c r="A57" i="18" s="1"/>
  <c r="A58" i="18" s="1"/>
  <c r="A63" i="18" s="1"/>
  <c r="A64" i="18" s="1"/>
  <c r="M59" i="2"/>
  <c r="E11" i="20" l="1"/>
  <c r="A65" i="18"/>
  <c r="A66" i="18" s="1"/>
  <c r="A67" i="18" s="1"/>
  <c r="A72" i="18" s="1"/>
  <c r="A73" i="18" s="1"/>
  <c r="A74" i="18" s="1"/>
  <c r="A75" i="18" s="1"/>
  <c r="A76" i="18" s="1"/>
  <c r="D9" i="9"/>
  <c r="D10" i="9" s="1"/>
  <c r="A77" i="18" l="1"/>
  <c r="A78" i="18" s="1"/>
  <c r="A79" i="18" s="1"/>
  <c r="A80" i="18" s="1"/>
  <c r="E10" i="9"/>
  <c r="E12" i="9"/>
  <c r="E32" i="8" l="1"/>
  <c r="E33" i="8" s="1"/>
  <c r="H21" i="6"/>
  <c r="H12" i="3" l="1"/>
  <c r="F5" i="2" l="1"/>
  <c r="D22" i="1" l="1"/>
  <c r="D11" i="9" l="1"/>
  <c r="A3" i="15" l="1"/>
  <c r="I22" i="1" l="1"/>
  <c r="D216" i="1" l="1"/>
  <c r="D175" i="1"/>
  <c r="D110" i="1"/>
  <c r="D56" i="1"/>
  <c r="A3" i="6" l="1"/>
  <c r="E46" i="5"/>
  <c r="E45" i="5"/>
  <c r="B3" i="5"/>
  <c r="E47" i="5" s="1"/>
  <c r="B3" i="3"/>
  <c r="A3" i="9" l="1"/>
  <c r="B41" i="7" l="1"/>
  <c r="B38" i="7"/>
  <c r="B23" i="7"/>
  <c r="B42" i="7" l="1"/>
  <c r="F31" i="14"/>
  <c r="E14" i="14" l="1"/>
  <c r="E29" i="14"/>
  <c r="E32" i="14" s="1"/>
  <c r="E34" i="14" s="1"/>
  <c r="F28" i="14"/>
  <c r="F26" i="14"/>
  <c r="F25" i="14"/>
  <c r="F24" i="14"/>
  <c r="F9" i="14"/>
  <c r="F10" i="14"/>
  <c r="F11" i="14"/>
  <c r="F12" i="14"/>
  <c r="F13" i="14"/>
  <c r="F8" i="14"/>
  <c r="D14" i="14"/>
  <c r="A8" i="14"/>
  <c r="A9" i="14" s="1"/>
  <c r="A10" i="14" s="1"/>
  <c r="A11" i="14" s="1"/>
  <c r="A12" i="14" s="1"/>
  <c r="A13" i="14" s="1"/>
  <c r="A14" i="14" s="1"/>
  <c r="E11" i="9"/>
  <c r="A19" i="14" l="1"/>
  <c r="A20" i="14" s="1"/>
  <c r="C210" i="1"/>
  <c r="F14" i="14"/>
  <c r="I210" i="1" l="1"/>
  <c r="A3" i="14"/>
  <c r="F19" i="13" l="1"/>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D66" i="5"/>
  <c r="A73" i="5" l="1"/>
  <c r="A72" i="5"/>
  <c r="A71" i="5"/>
  <c r="A27" i="4" l="1"/>
  <c r="A29" i="4" s="1"/>
  <c r="K25" i="4"/>
  <c r="E25" i="4"/>
  <c r="K21" i="4"/>
  <c r="L75" i="2"/>
  <c r="M75" i="2"/>
  <c r="L76" i="2"/>
  <c r="M76" i="2"/>
  <c r="L77" i="2"/>
  <c r="M77" i="2"/>
  <c r="L78" i="2"/>
  <c r="M78" i="2"/>
  <c r="L79" i="2"/>
  <c r="M79" i="2"/>
  <c r="L80" i="2"/>
  <c r="M80" i="2"/>
  <c r="L81" i="2"/>
  <c r="M81" i="2"/>
  <c r="L82" i="2"/>
  <c r="M82" i="2"/>
  <c r="M74" i="2"/>
  <c r="L74" i="2"/>
  <c r="L67" i="2"/>
  <c r="L65" i="2"/>
  <c r="L61" i="2"/>
  <c r="L64" i="2"/>
  <c r="L63" i="2"/>
  <c r="L60" i="2"/>
  <c r="L59" i="2"/>
  <c r="A69" i="2"/>
  <c r="L69" i="2" s="1"/>
  <c r="A67" i="2"/>
  <c r="R65" i="2"/>
  <c r="M65" i="2"/>
  <c r="I65" i="2"/>
  <c r="F65" i="2"/>
  <c r="R61" i="2"/>
  <c r="R69" i="2" s="1"/>
  <c r="M61" i="2"/>
  <c r="A31" i="4" l="1"/>
  <c r="C21" i="1"/>
  <c r="M69" i="2"/>
  <c r="A23" i="8"/>
  <c r="A24" i="8" s="1"/>
  <c r="A25" i="8" s="1"/>
  <c r="A26" i="8" s="1"/>
  <c r="A27" i="8" s="1"/>
  <c r="A28" i="8" s="1"/>
  <c r="A29" i="8" s="1"/>
  <c r="A30" i="8" s="1"/>
  <c r="A32" i="8" s="1"/>
  <c r="A33" i="8" s="1"/>
  <c r="A3" i="11"/>
  <c r="A3" i="10"/>
  <c r="D13" i="9" l="1"/>
  <c r="D15" i="9" s="1"/>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7" i="10"/>
  <c r="D14" i="11"/>
  <c r="D20" i="1" l="1"/>
  <c r="I20" i="1" s="1"/>
  <c r="D38" i="4"/>
  <c r="K17" i="4" s="1"/>
  <c r="K29" i="4" s="1"/>
  <c r="G40" i="6" l="1"/>
  <c r="F14" i="6" s="1"/>
  <c r="F40" i="6" l="1"/>
  <c r="F13" i="6" s="1"/>
  <c r="D40" i="6"/>
  <c r="F20" i="6" s="1"/>
  <c r="H20" i="6" l="1"/>
  <c r="G204" i="1" s="1"/>
  <c r="H11" i="3" s="1"/>
  <c r="D204" i="1"/>
  <c r="E11" i="3" s="1"/>
  <c r="F12" i="6"/>
  <c r="F17" i="7"/>
  <c r="F23" i="7" s="1"/>
  <c r="F24" i="7" s="1"/>
  <c r="F25" i="7" s="1"/>
  <c r="F26" i="7" s="1"/>
  <c r="F27" i="7" s="1"/>
  <c r="F28" i="7" s="1"/>
  <c r="F29" i="7" s="1"/>
  <c r="F30" i="7" s="1"/>
  <c r="F31" i="7" s="1"/>
  <c r="F32" i="7" s="1"/>
  <c r="F33" i="7" s="1"/>
  <c r="F34" i="7" s="1"/>
  <c r="A3" i="12"/>
  <c r="G34" i="12"/>
  <c r="H34" i="12" s="1"/>
  <c r="G33" i="12"/>
  <c r="H33" i="12" s="1"/>
  <c r="G32" i="12"/>
  <c r="H32" i="12" s="1"/>
  <c r="G31" i="12"/>
  <c r="H31" i="12" s="1"/>
  <c r="G30" i="12"/>
  <c r="H30" i="12" s="1"/>
  <c r="G29" i="12"/>
  <c r="H29" i="12" s="1"/>
  <c r="G28" i="12"/>
  <c r="H28" i="12" s="1"/>
  <c r="G27" i="12"/>
  <c r="H27" i="12" s="1"/>
  <c r="G26" i="12"/>
  <c r="H26" i="12" s="1"/>
  <c r="G22" i="12"/>
  <c r="H22" i="12" s="1"/>
  <c r="G21" i="12"/>
  <c r="H21" i="12" s="1"/>
  <c r="G20" i="12"/>
  <c r="H20" i="12" s="1"/>
  <c r="H19" i="12"/>
  <c r="G19" i="12"/>
  <c r="G18" i="12"/>
  <c r="H18" i="12" s="1"/>
  <c r="G17" i="12"/>
  <c r="H17" i="12" s="1"/>
  <c r="G16" i="12"/>
  <c r="H16" i="12" s="1"/>
  <c r="G15" i="12"/>
  <c r="H15" i="12" s="1"/>
  <c r="F41" i="7" l="1"/>
  <c r="F42" i="7" s="1"/>
  <c r="F43" i="7" s="1"/>
  <c r="F44" i="7" s="1"/>
  <c r="F45" i="7" s="1"/>
  <c r="F46" i="7" s="1"/>
  <c r="F47" i="7" s="1"/>
  <c r="F48" i="7" s="1"/>
  <c r="F49" i="7" s="1"/>
  <c r="F50" i="7" s="1"/>
  <c r="F51" i="7" s="1"/>
  <c r="F52" i="7" s="1"/>
  <c r="F38" i="7"/>
  <c r="I72" i="1"/>
  <c r="I67" i="1"/>
  <c r="I65" i="1"/>
  <c r="K72" i="5" l="1"/>
  <c r="K71" i="5"/>
  <c r="D126" i="1" l="1"/>
  <c r="E13" i="9"/>
  <c r="E15" i="9" s="1"/>
  <c r="F15" i="9" l="1"/>
  <c r="D128" i="1" s="1"/>
  <c r="I79" i="1"/>
  <c r="K73" i="5" l="1"/>
  <c r="D91" i="1" s="1"/>
  <c r="F73" i="5"/>
  <c r="G91" i="1" l="1"/>
  <c r="I91" i="1" s="1"/>
  <c r="F50" i="2" l="1"/>
  <c r="P50" i="2" s="1"/>
  <c r="F49" i="2"/>
  <c r="P49" i="2" s="1"/>
  <c r="F48" i="2"/>
  <c r="P48" i="2" s="1"/>
  <c r="I129" i="1"/>
  <c r="E17" i="3"/>
  <c r="E21" i="3" s="1"/>
  <c r="E28" i="3" s="1"/>
  <c r="A7" i="3"/>
  <c r="A10" i="3" s="1"/>
  <c r="A11" i="3" s="1"/>
  <c r="A12" i="3" s="1"/>
  <c r="A13" i="3" s="1"/>
  <c r="A14" i="3" s="1"/>
  <c r="U68" i="2"/>
  <c r="D3" i="8"/>
  <c r="A9" i="6"/>
  <c r="A11" i="6" s="1"/>
  <c r="A12" i="6" s="1"/>
  <c r="A13" i="6" s="1"/>
  <c r="D14" i="1"/>
  <c r="I42" i="5"/>
  <c r="D90" i="1" s="1"/>
  <c r="I139" i="1"/>
  <c r="E22" i="3"/>
  <c r="J23" i="5"/>
  <c r="D75" i="1" s="1"/>
  <c r="F129" i="1"/>
  <c r="I23" i="5"/>
  <c r="D73" i="1" s="1"/>
  <c r="D42" i="5"/>
  <c r="D94" i="1" s="1"/>
  <c r="I94" i="1" s="1"/>
  <c r="C42" i="5"/>
  <c r="D93" i="1" s="1"/>
  <c r="I93" i="1" s="1"/>
  <c r="H23" i="5"/>
  <c r="D102" i="1" s="1"/>
  <c r="G23" i="5"/>
  <c r="D101" i="1" s="1"/>
  <c r="F23" i="5"/>
  <c r="D97" i="1" s="1"/>
  <c r="C23" i="5"/>
  <c r="D66" i="1" s="1"/>
  <c r="I184" i="1" s="1"/>
  <c r="D58" i="1"/>
  <c r="D112" i="1" s="1"/>
  <c r="D177" i="1" s="1"/>
  <c r="D218" i="1" s="1"/>
  <c r="F119" i="1"/>
  <c r="F120" i="1" s="1"/>
  <c r="E23" i="3"/>
  <c r="D197" i="1"/>
  <c r="A185" i="1"/>
  <c r="A186" i="1" s="1"/>
  <c r="A187" i="1" s="1"/>
  <c r="A189" i="1" s="1"/>
  <c r="A191" i="1" s="1"/>
  <c r="A193" i="1" s="1"/>
  <c r="A119" i="1"/>
  <c r="A120" i="1" s="1"/>
  <c r="A121" i="1" s="1"/>
  <c r="A122" i="1" s="1"/>
  <c r="A123" i="1" s="1"/>
  <c r="A124" i="1" s="1"/>
  <c r="A125" i="1" s="1"/>
  <c r="A126" i="1" s="1"/>
  <c r="A14" i="1"/>
  <c r="A66" i="1"/>
  <c r="F93" i="1"/>
  <c r="F92" i="1" s="1"/>
  <c r="G196" i="1"/>
  <c r="G195" i="1"/>
  <c r="G193" i="1"/>
  <c r="D81" i="1"/>
  <c r="D79" i="1"/>
  <c r="G74" i="1"/>
  <c r="I74" i="1" s="1"/>
  <c r="I81" i="1" s="1"/>
  <c r="J110" i="1"/>
  <c r="J175" i="1"/>
  <c r="J216" i="1"/>
  <c r="J56" i="1"/>
  <c r="A14" i="6" l="1"/>
  <c r="A15" i="6" s="1"/>
  <c r="A19" i="6" s="1"/>
  <c r="A20" i="6" s="1"/>
  <c r="A21" i="6" s="1"/>
  <c r="A22" i="6" s="1"/>
  <c r="A27" i="6" s="1"/>
  <c r="A28" i="6" s="1"/>
  <c r="A29" i="6" s="1"/>
  <c r="A30" i="6" s="1"/>
  <c r="A31" i="6" s="1"/>
  <c r="A32" i="6" s="1"/>
  <c r="A33" i="6" s="1"/>
  <c r="A34" i="6" s="1"/>
  <c r="A35" i="6" s="1"/>
  <c r="A36" i="6" s="1"/>
  <c r="A37" i="6" s="1"/>
  <c r="A38" i="6" s="1"/>
  <c r="A39" i="6" s="1"/>
  <c r="A40" i="6" s="1"/>
  <c r="A15" i="1"/>
  <c r="A16" i="3"/>
  <c r="A17" i="3" s="1"/>
  <c r="B21" i="3" s="1"/>
  <c r="D158" i="1"/>
  <c r="A16" i="1"/>
  <c r="A17" i="1" s="1"/>
  <c r="C18" i="1" s="1"/>
  <c r="A194" i="1"/>
  <c r="A195" i="1" s="1"/>
  <c r="A196" i="1" s="1"/>
  <c r="A197" i="1" s="1"/>
  <c r="A127" i="1"/>
  <c r="A128" i="1" s="1"/>
  <c r="A129" i="1" s="1"/>
  <c r="A130" i="1" s="1"/>
  <c r="A131" i="1" s="1"/>
  <c r="A67" i="1"/>
  <c r="A68" i="1" s="1"/>
  <c r="A69" i="1" s="1"/>
  <c r="D76" i="1"/>
  <c r="I187" i="1"/>
  <c r="D80" i="1"/>
  <c r="E26" i="3"/>
  <c r="E27" i="3"/>
  <c r="I131" i="1"/>
  <c r="A18" i="3" l="1"/>
  <c r="B25" i="3" s="1"/>
  <c r="E205" i="1"/>
  <c r="F12" i="3" s="1"/>
  <c r="A132" i="1"/>
  <c r="A133" i="1" s="1"/>
  <c r="A134" i="1" s="1"/>
  <c r="C197" i="1"/>
  <c r="A18" i="1"/>
  <c r="A200" i="1"/>
  <c r="A201" i="1" s="1"/>
  <c r="A202" i="1" s="1"/>
  <c r="A203" i="1" s="1"/>
  <c r="A71" i="1"/>
  <c r="A72" i="1" s="1"/>
  <c r="C79" i="1" s="1"/>
  <c r="I189" i="1"/>
  <c r="A19" i="3"/>
  <c r="A20" i="3" s="1"/>
  <c r="A21" i="3" s="1"/>
  <c r="D163" i="1"/>
  <c r="D164" i="1"/>
  <c r="D165" i="1"/>
  <c r="A136" i="1" l="1"/>
  <c r="A137" i="1" s="1"/>
  <c r="A138" i="1" s="1"/>
  <c r="C100" i="1"/>
  <c r="A20" i="1"/>
  <c r="A21" i="1" s="1"/>
  <c r="E204" i="1"/>
  <c r="I20" i="6"/>
  <c r="E203" i="1"/>
  <c r="C133" i="1"/>
  <c r="A204" i="1"/>
  <c r="A205" i="1" s="1"/>
  <c r="A206" i="1" s="1"/>
  <c r="A208" i="1" s="1"/>
  <c r="A210" i="1" s="1"/>
  <c r="A73" i="1"/>
  <c r="A74" i="1" s="1"/>
  <c r="G127" i="1"/>
  <c r="G14" i="1"/>
  <c r="I14" i="1" s="1"/>
  <c r="G120" i="1"/>
  <c r="G97" i="1"/>
  <c r="G16" i="1"/>
  <c r="G137" i="1"/>
  <c r="G119" i="1"/>
  <c r="G73" i="1"/>
  <c r="G132" i="1"/>
  <c r="G118" i="1"/>
  <c r="G66" i="1"/>
  <c r="I66" i="1" s="1"/>
  <c r="G15" i="1"/>
  <c r="G101" i="1"/>
  <c r="G17" i="1"/>
  <c r="E194" i="1"/>
  <c r="G194" i="1" s="1"/>
  <c r="G197" i="1" s="1"/>
  <c r="A22" i="3"/>
  <c r="A23" i="3" s="1"/>
  <c r="A24" i="3" s="1"/>
  <c r="A25" i="3" s="1"/>
  <c r="C155" i="1" l="1"/>
  <c r="A22" i="1"/>
  <c r="A24" i="1" s="1"/>
  <c r="C24" i="1"/>
  <c r="F10" i="3"/>
  <c r="F11" i="3"/>
  <c r="I11" i="3" s="1"/>
  <c r="I204" i="1"/>
  <c r="C80" i="1"/>
  <c r="C14" i="1"/>
  <c r="A212" i="1"/>
  <c r="C15" i="1" s="1"/>
  <c r="C206" i="1"/>
  <c r="A139" i="1"/>
  <c r="C140" i="1" s="1"/>
  <c r="A75" i="1"/>
  <c r="C81" i="1"/>
  <c r="I101" i="1"/>
  <c r="I197" i="1"/>
  <c r="I17" i="1"/>
  <c r="I73" i="1"/>
  <c r="I80" i="1" s="1"/>
  <c r="I120" i="1"/>
  <c r="B26" i="3"/>
  <c r="B28" i="3"/>
  <c r="I97" i="1"/>
  <c r="I137" i="1"/>
  <c r="B27" i="3"/>
  <c r="A26" i="3"/>
  <c r="A27" i="3" s="1"/>
  <c r="A28" i="3" s="1"/>
  <c r="A29" i="3" s="1"/>
  <c r="A31" i="3" l="1"/>
  <c r="D31" i="3"/>
  <c r="G70" i="21"/>
  <c r="G72" i="21" s="1"/>
  <c r="G74" i="21" s="1"/>
  <c r="G30" i="21"/>
  <c r="G32" i="21" s="1"/>
  <c r="G86" i="21"/>
  <c r="G88" i="21" s="1"/>
  <c r="G54" i="21"/>
  <c r="G51" i="21"/>
  <c r="G53" i="21" s="1"/>
  <c r="G50" i="18"/>
  <c r="G52" i="18" s="1"/>
  <c r="G78" i="18"/>
  <c r="G80" i="18" s="1"/>
  <c r="G65" i="18"/>
  <c r="G67" i="18" s="1"/>
  <c r="G30" i="18"/>
  <c r="G32" i="18" s="1"/>
  <c r="G125" i="1"/>
  <c r="G124" i="1"/>
  <c r="A140" i="1"/>
  <c r="C82" i="1"/>
  <c r="A76" i="1"/>
  <c r="G145" i="1"/>
  <c r="G126" i="1"/>
  <c r="G144" i="1"/>
  <c r="G123" i="1"/>
  <c r="G68" i="1"/>
  <c r="G138" i="1"/>
  <c r="G122" i="1"/>
  <c r="G128" i="1"/>
  <c r="G121" i="1"/>
  <c r="G75" i="1"/>
  <c r="I75" i="1" s="1"/>
  <c r="I16" i="1"/>
  <c r="A33" i="3"/>
  <c r="B29" i="3"/>
  <c r="A34" i="3" l="1"/>
  <c r="A35" i="3" s="1"/>
  <c r="A36" i="3" s="1"/>
  <c r="A37" i="3" s="1"/>
  <c r="A38" i="3" s="1"/>
  <c r="G56" i="21"/>
  <c r="A142" i="1"/>
  <c r="A143" i="1" s="1"/>
  <c r="A144" i="1" s="1"/>
  <c r="A145" i="1" s="1"/>
  <c r="A146" i="1" s="1"/>
  <c r="A147" i="1" s="1"/>
  <c r="A148" i="1" s="1"/>
  <c r="A149" i="1" s="1"/>
  <c r="A150" i="1" s="1"/>
  <c r="A151" i="1" s="1"/>
  <c r="A153" i="1" s="1"/>
  <c r="A154" i="1" s="1"/>
  <c r="A78" i="1"/>
  <c r="A79" i="1" s="1"/>
  <c r="A80" i="1" s="1"/>
  <c r="C83" i="1"/>
  <c r="I76" i="1"/>
  <c r="I122" i="1"/>
  <c r="D36" i="3" l="1"/>
  <c r="D35" i="3"/>
  <c r="A81" i="1"/>
  <c r="A82" i="1" s="1"/>
  <c r="C151" i="1"/>
  <c r="B158" i="1"/>
  <c r="A155" i="1"/>
  <c r="A83" i="1"/>
  <c r="I123" i="1"/>
  <c r="I145" i="1"/>
  <c r="I144" i="1"/>
  <c r="A156" i="1" l="1"/>
  <c r="A157" i="1" s="1"/>
  <c r="A158" i="1" s="1"/>
  <c r="A85" i="1"/>
  <c r="A86" i="1" s="1"/>
  <c r="A87" i="1" s="1"/>
  <c r="A88" i="1" s="1"/>
  <c r="A89" i="1" s="1"/>
  <c r="A90" i="1" s="1"/>
  <c r="I126" i="1"/>
  <c r="I128" i="1"/>
  <c r="A159" i="1" l="1"/>
  <c r="A160" i="1" s="1"/>
  <c r="A161" i="1" s="1"/>
  <c r="A162" i="1" s="1"/>
  <c r="A91" i="1" l="1"/>
  <c r="A92" i="1" s="1"/>
  <c r="C165" i="1"/>
  <c r="C163" i="1"/>
  <c r="C164" i="1"/>
  <c r="A163" i="1"/>
  <c r="A164" i="1" s="1"/>
  <c r="A165" i="1" s="1"/>
  <c r="A166" i="1" s="1"/>
  <c r="A93" i="1" l="1"/>
  <c r="A94" i="1" s="1"/>
  <c r="C95" i="1" s="1"/>
  <c r="F15" i="2"/>
  <c r="A168" i="1"/>
  <c r="A169" i="1" s="1"/>
  <c r="C171" i="1" s="1"/>
  <c r="C166" i="1"/>
  <c r="F16" i="2" l="1"/>
  <c r="A95" i="1"/>
  <c r="A97" i="1"/>
  <c r="A99" i="1" s="1"/>
  <c r="A100" i="1" s="1"/>
  <c r="A101" i="1" s="1"/>
  <c r="A102" i="1" s="1"/>
  <c r="A103" i="1" s="1"/>
  <c r="A105" i="1" s="1"/>
  <c r="A171" i="1"/>
  <c r="C162" i="1"/>
  <c r="I21" i="6"/>
  <c r="C169" i="1" l="1"/>
  <c r="C5" i="3"/>
  <c r="C103" i="1"/>
  <c r="C105" i="1"/>
  <c r="I205" i="1"/>
  <c r="I12" i="3"/>
  <c r="A21" i="14" l="1"/>
  <c r="A24" i="14" l="1"/>
  <c r="A25" i="14" s="1"/>
  <c r="A26" i="14" s="1"/>
  <c r="A27" i="14" s="1"/>
  <c r="A28" i="14" s="1"/>
  <c r="A29" i="14" s="1"/>
  <c r="A30" i="14" l="1"/>
  <c r="A31" i="14" s="1"/>
  <c r="A32" i="14" s="1"/>
  <c r="C32" i="14"/>
  <c r="H12" i="20"/>
  <c r="H13" i="20" s="1"/>
  <c r="A34" i="14" l="1"/>
  <c r="C212" i="1" s="1"/>
  <c r="C34" i="14"/>
  <c r="C29" i="20"/>
  <c r="H29" i="20" s="1"/>
  <c r="C25" i="20"/>
  <c r="H25" i="20" s="1"/>
  <c r="C21" i="20"/>
  <c r="H21" i="20" s="1"/>
  <c r="C27" i="20"/>
  <c r="H27" i="20" s="1"/>
  <c r="C30" i="20"/>
  <c r="H30" i="20" s="1"/>
  <c r="C26" i="20"/>
  <c r="H26" i="20" s="1"/>
  <c r="C22" i="20"/>
  <c r="H22" i="20" s="1"/>
  <c r="C28" i="20"/>
  <c r="H28" i="20" s="1"/>
  <c r="C24" i="20"/>
  <c r="H24" i="20" s="1"/>
  <c r="C20" i="20"/>
  <c r="D20" i="20" s="1"/>
  <c r="C31" i="20"/>
  <c r="H31" i="20" s="1"/>
  <c r="C23" i="20"/>
  <c r="H23" i="20" s="1"/>
  <c r="H20" i="20" l="1"/>
  <c r="I20" i="20" s="1"/>
  <c r="I21" i="20" s="1"/>
  <c r="I22" i="20" s="1"/>
  <c r="I23" i="20" s="1"/>
  <c r="I24" i="20" s="1"/>
  <c r="I25" i="20" s="1"/>
  <c r="I26" i="20" s="1"/>
  <c r="I27" i="20" s="1"/>
  <c r="I28" i="20" s="1"/>
  <c r="I29" i="20" s="1"/>
  <c r="I30" i="20" s="1"/>
  <c r="I31" i="20" s="1"/>
  <c r="I33" i="20" s="1"/>
  <c r="D21" i="20"/>
  <c r="D22" i="20" l="1"/>
  <c r="D23" i="20" s="1"/>
  <c r="D24" i="20" s="1"/>
  <c r="D25" i="20" s="1"/>
  <c r="D26" i="20" s="1"/>
  <c r="D27" i="20" s="1"/>
  <c r="D28" i="20" s="1"/>
  <c r="D29" i="20" s="1"/>
  <c r="D30" i="20" s="1"/>
  <c r="D31" i="20" s="1"/>
  <c r="D33" i="20" s="1"/>
  <c r="I35" i="20" l="1"/>
  <c r="F73" i="21" l="1"/>
  <c r="C73" i="21" l="1"/>
  <c r="F54" i="5" l="1"/>
  <c r="F55" i="5"/>
  <c r="F56" i="5"/>
  <c r="F57" i="5"/>
  <c r="F58" i="5"/>
  <c r="F59" i="5"/>
  <c r="F60" i="5"/>
  <c r="F61" i="5"/>
  <c r="F62" i="5"/>
  <c r="F63" i="5"/>
  <c r="F64" i="5"/>
  <c r="F65" i="5"/>
  <c r="F53" i="5"/>
  <c r="D23" i="5" l="1"/>
  <c r="D68" i="1" s="1"/>
  <c r="D69" i="1" s="1"/>
  <c r="F66" i="5"/>
  <c r="C66" i="5" s="1"/>
  <c r="I68" i="1" l="1"/>
  <c r="I82" i="1" s="1"/>
  <c r="I83" i="1" s="1"/>
  <c r="D82" i="1"/>
  <c r="D83" i="1" s="1"/>
  <c r="G83" i="1" l="1"/>
  <c r="G89" i="1" s="1"/>
  <c r="I69" i="1"/>
  <c r="G69" i="1" s="1"/>
  <c r="G147" i="1" s="1"/>
  <c r="G165" i="1" l="1"/>
  <c r="I165" i="1" s="1"/>
  <c r="F31" i="21"/>
  <c r="F32" i="21" s="1"/>
  <c r="C32" i="21" s="1"/>
  <c r="G150" i="1"/>
  <c r="I150" i="1" s="1"/>
  <c r="G88" i="1"/>
  <c r="G164" i="1"/>
  <c r="I164" i="1" s="1"/>
  <c r="F66" i="18"/>
  <c r="F67" i="18" s="1"/>
  <c r="C67" i="18" s="1"/>
  <c r="F87" i="21"/>
  <c r="F88" i="21" s="1"/>
  <c r="C88" i="21" s="1"/>
  <c r="G149" i="1"/>
  <c r="I149" i="1" s="1"/>
  <c r="G87" i="1"/>
  <c r="F71" i="21"/>
  <c r="F72" i="21" s="1"/>
  <c r="F74" i="21" s="1"/>
  <c r="C74" i="21" s="1"/>
  <c r="G90" i="1"/>
  <c r="I90" i="1" s="1"/>
  <c r="F31" i="18"/>
  <c r="F32" i="18" s="1"/>
  <c r="C32" i="18" s="1"/>
  <c r="G163" i="1"/>
  <c r="I163" i="1" s="1"/>
  <c r="H26" i="3"/>
  <c r="I26" i="3" s="1"/>
  <c r="F79" i="18"/>
  <c r="F80" i="18" s="1"/>
  <c r="C80" i="18" s="1"/>
  <c r="G102" i="1"/>
  <c r="I102" i="1" s="1"/>
  <c r="F52" i="21"/>
  <c r="F53" i="21" s="1"/>
  <c r="C53" i="21" s="1"/>
  <c r="F55" i="21"/>
  <c r="F51" i="18"/>
  <c r="F52" i="18" s="1"/>
  <c r="C52" i="18" s="1"/>
  <c r="C72" i="21" l="1"/>
  <c r="F56" i="21"/>
  <c r="C56" i="21" s="1"/>
  <c r="H27" i="3"/>
  <c r="H28" i="3" s="1"/>
  <c r="I28" i="3" s="1"/>
  <c r="I27" i="3" l="1"/>
  <c r="E23" i="5"/>
  <c r="D92" i="1" s="1"/>
  <c r="I92" i="1" l="1"/>
  <c r="I15" i="2" l="1"/>
  <c r="I16" i="2"/>
  <c r="I59" i="2" s="1"/>
  <c r="I61" i="2" s="1"/>
  <c r="I69" i="2" s="1"/>
  <c r="F59" i="2" l="1"/>
  <c r="F61" i="2" s="1"/>
  <c r="F69" i="2" s="1"/>
  <c r="I127" i="1" l="1"/>
  <c r="I125" i="1"/>
  <c r="I124" i="1"/>
  <c r="I121" i="1"/>
  <c r="I119" i="1"/>
  <c r="I118" i="1"/>
  <c r="D140" i="1" l="1"/>
  <c r="I138" i="1"/>
  <c r="D151" i="1"/>
  <c r="I147" i="1"/>
  <c r="I151" i="1" s="1"/>
  <c r="I27" i="2" s="1"/>
  <c r="I28" i="2" s="1"/>
  <c r="K28" i="2" s="1"/>
  <c r="D133" i="1" l="1"/>
  <c r="D134" i="1" s="1"/>
  <c r="D100" i="1" s="1"/>
  <c r="D103" i="1" s="1"/>
  <c r="I132" i="1"/>
  <c r="I133" i="1" s="1"/>
  <c r="I134" i="1" s="1"/>
  <c r="I23" i="2"/>
  <c r="I24" i="2" s="1"/>
  <c r="K24" i="2" s="1"/>
  <c r="I140" i="1"/>
  <c r="I19" i="2" l="1"/>
  <c r="I20" i="2" s="1"/>
  <c r="K20" i="2" s="1"/>
  <c r="I100" i="1"/>
  <c r="I103" i="1" s="1"/>
  <c r="G42" i="5" l="1"/>
  <c r="D88" i="1" s="1"/>
  <c r="I88" i="1" s="1"/>
  <c r="E42" i="5"/>
  <c r="D86" i="1" s="1"/>
  <c r="H42" i="5" l="1"/>
  <c r="D89" i="1" s="1"/>
  <c r="I89" i="1" s="1"/>
  <c r="F42" i="5" l="1"/>
  <c r="D87" i="1" s="1"/>
  <c r="D95" i="1" s="1"/>
  <c r="D105" i="1" s="1"/>
  <c r="I87" i="1" l="1"/>
  <c r="I95" i="1" s="1"/>
  <c r="I105" i="1" s="1"/>
  <c r="J5" i="3" l="1"/>
  <c r="J37" i="3" l="1"/>
  <c r="D33" i="11" l="1"/>
  <c r="D35" i="11" s="1"/>
  <c r="A9" i="7" l="1"/>
  <c r="E21" i="4"/>
  <c r="E29" i="4" s="1"/>
  <c r="F24" i="4" l="1"/>
  <c r="G24" i="4" s="1"/>
  <c r="F19" i="4"/>
  <c r="G19" i="4" s="1"/>
  <c r="F23" i="4"/>
  <c r="G23" i="4" s="1"/>
  <c r="F17" i="4"/>
  <c r="F20" i="4"/>
  <c r="G20" i="4" s="1"/>
  <c r="G21" i="4" l="1"/>
  <c r="I19" i="4"/>
  <c r="G17" i="4"/>
  <c r="F29" i="4"/>
  <c r="G25" i="4"/>
  <c r="I17" i="4" l="1"/>
  <c r="G29" i="4"/>
  <c r="G48" i="10" l="1"/>
  <c r="G43" i="10"/>
  <c r="I43" i="10" s="1"/>
  <c r="G42" i="10"/>
  <c r="G41" i="10"/>
  <c r="G38" i="10"/>
  <c r="H32" i="10"/>
  <c r="H31" i="10"/>
  <c r="H30" i="10"/>
  <c r="H29" i="10"/>
  <c r="H28" i="10"/>
  <c r="H27" i="10"/>
  <c r="H26" i="10"/>
  <c r="H25" i="10"/>
  <c r="H23" i="10"/>
  <c r="H22" i="10"/>
  <c r="H21" i="10"/>
  <c r="F23" i="10" l="1"/>
  <c r="G23" i="10" s="1"/>
  <c r="F27" i="10"/>
  <c r="G27" i="10" s="1"/>
  <c r="F31" i="10"/>
  <c r="G31" i="10" s="1"/>
  <c r="F22" i="10"/>
  <c r="G22" i="10" s="1"/>
  <c r="F26" i="10"/>
  <c r="G26" i="10" s="1"/>
  <c r="F30" i="10"/>
  <c r="G30" i="10" s="1"/>
  <c r="H44" i="10"/>
  <c r="H51" i="10" s="1"/>
  <c r="I41" i="10"/>
  <c r="G40" i="10"/>
  <c r="I40" i="10" s="1"/>
  <c r="F20" i="10"/>
  <c r="G20" i="10" s="1"/>
  <c r="I42" i="10"/>
  <c r="F24" i="10"/>
  <c r="G24" i="10" s="1"/>
  <c r="F28" i="10"/>
  <c r="G28" i="10" s="1"/>
  <c r="F32" i="10"/>
  <c r="G32" i="10" s="1"/>
  <c r="D44" i="10"/>
  <c r="D51" i="10" s="1"/>
  <c r="G39" i="10"/>
  <c r="I39" i="10" s="1"/>
  <c r="I38" i="10"/>
  <c r="H20" i="10"/>
  <c r="E33" i="10"/>
  <c r="G52" i="10" s="1"/>
  <c r="F21" i="10"/>
  <c r="G21" i="10" s="1"/>
  <c r="F25" i="10"/>
  <c r="G25" i="10" s="1"/>
  <c r="F29" i="10"/>
  <c r="G29" i="10" s="1"/>
  <c r="C60" i="10"/>
  <c r="H24" i="10" s="1"/>
  <c r="H33" i="10" l="1"/>
  <c r="C40" i="6"/>
  <c r="F19" i="6" s="1"/>
  <c r="D203" i="1" s="1"/>
  <c r="G33" i="10"/>
  <c r="G44" i="10"/>
  <c r="G51" i="10" s="1"/>
  <c r="G53" i="10" s="1"/>
  <c r="D12" i="10" s="1"/>
  <c r="I44" i="10"/>
  <c r="I51" i="10" s="1"/>
  <c r="I33" i="10" l="1"/>
  <c r="D11" i="10" s="1"/>
  <c r="D13" i="10" s="1"/>
  <c r="H19" i="6" s="1"/>
  <c r="I19" i="6" s="1"/>
  <c r="I22" i="6" s="1"/>
  <c r="E10" i="3"/>
  <c r="G203" i="1" l="1"/>
  <c r="H10" i="3" s="1"/>
  <c r="I10" i="3" s="1"/>
  <c r="I13" i="3" s="1"/>
  <c r="I203" i="1" l="1"/>
  <c r="I206" i="1" s="1"/>
  <c r="D169" i="1" s="1"/>
  <c r="E18" i="3"/>
  <c r="J14" i="3"/>
  <c r="I169" i="1" l="1"/>
  <c r="J33" i="3" s="1"/>
  <c r="D155" i="1"/>
  <c r="D162" i="1" s="1"/>
  <c r="D166" i="1" s="1"/>
  <c r="D171" i="1" s="1"/>
  <c r="I25" i="3"/>
  <c r="I29" i="3" s="1"/>
  <c r="J29" i="3" s="1"/>
  <c r="J31" i="3" s="1"/>
  <c r="E40" i="6"/>
  <c r="F11" i="6" s="1"/>
  <c r="F15" i="6" s="1"/>
  <c r="F21" i="6" s="1"/>
  <c r="I40" i="2" l="1"/>
  <c r="I41" i="2" s="1"/>
  <c r="K41" i="2" s="1"/>
  <c r="I162" i="1"/>
  <c r="I166" i="1" s="1"/>
  <c r="D205" i="1"/>
  <c r="F22" i="6"/>
  <c r="J34" i="3" l="1"/>
  <c r="J35" i="3" s="1"/>
  <c r="J36" i="3" s="1"/>
  <c r="J38" i="3" s="1"/>
  <c r="I36" i="2"/>
  <c r="I37" i="2" s="1"/>
  <c r="I171" i="1"/>
  <c r="I11" i="1" s="1"/>
  <c r="D27" i="14" s="1"/>
  <c r="E12" i="3"/>
  <c r="E13" i="3" s="1"/>
  <c r="D206" i="1"/>
  <c r="D29" i="14" l="1"/>
  <c r="F27" i="14"/>
  <c r="D30" i="14"/>
  <c r="F30" i="14" s="1"/>
  <c r="K37" i="2"/>
  <c r="K43" i="2" s="1"/>
  <c r="I43" i="2"/>
  <c r="P63" i="2"/>
  <c r="P59" i="2"/>
  <c r="P64" i="2"/>
  <c r="P60" i="2"/>
  <c r="P61" i="2" l="1"/>
  <c r="J64" i="2"/>
  <c r="K64" i="2" s="1"/>
  <c r="J63" i="2"/>
  <c r="K63" i="2" s="1"/>
  <c r="J60" i="2"/>
  <c r="K60" i="2" s="1"/>
  <c r="J59" i="2"/>
  <c r="K59" i="2" s="1"/>
  <c r="P65" i="2"/>
  <c r="F29" i="14"/>
  <c r="D32" i="14"/>
  <c r="P69" i="2" l="1"/>
  <c r="K65" i="2"/>
  <c r="K61" i="2"/>
  <c r="F32" i="14"/>
  <c r="D34" i="14"/>
  <c r="K69" i="2" l="1"/>
  <c r="F34" i="14"/>
  <c r="I212" i="1"/>
  <c r="D15" i="1" s="1"/>
  <c r="D18" i="1" l="1"/>
  <c r="I15" i="1"/>
  <c r="I18" i="1" s="1"/>
  <c r="I30" i="2" s="1"/>
  <c r="I31" i="2" s="1"/>
  <c r="K31" i="2" s="1"/>
  <c r="K33" i="2" s="1"/>
  <c r="G60" i="2" l="1"/>
  <c r="H60" i="2" s="1"/>
  <c r="N60" i="2" s="1"/>
  <c r="G63" i="2"/>
  <c r="H63" i="2" s="1"/>
  <c r="G59" i="2"/>
  <c r="H59" i="2" s="1"/>
  <c r="G64" i="2"/>
  <c r="H64" i="2" s="1"/>
  <c r="N64" i="2" s="1"/>
  <c r="Q64" i="2" l="1"/>
  <c r="S64" i="2"/>
  <c r="H24" i="4" s="1"/>
  <c r="I24" i="4" s="1"/>
  <c r="H65" i="2"/>
  <c r="N63" i="2"/>
  <c r="N59" i="2"/>
  <c r="H61" i="2"/>
  <c r="S60" i="2"/>
  <c r="H20" i="4" s="1"/>
  <c r="Q60" i="2"/>
  <c r="H69" i="2" l="1"/>
  <c r="I20" i="4"/>
  <c r="I21" i="4" s="1"/>
  <c r="H21" i="4"/>
  <c r="Q63" i="2"/>
  <c r="Q65" i="2" s="1"/>
  <c r="S63" i="2"/>
  <c r="N65" i="2"/>
  <c r="N61" i="2"/>
  <c r="Q59" i="2"/>
  <c r="Q61" i="2" s="1"/>
  <c r="S59" i="2"/>
  <c r="S61" i="2" s="1"/>
  <c r="Q69" i="2" l="1"/>
  <c r="N69" i="2"/>
  <c r="H23" i="4"/>
  <c r="S65" i="2"/>
  <c r="S69" i="2" s="1"/>
  <c r="H25" i="4" l="1"/>
  <c r="H29" i="4" s="1"/>
  <c r="D9" i="7" s="1"/>
  <c r="G9" i="7" s="1"/>
  <c r="I23" i="4"/>
  <c r="I25" i="4" s="1"/>
  <c r="I29" i="4" s="1"/>
  <c r="I56" i="7" l="1"/>
  <c r="D23" i="7"/>
  <c r="D24" i="7" l="1"/>
  <c r="H23" i="7"/>
  <c r="K23" i="7" s="1"/>
  <c r="D25" i="7" l="1"/>
  <c r="H24" i="7"/>
  <c r="K24" i="7" s="1"/>
  <c r="H25" i="7" l="1"/>
  <c r="K25" i="7" s="1"/>
  <c r="D26" i="7"/>
  <c r="D27" i="7" l="1"/>
  <c r="H26" i="7"/>
  <c r="K26" i="7" s="1"/>
  <c r="H27" i="7" l="1"/>
  <c r="K27" i="7" s="1"/>
  <c r="D28" i="7"/>
  <c r="H28" i="7" l="1"/>
  <c r="K28" i="7" s="1"/>
  <c r="D29" i="7"/>
  <c r="D30" i="7" l="1"/>
  <c r="H29" i="7"/>
  <c r="K29" i="7" s="1"/>
  <c r="H30" i="7" l="1"/>
  <c r="K30" i="7" s="1"/>
  <c r="D31" i="7"/>
  <c r="D32" i="7" l="1"/>
  <c r="H31" i="7"/>
  <c r="K31" i="7" s="1"/>
  <c r="D33" i="7" l="1"/>
  <c r="H32" i="7"/>
  <c r="K32" i="7" s="1"/>
  <c r="H33" i="7" l="1"/>
  <c r="D34" i="7"/>
  <c r="H34" i="7" s="1"/>
  <c r="K34" i="7" s="1"/>
  <c r="K33" i="7" l="1"/>
  <c r="K35" i="7" s="1"/>
  <c r="D38" i="7" s="1"/>
  <c r="H38" i="7" s="1"/>
  <c r="K38" i="7" s="1"/>
  <c r="H35" i="7"/>
  <c r="I41" i="7" l="1"/>
  <c r="I42" i="7" s="1"/>
  <c r="I43" i="7" s="1"/>
  <c r="I44" i="7" s="1"/>
  <c r="I45" i="7" s="1"/>
  <c r="I46" i="7" s="1"/>
  <c r="I47" i="7" s="1"/>
  <c r="I48" i="7" s="1"/>
  <c r="I49" i="7" s="1"/>
  <c r="I50" i="7" s="1"/>
  <c r="I51" i="7" s="1"/>
  <c r="I52" i="7" s="1"/>
  <c r="I55" i="7" s="1"/>
  <c r="I57" i="7" s="1"/>
  <c r="J31" i="4" s="1"/>
  <c r="D41" i="7"/>
  <c r="H41" i="7" l="1"/>
  <c r="K41" i="7"/>
  <c r="D42" i="7" s="1"/>
  <c r="J24" i="4"/>
  <c r="L24" i="4" s="1"/>
  <c r="T64" i="2" s="1"/>
  <c r="U64" i="2" s="1"/>
  <c r="J20" i="4"/>
  <c r="L20" i="4" s="1"/>
  <c r="T60" i="2" s="1"/>
  <c r="U60" i="2" s="1"/>
  <c r="J19" i="4"/>
  <c r="J23" i="4"/>
  <c r="J17" i="4"/>
  <c r="L23" i="4" l="1"/>
  <c r="J25" i="4"/>
  <c r="L19" i="4"/>
  <c r="J21" i="4"/>
  <c r="H42" i="7"/>
  <c r="K42" i="7"/>
  <c r="D43" i="7" s="1"/>
  <c r="L17" i="4"/>
  <c r="J29" i="4" l="1"/>
  <c r="D21" i="1" s="1"/>
  <c r="I21" i="1" s="1"/>
  <c r="I24" i="1" s="1"/>
  <c r="H43" i="7"/>
  <c r="K43" i="7"/>
  <c r="D44" i="7" s="1"/>
  <c r="L21" i="4"/>
  <c r="T59" i="2"/>
  <c r="T63" i="2"/>
  <c r="L25" i="4"/>
  <c r="L29" i="4" l="1"/>
  <c r="U63" i="2"/>
  <c r="U65" i="2" s="1"/>
  <c r="T65" i="2"/>
  <c r="T61" i="2"/>
  <c r="U59" i="2"/>
  <c r="U61" i="2" s="1"/>
  <c r="K44" i="7"/>
  <c r="D45" i="7" s="1"/>
  <c r="H44" i="7"/>
  <c r="U69" i="2" l="1"/>
  <c r="T69" i="2"/>
  <c r="K45" i="7"/>
  <c r="D46" i="7" s="1"/>
  <c r="H45" i="7"/>
  <c r="K46" i="7" l="1"/>
  <c r="D47" i="7" s="1"/>
  <c r="H46" i="7"/>
  <c r="H47" i="7" l="1"/>
  <c r="K47" i="7"/>
  <c r="D48" i="7" s="1"/>
  <c r="K48" i="7" l="1"/>
  <c r="D49" i="7" s="1"/>
  <c r="H48" i="7"/>
  <c r="H49" i="7" l="1"/>
  <c r="K49" i="7"/>
  <c r="D50" i="7" s="1"/>
  <c r="H50" i="7" l="1"/>
  <c r="K50" i="7"/>
  <c r="D51" i="7" s="1"/>
  <c r="K51" i="7" l="1"/>
  <c r="D52" i="7" s="1"/>
  <c r="H51" i="7"/>
  <c r="H52" i="7" l="1"/>
  <c r="H53" i="7" s="1"/>
  <c r="K52" i="7"/>
</calcChain>
</file>

<file path=xl/comments1.xml><?xml version="1.0" encoding="utf-8"?>
<comments xmlns="http://schemas.openxmlformats.org/spreadsheetml/2006/main">
  <authors>
    <author>s199989</author>
  </authors>
  <commentList>
    <comment ref="T56" authorId="0" shapeId="0">
      <text>
        <r>
          <rPr>
            <b/>
            <sz val="9"/>
            <color indexed="81"/>
            <rFont val="Tahoma"/>
            <family val="2"/>
          </rPr>
          <t>s199989:</t>
        </r>
        <r>
          <rPr>
            <sz val="9"/>
            <color indexed="81"/>
            <rFont val="Tahoma"/>
            <family val="2"/>
          </rPr>
          <t xml:space="preserve">
Zero during true-up. Projection should reference most recent year true-up amount</t>
        </r>
      </text>
    </comment>
  </commentList>
</comments>
</file>

<file path=xl/comments2.xml><?xml version="1.0" encoding="utf-8"?>
<comments xmlns="http://schemas.openxmlformats.org/spreadsheetml/2006/main">
  <authors>
    <author>Doug Larson</author>
  </authors>
  <commentList>
    <comment ref="H19" authorId="0" shapeId="0">
      <text>
        <r>
          <rPr>
            <b/>
            <sz val="9"/>
            <color indexed="81"/>
            <rFont val="Tahoma"/>
            <family val="2"/>
          </rPr>
          <t>Doug Larson:</t>
        </r>
        <r>
          <rPr>
            <sz val="9"/>
            <color indexed="81"/>
            <rFont val="Tahoma"/>
            <family val="2"/>
          </rPr>
          <t xml:space="preserve">
=+'1-Project Rev Req'!S59</t>
        </r>
      </text>
    </comment>
  </commentList>
</comments>
</file>

<file path=xl/comments3.xml><?xml version="1.0" encoding="utf-8"?>
<comments xmlns="http://schemas.openxmlformats.org/spreadsheetml/2006/main">
  <authors>
    <author>Mary Williamson</author>
    <author>Jim Martin</author>
  </authors>
  <commentList>
    <comment ref="D9" authorId="0" shapeId="0">
      <text>
        <r>
          <rPr>
            <i/>
            <sz val="9"/>
            <color indexed="81"/>
            <rFont val="Tahoma"/>
            <family val="2"/>
          </rPr>
          <t>Jim Martin</t>
        </r>
        <r>
          <rPr>
            <b/>
            <sz val="9"/>
            <color indexed="81"/>
            <rFont val="Tahoma"/>
            <family val="2"/>
          </rPr>
          <t xml:space="preserve">
Inputs are from the CY Actuarial Reports (UMWA and Non-UMWA).  </t>
        </r>
      </text>
    </comment>
    <comment ref="E9" authorId="1" shapeId="0">
      <text>
        <r>
          <rPr>
            <b/>
            <sz val="9"/>
            <color indexed="81"/>
            <rFont val="Tahoma"/>
            <family val="2"/>
          </rPr>
          <t>Jim Martin:</t>
        </r>
        <r>
          <rPr>
            <sz val="9"/>
            <color indexed="81"/>
            <rFont val="Tahoma"/>
            <family val="2"/>
          </rPr>
          <t xml:space="preserve">
source - S. Busser affidavit from KCP&amp;L</t>
        </r>
      </text>
    </comment>
    <comment ref="D10" authorId="1" shapeId="0">
      <text>
        <r>
          <rPr>
            <b/>
            <sz val="9"/>
            <color indexed="81"/>
            <rFont val="Tahoma"/>
            <family val="2"/>
          </rPr>
          <t>Jim Martin:</t>
        </r>
        <r>
          <rPr>
            <sz val="9"/>
            <color indexed="81"/>
            <rFont val="Tahoma"/>
            <family val="2"/>
          </rPr>
          <t xml:space="preserve">
ratio of retired to total</t>
        </r>
      </text>
    </comment>
    <comment ref="E10" authorId="1" shapeId="0">
      <text>
        <r>
          <rPr>
            <b/>
            <sz val="9"/>
            <color indexed="81"/>
            <rFont val="Tahoma"/>
            <family val="2"/>
          </rPr>
          <t>Jim Martin:</t>
        </r>
        <r>
          <rPr>
            <sz val="9"/>
            <color indexed="81"/>
            <rFont val="Tahoma"/>
            <family val="2"/>
          </rPr>
          <t xml:space="preserve">
ratio of retired to total</t>
        </r>
      </text>
    </comment>
    <comment ref="E12" authorId="1" shapeId="0">
      <text>
        <r>
          <rPr>
            <b/>
            <sz val="9"/>
            <color indexed="81"/>
            <rFont val="Tahoma"/>
            <family val="2"/>
          </rPr>
          <t>Jim Martin:</t>
        </r>
        <r>
          <rPr>
            <sz val="9"/>
            <color indexed="81"/>
            <rFont val="Tahoma"/>
            <family val="2"/>
          </rPr>
          <t xml:space="preserve">
excludes wolf creek nuclear</t>
        </r>
      </text>
    </comment>
  </commentList>
</comments>
</file>

<file path=xl/sharedStrings.xml><?xml version="1.0" encoding="utf-8"?>
<sst xmlns="http://schemas.openxmlformats.org/spreadsheetml/2006/main" count="1611" uniqueCount="933">
  <si>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</si>
  <si>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</si>
  <si>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</si>
  <si>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</si>
  <si>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</si>
  <si>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</si>
  <si>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</si>
  <si>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</si>
  <si>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</si>
  <si>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</si>
  <si>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</si>
  <si>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</si>
  <si>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</si>
  <si>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</si>
  <si>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</si>
  <si>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</si>
  <si>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</si>
  <si>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</si>
  <si>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</si>
  <si>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</si>
  <si>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</si>
  <si>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</si>
  <si>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</si>
  <si>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</si>
  <si>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</si>
  <si>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</si>
  <si>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</si>
  <si>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</si>
  <si>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</si>
  <si>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</si>
  <si>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</si>
  <si>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</si>
  <si>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</si>
  <si>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</si>
  <si>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</si>
  <si>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</si>
  <si>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</si>
  <si>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</si>
  <si>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</si>
  <si>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</si>
  <si>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</si>
  <si>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</si>
  <si>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</si>
  <si>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</si>
  <si>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</si>
  <si>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</si>
  <si>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</si>
  <si>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</si>
  <si>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</si>
  <si>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</si>
  <si>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</si>
  <si>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</si>
  <si>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</si>
  <si>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</si>
  <si>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</si>
  <si>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</si>
  <si>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</si>
  <si>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</si>
  <si>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</si>
  <si>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</si>
  <si>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</si>
  <si>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</si>
  <si>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</si>
  <si>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</si>
  <si>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</si>
  <si>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</si>
  <si>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</si>
  <si>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</si>
  <si>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</si>
  <si>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</si>
  <si>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</si>
  <si>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</si>
  <si>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</si>
  <si>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</si>
  <si>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</si>
  <si>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</si>
  <si>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</si>
  <si>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</si>
  <si>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</si>
  <si>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</si>
  <si>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</si>
  <si>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</si>
  <si>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</si>
  <si>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</si>
  <si>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</si>
  <si>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</si>
  <si>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</si>
  <si>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</si>
  <si>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</si>
  <si>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255 (enter negative)</t>
  </si>
  <si>
    <t xml:space="preserve">  Prepayments (Account 165)</t>
  </si>
  <si>
    <t xml:space="preserve">  Amortization of Abandoned Plant</t>
  </si>
  <si>
    <t>June</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</si>
  <si>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</si>
  <si>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</si>
  <si>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</si>
  <si>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</si>
  <si>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</si>
  <si>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</si>
  <si>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</si>
  <si>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</si>
  <si>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</si>
  <si>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</si>
  <si>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</si>
  <si>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</si>
  <si>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</si>
  <si>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</si>
  <si>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</si>
  <si>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</si>
  <si>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</si>
  <si>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</si>
  <si>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</si>
  <si>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</si>
  <si>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</si>
  <si>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</si>
  <si>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</si>
  <si>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</si>
  <si>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</si>
  <si>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</si>
  <si>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</si>
  <si>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</si>
  <si>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</si>
  <si>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</si>
  <si>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</si>
  <si>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</si>
  <si>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</si>
  <si>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</si>
  <si>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</si>
  <si>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</si>
  <si>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</si>
  <si>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</si>
  <si>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</si>
  <si>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</si>
  <si>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</si>
  <si>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</si>
  <si>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</si>
  <si>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</si>
  <si>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</si>
  <si>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</si>
  <si>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</si>
  <si>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</si>
  <si>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</si>
  <si>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</si>
  <si>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</si>
  <si>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</si>
  <si>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</si>
  <si>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</si>
  <si>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</si>
  <si>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</si>
  <si>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</si>
  <si>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</si>
  <si>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</si>
  <si>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</si>
  <si>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</si>
  <si>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</si>
  <si>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</si>
  <si>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</si>
  <si>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</si>
  <si>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</si>
  <si>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</si>
  <si>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</si>
  <si>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</si>
  <si>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</si>
  <si>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</si>
  <si>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</si>
  <si>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</si>
  <si>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</si>
  <si>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</si>
  <si>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</si>
  <si>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</si>
  <si>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</si>
  <si>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</si>
  <si>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</si>
  <si>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</si>
  <si>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</si>
  <si>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</si>
  <si>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</si>
  <si>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</si>
  <si>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</si>
  <si>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</si>
  <si>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</si>
  <si>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</si>
  <si>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</si>
  <si>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</si>
  <si>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</si>
  <si>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</si>
  <si>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</si>
  <si>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</si>
  <si>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</si>
  <si>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</si>
  <si>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</si>
  <si>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</si>
  <si>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</si>
  <si>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</si>
  <si>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</si>
  <si>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</si>
  <si>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</si>
  <si>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</si>
  <si>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</si>
  <si>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</si>
  <si>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</si>
  <si>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</si>
  <si>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</si>
  <si>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</si>
  <si>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</si>
  <si>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</si>
  <si>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</si>
  <si>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</si>
  <si>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</si>
  <si>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</si>
  <si>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</si>
  <si>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</si>
  <si>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</si>
  <si>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</si>
  <si>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</si>
  <si>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</si>
  <si>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</si>
  <si>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</si>
  <si>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</si>
  <si>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</si>
  <si>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</si>
  <si>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</si>
  <si>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</si>
  <si>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</si>
  <si>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</si>
  <si>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</si>
  <si>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</si>
  <si>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</si>
  <si>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</si>
  <si>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</si>
  <si>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</si>
  <si>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</si>
  <si>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</si>
  <si>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</si>
  <si>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</si>
  <si>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</si>
  <si>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</si>
  <si>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</si>
  <si>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</si>
  <si>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</si>
  <si>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</si>
  <si>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</si>
  <si>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</si>
  <si>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</si>
  <si>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</si>
  <si>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</si>
  <si>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</si>
  <si>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</si>
  <si>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</si>
  <si>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</si>
  <si>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</si>
  <si>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</si>
  <si>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</si>
  <si>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</si>
  <si>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</si>
  <si>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</si>
  <si>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</si>
  <si>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</si>
  <si>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</si>
  <si>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</si>
  <si>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</si>
  <si>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</si>
  <si>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</si>
  <si>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</si>
  <si>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</si>
  <si>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</si>
  <si>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</si>
  <si>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</si>
  <si>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</si>
  <si>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</si>
  <si>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</si>
  <si>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</si>
  <si>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</si>
  <si>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</si>
  <si>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</si>
  <si>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</si>
  <si>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</si>
  <si>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</si>
  <si>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</si>
  <si>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</si>
  <si>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</si>
  <si>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</si>
  <si>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</si>
  <si>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</si>
  <si>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</si>
  <si>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</si>
  <si>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</si>
  <si>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</si>
  <si>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</si>
  <si>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</si>
  <si>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</si>
  <si>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</si>
  <si>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</si>
  <si>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</si>
  <si>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</si>
  <si>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</si>
  <si>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</si>
  <si>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</si>
  <si>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</si>
  <si>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</si>
  <si>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</si>
  <si>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</si>
  <si>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</si>
  <si>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</si>
  <si>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</si>
  <si>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</si>
  <si>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</si>
  <si>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</si>
  <si>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</si>
  <si>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</si>
  <si>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</si>
  <si>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</si>
  <si>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</si>
  <si>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</si>
  <si>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</si>
  <si>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</si>
  <si>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</si>
  <si>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</si>
  <si>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</si>
  <si>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</si>
  <si>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</si>
  <si>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</si>
  <si>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</si>
  <si>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Page 3 of 3</t>
  </si>
  <si>
    <t>Page 2 of 3</t>
  </si>
  <si>
    <t>Prior Period</t>
  </si>
  <si>
    <t xml:space="preserve"> Total  (W&amp; S Allocator is 1 if lines 7-10 are zero)</t>
  </si>
  <si>
    <t>Prior Period Adjustment</t>
  </si>
  <si>
    <t>RATE BASE: (Note R)</t>
  </si>
  <si>
    <t>(line 14 divided by line 2 col 3)</t>
  </si>
  <si>
    <t>3a</t>
  </si>
  <si>
    <t>3b</t>
  </si>
  <si>
    <t>Total True-Up</t>
  </si>
  <si>
    <t xml:space="preserve">(Federal Income Tax Rate) </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</si>
  <si>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</si>
  <si>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</si>
  <si>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</si>
  <si>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</si>
  <si>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</si>
  <si>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</si>
  <si>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</si>
  <si>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</si>
  <si>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</si>
  <si>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</si>
  <si>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</si>
  <si>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</si>
  <si>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</si>
  <si>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</si>
  <si>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</si>
  <si>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</si>
  <si>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</si>
  <si>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</si>
  <si>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</si>
  <si>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</si>
  <si>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</si>
  <si>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</si>
  <si>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</si>
  <si>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</si>
  <si>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</si>
  <si>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</si>
  <si>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</si>
  <si>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</si>
  <si>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</si>
  <si>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</si>
  <si>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</si>
  <si>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</si>
  <si>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</si>
  <si>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</si>
  <si>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</si>
  <si>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</si>
  <si>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</si>
  <si>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</si>
  <si>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</si>
  <si>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</si>
  <si>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</si>
  <si>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</si>
  <si>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</si>
  <si>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</si>
  <si>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</si>
  <si>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</si>
  <si>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</si>
  <si>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</si>
  <si>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</si>
  <si>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</si>
  <si>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</si>
  <si>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</si>
  <si>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</si>
  <si>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</si>
  <si>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</si>
  <si>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</si>
  <si>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</si>
  <si>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</si>
  <si>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</si>
  <si>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</si>
  <si>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</si>
  <si>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</si>
  <si>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</si>
  <si>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</si>
  <si>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</si>
  <si>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</si>
  <si>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</si>
  <si>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Gross Fee Amount ($000)</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</si>
  <si>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</si>
  <si>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</si>
  <si>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</si>
  <si>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</si>
  <si>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</si>
  <si>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</si>
  <si>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</si>
  <si>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</si>
  <si>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</si>
  <si>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</si>
  <si>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</si>
  <si>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</si>
  <si>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</si>
  <si>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</si>
  <si>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</si>
  <si>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</si>
  <si>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</si>
  <si>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</si>
  <si>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</si>
  <si>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</si>
  <si>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</si>
  <si>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</si>
  <si>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</si>
  <si>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</si>
  <si>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</si>
  <si>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</si>
  <si>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</si>
  <si>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</si>
  <si>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</si>
  <si>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</si>
  <si>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</si>
  <si>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</si>
  <si>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</si>
  <si>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</si>
  <si>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</si>
  <si>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</si>
  <si>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</si>
  <si>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</si>
  <si>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</si>
  <si>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</si>
  <si>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</si>
  <si>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</si>
  <si>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</si>
  <si>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</si>
  <si>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</si>
  <si>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</si>
  <si>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</si>
  <si>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</si>
  <si>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</si>
  <si>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</si>
  <si>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Attachment 5, (Notes Q &amp; R)</t>
  </si>
  <si>
    <t>Undistributed Sub Earnings 216.1 (112.12.c)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</si>
  <si>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</si>
  <si>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</si>
  <si>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</si>
  <si>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</si>
  <si>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</si>
  <si>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</si>
  <si>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</si>
  <si>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</si>
  <si>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</si>
  <si>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</si>
  <si>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Principal  Drawn ($000)</t>
  </si>
  <si>
    <t>Unutilized Loan Balance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</si>
  <si>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</si>
  <si>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</si>
  <si>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</si>
  <si>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</si>
  <si>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</si>
  <si>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</si>
  <si>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</si>
  <si>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</si>
  <si>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</si>
  <si>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</si>
  <si>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</si>
  <si>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</si>
  <si>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</si>
  <si>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</si>
  <si>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</si>
  <si>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</si>
  <si>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</si>
  <si>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</si>
  <si>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</si>
  <si>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</si>
  <si>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</si>
  <si>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</si>
  <si>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</si>
  <si>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</si>
  <si>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</si>
  <si>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</si>
  <si>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</si>
  <si>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</si>
  <si>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</si>
  <si>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</si>
  <si>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</si>
  <si>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</si>
  <si>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</si>
  <si>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</si>
  <si>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</si>
  <si>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</si>
  <si>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</si>
  <si>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</si>
  <si>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</si>
  <si>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</si>
  <si>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</si>
  <si>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(Sum of Lines 1 through 4)</t>
  </si>
  <si>
    <t>Total G &amp; I Depreciation Expense</t>
  </si>
  <si>
    <t>GENERAL AND INTANGIBLE (G &amp; I) DEPRECIATION EXPENSE</t>
  </si>
  <si>
    <t>Total  (sum lines 3-5)</t>
  </si>
  <si>
    <t>(Note B)</t>
  </si>
  <si>
    <t xml:space="preserve">D </t>
  </si>
  <si>
    <t>Attachment 4, Line 28, Col. (d) (Note D)</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</si>
  <si>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</si>
  <si>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</si>
  <si>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</si>
  <si>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</si>
  <si>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</si>
  <si>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</si>
  <si>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</si>
  <si>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</si>
  <si>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</si>
  <si>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</si>
  <si>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</si>
  <si>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</si>
  <si>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</si>
  <si>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</si>
  <si>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</si>
  <si>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</si>
  <si>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</si>
  <si>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</si>
  <si>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</si>
  <si>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</si>
  <si>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</si>
  <si>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</si>
  <si>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</si>
  <si>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</si>
  <si>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</si>
  <si>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</si>
  <si>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</si>
  <si>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</si>
  <si>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</si>
  <si>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</si>
  <si>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</si>
  <si>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</si>
  <si>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</si>
  <si>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</si>
  <si>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</si>
  <si>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</si>
  <si>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RTEP Project Number Or Other Identifier</t>
  </si>
  <si>
    <t>(Note I)</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</si>
  <si>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</si>
  <si>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</si>
  <si>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</si>
  <si>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</si>
  <si>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</si>
  <si>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</si>
  <si>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</si>
  <si>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</si>
  <si>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</si>
  <si>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</si>
  <si>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</si>
  <si>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(Sum of Lines 1, 4, 10, 11, 12, 16 less Lines 2, 3, 5-9)</t>
  </si>
  <si>
    <t xml:space="preserve">    Misc. Transmission Expense (less amort. of regulatory asset)</t>
  </si>
  <si>
    <t>(page 3, line 49)</t>
  </si>
  <si>
    <t xml:space="preserve">     Plus Transmission Lease Payments in Acct 565</t>
  </si>
  <si>
    <t>1 / (1 - T), T from Line 34</t>
  </si>
  <si>
    <t>13 Month Average</t>
  </si>
  <si>
    <t>Net Revenue Requirement</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</si>
  <si>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</si>
  <si>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</si>
  <si>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</si>
  <si>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</si>
  <si>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</si>
  <si>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</si>
  <si>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</si>
  <si>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</si>
  <si>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</si>
  <si>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</si>
  <si>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</si>
  <si>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</si>
  <si>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</si>
  <si>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</si>
  <si>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</si>
  <si>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</si>
  <si>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</si>
  <si>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</si>
  <si>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</si>
  <si>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</si>
  <si>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</si>
  <si>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</si>
  <si>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</si>
  <si>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</si>
  <si>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</si>
  <si>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True-Up Cost of Debt (Line 3 / Line 17)</t>
  </si>
  <si>
    <t>Interest rate on Construction Debt for Rate Year - Line 19 (g)</t>
  </si>
  <si>
    <t>13 Month Average Debt balance - Line 19 ( c)</t>
  </si>
  <si>
    <t>216.b for end of year, records for other months</t>
  </si>
  <si>
    <t>Total CWIP</t>
  </si>
  <si>
    <t>Company records</t>
  </si>
  <si>
    <t>CWIP Allowed in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</si>
  <si>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</si>
  <si>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</si>
  <si>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</si>
  <si>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</si>
  <si>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</si>
  <si>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</si>
  <si>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</si>
  <si>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</si>
  <si>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</si>
  <si>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</si>
  <si>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</si>
  <si>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</si>
  <si>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</si>
  <si>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</si>
  <si>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</si>
  <si>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</si>
  <si>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</si>
  <si>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</si>
  <si>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</si>
  <si>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</si>
  <si>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</si>
  <si>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</si>
  <si>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</si>
  <si>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</si>
  <si>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</si>
  <si>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</si>
  <si>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</si>
  <si>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</si>
  <si>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</si>
  <si>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</si>
  <si>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</si>
  <si>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</si>
  <si>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</si>
  <si>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</si>
  <si>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</si>
  <si>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</si>
  <si>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</si>
  <si>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</si>
  <si>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</si>
  <si>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</si>
  <si>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</si>
  <si>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</si>
  <si>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</si>
  <si>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</si>
  <si>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</si>
  <si>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</si>
  <si>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</si>
  <si>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</si>
  <si>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</si>
  <si>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</si>
  <si>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</si>
  <si>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</si>
  <si>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</si>
  <si>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</si>
  <si>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</si>
  <si>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</si>
  <si>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</si>
  <si>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</si>
  <si>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</si>
  <si>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</si>
  <si>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</si>
  <si>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</si>
  <si>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</si>
  <si>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</si>
  <si>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</si>
  <si>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</si>
  <si>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</si>
  <si>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</si>
  <si>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</si>
  <si>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</si>
  <si>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</si>
  <si>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</si>
  <si>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</si>
  <si>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</si>
  <si>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</si>
  <si>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</si>
  <si>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</si>
  <si>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</si>
  <si>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</si>
  <si>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</si>
  <si>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</si>
  <si>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</si>
  <si>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</si>
  <si>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</si>
  <si>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</si>
  <si>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</si>
  <si>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</si>
  <si>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</si>
  <si>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</si>
  <si>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</si>
  <si>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 xml:space="preserve">  Total Per Books</t>
  </si>
  <si>
    <t>Account 456.1 Revenue Credit</t>
  </si>
  <si>
    <t>Less: Over/Under recovery deferral</t>
  </si>
  <si>
    <t>Actual Net Revenue Requirement  (Note B)</t>
  </si>
  <si>
    <t>Projected Revenue Requirement (Note A)</t>
  </si>
  <si>
    <t>Prior Period Adjustments</t>
  </si>
  <si>
    <t>Actual PBOP in Company's O&amp;M and A&amp;G expense accounts in Form No. 1</t>
  </si>
  <si>
    <t>If construction financing is obtained, all rates, fees and monthly debt balances will be subject to true up pursuant to Attachment 9.</t>
  </si>
  <si>
    <t>LIBOR</t>
  </si>
  <si>
    <t>Spread</t>
  </si>
  <si>
    <t>True-up - Construction Financing Cost of Debt</t>
  </si>
  <si>
    <t>Cost of Debt Prior to Issuing Non-Construction Financing</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</si>
  <si>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</si>
  <si>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</si>
  <si>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</si>
  <si>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</si>
  <si>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</si>
  <si>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</si>
  <si>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</si>
  <si>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</si>
  <si>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</si>
  <si>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</si>
  <si>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321.97b less line 14</t>
  </si>
  <si>
    <t xml:space="preserve">263.i </t>
  </si>
  <si>
    <t>350.h (Note I)</t>
  </si>
  <si>
    <t>214.c for end of year, records for other months</t>
  </si>
  <si>
    <t>Proprietary Capital (Line 25 ( c))</t>
  </si>
  <si>
    <t xml:space="preserve">Less Account 216.1 Undistributed Subsidiary Earnings (Line 25(d)) </t>
  </si>
  <si>
    <t>Less Account 219 Accum. Other Comprehensive Income (Line 25(e))</t>
  </si>
  <si>
    <t>The FERC's annual charges for the year assessed the Transmission Owner for service under this tariff. To the extent the charges are separately identified on the FERC Form 1 page 350, column I, the line number will be added to the source in Column 2 for reference. Line item references can change from year to year. Items not specifically identified on the FERC Form 1 page 350 will be obtained from Company books and records.</t>
  </si>
  <si>
    <t>Projected rate will be Average LIBOR for rate year + spread. LIBOR will be updated based on information in the Wall Street Journal as of the 15th day of the month prior to population of this template.</t>
  </si>
  <si>
    <t>Commitment Fee ($000)</t>
  </si>
  <si>
    <t>Long Term Debt Interest (117, sum of 62.c - 67.c) Note D</t>
  </si>
  <si>
    <t>If construction debt has not or will not be issued when construction starts, a proxy interest rate will be used for the cost of debt, which will be supported in the initial section 205 filing. The proxy interest rate will be entered on line 36 of this attachment.</t>
  </si>
  <si>
    <t>If construction financing has been obtained, the cost of debt prior to the issuance of non-construction financing shall be based on the terms of the construction financing and determined below. Up-front fees including origination fees will be amortized and included in the cost of debt.</t>
  </si>
  <si>
    <t>Total Loan Amount
($000)</t>
  </si>
  <si>
    <t>Proxy interest rate. Used prior to issuance of construction financing and supported in initial section 205 filing.</t>
  </si>
  <si>
    <t>Long Term Debt (112.18-21.c)</t>
  </si>
  <si>
    <t>Annual Allocation Factor for G &amp; I Depreciation Expense</t>
  </si>
  <si>
    <t>The proposed transmission and general plant depreciation rates were determined using the same depreciation study utilized by Appalachian Power Company to develop transmission and general plant depreciation rates that were approved by the Public Service Commission of West Virginia in their order in Case Nos. 14-1152-E-42T and 14-1151-E-D on May 26, 2015.</t>
  </si>
  <si>
    <t xml:space="preserve">The labor in line 7 is the total labor excluding capitalized labor charged by an AEP affiliate or KCP&amp;L affiliate to the Company in the year. </t>
  </si>
  <si>
    <t>Transource Pennsylvania, LLC</t>
  </si>
  <si>
    <t xml:space="preserve">     T=1 - {[(1 - SIT) * (1 - FIT)] / (1 - SIT * FIT * p)} = * (1-TEP)</t>
  </si>
  <si>
    <t>Prior Period Adjustments or Corrections</t>
  </si>
  <si>
    <t>Long Term debt balance will reflect the 13 month average of the balances, of which the 1st and 13th are found on page 112 lines 18.c to 21.c in the Form No. 1, the cost is calculated by dividing line 3 by the Long Term Debt balance on line 17.</t>
  </si>
  <si>
    <t>From the Attachment 1, Page 3 of 3, line 1 or 3, col. 16 from the template in which the true-up year revenue requirement was initially projected.</t>
  </si>
  <si>
    <t>From True-Up revenue requirement template Attachment 1, page 3 of 3, line 1 or 3, col. 14.</t>
  </si>
  <si>
    <t>Interest due on the true up is calculated for the 24 month period from the start of the true-up year until the end of the year following the true-up year when the true up will be included in rates. Total True up Interest calculated on Attachment 6 and allocated to projects based on the percentage in Column D.</t>
  </si>
  <si>
    <t>Attachment 13</t>
  </si>
  <si>
    <t>Facility Credits under Section 30.9 of the PJM OATT</t>
  </si>
  <si>
    <t>Attachment 7, Line 8, Col. (c)</t>
  </si>
  <si>
    <t>Year Ended December 31, 2015</t>
  </si>
  <si>
    <t>Attachment H-29A</t>
  </si>
  <si>
    <t>To be completed in conjunction with Attachment H-29A.</t>
  </si>
  <si>
    <t>Rate Formula Template - Attachment H-29A</t>
  </si>
  <si>
    <t>Attach H-29A, p 3, line 20, col 5 (Note C)</t>
  </si>
  <si>
    <t>Attach H-29A, p 3, line 32 col 5</t>
  </si>
  <si>
    <t>Attach H-29A, p 1, line 6 col 5</t>
  </si>
  <si>
    <t>Attach H-29A, p 3, line 46 col 5</t>
  </si>
  <si>
    <t>Attach H-29A, p 3, line 48 col 5</t>
  </si>
  <si>
    <t>Net Plant is that identified on page 2 line 14 of Attachment H-29A inclusive of any CWIP or unamortized Abandoned Plant included in rate base when authorized by FERC order less any prefunded AFUDC, if applicable.</t>
  </si>
  <si>
    <t>(Notes Q &amp; R from Attachment H-29A)</t>
  </si>
  <si>
    <t>(Notes Q, R, &amp; T from Attachment H-29A)</t>
  </si>
  <si>
    <t xml:space="preserve">       and FIT, SIT &amp; p are as given in Attachment H-29A footnote N.</t>
  </si>
  <si>
    <t>Attachment H-29A, Page 3, Line 39</t>
  </si>
  <si>
    <t>Attachment H-29A, Page 3, Line 40</t>
  </si>
  <si>
    <t>Attachment H-29A, Page 3, Line 41</t>
  </si>
  <si>
    <t>Return    (Attach. H-29A, page 3 line 48 col 5)</t>
  </si>
  <si>
    <t>Income Tax    (Attach. H-29A, page 3 line 46 col 5)</t>
  </si>
  <si>
    <t xml:space="preserve"> in Attachment H-29A that are not the result of a timing difference.</t>
  </si>
  <si>
    <t>Remaining Attachment H-29A</t>
  </si>
  <si>
    <t>Line 25 (a), Note A and Attachment H-29A Note Q</t>
  </si>
  <si>
    <t>Line 25 (b), Note B and Attachment H-29A Note Q</t>
  </si>
  <si>
    <t>Line 7, Note C  and Attachment H-29A Notes Q and T</t>
  </si>
  <si>
    <t>Note A - Projected ATRR for the true-up year from Page 1, Line 1 of Projection Attachment H-29A minus Line 6 of Projection Attachment H-29A.</t>
  </si>
  <si>
    <t>Note B - Actual Net ATRR for the true-up year from Page 1, Line 10 of True-Up Attachment H-29A.</t>
  </si>
  <si>
    <t xml:space="preserve">This Attachment 8 is to be utilized to determine the cost of debt prior to issuing non-construction financing.  Once non-construction financing is issued the cost of debt shall be determined using the methodology described in Note Q on Attachment H-29A.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</si>
  <si>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H-29A.</t>
  </si>
  <si>
    <t xml:space="preserve">
(Note H)</t>
  </si>
  <si>
    <t xml:space="preserve">This worksheet is used to compute project specific revenue requirements for any projects for which such calculation is required by PJM. This will generally include projects with specific incentives or competitive concessions, or projects with regional cost allocation in PJM. Projects will be listed as either Schedule 12,  Zonal, or other category defined by PJM. Other projects which comprise the remaining revenue requirement on Attachment H-29A will not be entered on this schedule. </t>
  </si>
  <si>
    <t>Cost = Attachment H-29A, page 4, Line 17, Cost plus 100 bp</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</si>
  <si>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</si>
  <si>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</si>
  <si>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</si>
  <si>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</si>
  <si>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Line 5 includes a 100 basis point increase in ROE that is used only to determine the increase in return and income taxes associated with</t>
  </si>
  <si>
    <t>a 100 basis point increase in ROE.  Any ROE actual incentive must be approved by the Commission.</t>
  </si>
  <si>
    <t>100 Basis Point Incentive Return multiplied by Rate Base (line 1 * line 6)</t>
  </si>
  <si>
    <t>Note:</t>
  </si>
  <si>
    <t>Rate Year Plus 1 June</t>
  </si>
  <si>
    <t>Rate Year Plus 1 July</t>
  </si>
  <si>
    <t>Rate Year Plus 1 August</t>
  </si>
  <si>
    <t>Note A - Lines 1-20 are the FERC interest rates under section 35.19a  of the regulations for the period shown. Line 21 is the average of lines 1-20.</t>
  </si>
  <si>
    <t>(b.i)</t>
  </si>
  <si>
    <t>(b.ii)</t>
  </si>
  <si>
    <t>FERC balance sheet account where reserves are recorded</t>
  </si>
  <si>
    <t>FERC income statement account where reserves are recorded</t>
  </si>
  <si>
    <t>Balance of Account 255 will be reduced by prior flow throughs and excluded if the utility chooses to utilize amortization of tax credits against taxable income.</t>
  </si>
  <si>
    <t xml:space="preserve">Calculate rate base using 13 month average balance, except ADIT which is calculated based on the average of the beginning of the year and the end of the year balances. </t>
  </si>
  <si>
    <t xml:space="preserve">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an approval by FERC for inclusion in this formula rate for collection on behalf of the network customer, shall be addressed in either the Network Customer’s Service Agreement or any other agreement between the Parties. </t>
  </si>
  <si>
    <t>Beginning Balance</t>
  </si>
  <si>
    <t>Ending Balance</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</si>
  <si>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</si>
  <si>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Amounts on lines 2-3 reflect data from the 2015 actuarial reports for AEP and KCP&amp;L. These values cannot change absent approval or acceptance by FERC in a separate proceeding. </t>
  </si>
  <si>
    <t>Includes only FICA, unemployment, highway, property, and other assessments charged in the current year.  Taxes related to income, franchise taxes, and sales and use taxes are excluded. Gross receipts taxes are not included in transmission revenue requirement in the Rate Formula Template, since they are recovered elsewhere. To the extent individual types of taxes are separately identified on the FERC Form 1 page 263, column I, the line number will be added to the source in Column 2 for reference. Line item references can change from year to year. Items not specifically identified on the FERC Form 1 page 263 will be obtained from Company books and records.</t>
  </si>
  <si>
    <t xml:space="preserve">  Accounts 456.0 and 456.1</t>
  </si>
  <si>
    <t>The revenues credited on page 1 lines 2-6 shall include revenues related to the Transmission Owner's integrated transmission facilities, including revenues for any load which is not included in the divisor used to derive the annual rate.  They do not include revenues associated with FERC annual charges, gross receipts taxes, or facilities not included in this template (e.g., direct assignment facilities and GSUs) which are not recovered under this Rate Formula Template.</t>
  </si>
  <si>
    <t>Account 456.0 Other Operating Revenues</t>
  </si>
  <si>
    <t>Form 1 300.21.b</t>
  </si>
  <si>
    <t>Account 456.1 Revenues from Transmission of Electricity for Others</t>
  </si>
  <si>
    <t>Total 456.0 and 456.1 Revenue Credits</t>
  </si>
  <si>
    <t>Account 456.0 Revenue Credit</t>
  </si>
  <si>
    <t xml:space="preserve">All 454, 456.0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</si>
  <si>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ACCOUNTS 456.0 AND 456.1 (OTHER ELECTRIC REVENUES)</t>
  </si>
  <si>
    <t xml:space="preserve">Plant </t>
  </si>
  <si>
    <t>Labor</t>
  </si>
  <si>
    <t>Related</t>
  </si>
  <si>
    <t>ADIT- 282</t>
  </si>
  <si>
    <t>ADIT-190</t>
  </si>
  <si>
    <t>Wages &amp; Salary Allocator</t>
  </si>
  <si>
    <t>Net Plant Allocator</t>
  </si>
  <si>
    <t>Justification</t>
  </si>
  <si>
    <t>Instructions for Account 190:</t>
  </si>
  <si>
    <t>3.  ADIT items related to Plant and not in Columns C &amp; D are included in Column E</t>
  </si>
  <si>
    <t>ADIT- 283</t>
  </si>
  <si>
    <t>Attachment 4b - Accumulated Deferred Income Taxes (ADIT) Worksheet (End of Year)</t>
  </si>
  <si>
    <t xml:space="preserve">Dissimilar items with amounts exceeding $100,000 will be listed separately.  </t>
  </si>
  <si>
    <t>Annual forecasted change</t>
  </si>
  <si>
    <t>Monthly forecasted change</t>
  </si>
  <si>
    <t>(A)</t>
  </si>
  <si>
    <t>(B)</t>
  </si>
  <si>
    <t>(C )</t>
  </si>
  <si>
    <t>(D)</t>
  </si>
  <si>
    <t>(E)</t>
  </si>
  <si>
    <t>(F)</t>
  </si>
  <si>
    <t>(G)</t>
  </si>
  <si>
    <t>(H)</t>
  </si>
  <si>
    <t>Future Test Period</t>
  </si>
  <si>
    <t>Prorated Item</t>
  </si>
  <si>
    <t>or Excluded</t>
  </si>
  <si>
    <t>Non-Electric</t>
  </si>
  <si>
    <t>1.  ADIT items related only to Non-Electric Utility Operations and excluded items are directly assigned to Column C</t>
  </si>
  <si>
    <t>Calculation of Account 282 monthly forecasted activity for Proratable balances</t>
  </si>
  <si>
    <t>Proratable Deferred Tax Activity</t>
  </si>
  <si>
    <r>
      <t xml:space="preserve">Deferred Tax </t>
    </r>
    <r>
      <rPr>
        <sz val="10"/>
        <color indexed="8"/>
        <rFont val="Arial"/>
        <family val="2"/>
      </rPr>
      <t>Balance</t>
    </r>
  </si>
  <si>
    <r>
      <t xml:space="preserve">Days in </t>
    </r>
    <r>
      <rPr>
        <sz val="10"/>
        <color indexed="8"/>
        <rFont val="Arial"/>
        <family val="2"/>
      </rPr>
      <t>Month</t>
    </r>
  </si>
  <si>
    <r>
      <t xml:space="preserve">Number of Days Left in </t>
    </r>
    <r>
      <rPr>
        <sz val="10"/>
        <color indexed="8"/>
        <rFont val="Arial"/>
        <family val="2"/>
      </rPr>
      <t>Period</t>
    </r>
  </si>
  <si>
    <r>
      <t xml:space="preserve">Proration </t>
    </r>
    <r>
      <rPr>
        <sz val="10"/>
        <color indexed="8"/>
        <rFont val="Arial"/>
        <family val="2"/>
      </rPr>
      <t>Amount</t>
    </r>
  </si>
  <si>
    <r>
      <t xml:space="preserve">Prorated </t>
    </r>
    <r>
      <rPr>
        <sz val="10"/>
        <color indexed="8"/>
        <rFont val="Arial"/>
        <family val="2"/>
      </rPr>
      <t>Balance</t>
    </r>
  </si>
  <si>
    <t>Rate Year ending balance</t>
  </si>
  <si>
    <t>Rate Year beginning balance</t>
  </si>
  <si>
    <t>January (line 4)</t>
  </si>
  <si>
    <t>4.  ADIT items related to Labor and not in Columns C &amp; D are included in Column F</t>
  </si>
  <si>
    <t>Attachment 4a - Accumulated Deferred Income Taxes (ADIT) Worksheet</t>
  </si>
  <si>
    <t>Beginning of Rate Year and Rate Year Average</t>
  </si>
  <si>
    <t>Attachment 4c - Proration of Property-Related Accumulated Deferred Income Taxes</t>
  </si>
  <si>
    <t>Subtotal - Form 1 p234, line 8, column ( c )</t>
  </si>
  <si>
    <t xml:space="preserve">Subtotal - Form 1 p275, line 2, column (k) </t>
  </si>
  <si>
    <t xml:space="preserve">Subtotal - Form 1 p277, line 9, column (k)  </t>
  </si>
  <si>
    <t xml:space="preserve">Subtotal - Form 1 p276, line 9, column (b)  </t>
  </si>
  <si>
    <t xml:space="preserve">Subtotal - Form 1 p274, line 2, column (b) </t>
  </si>
  <si>
    <t>Subtotal - Form 1 p234, line 8, column (b)</t>
  </si>
  <si>
    <t>Overpayments of Income Taxes shall be excluded from Prepayments if the overpayments are not used to reduce future tax liability.</t>
  </si>
  <si>
    <t>Unfunded Reserves    (Notes A and F through H)</t>
  </si>
  <si>
    <t>A description of each item and justification for the exclusion from or allocation to the Transmission function will be listed below.</t>
  </si>
  <si>
    <t>2.  ADIT items related only to Transmission other than Plant-related items are directly assigned to Column D</t>
  </si>
  <si>
    <t>Long Term debt interest is the sum of Form 1 page 117 lines 62-67.c, with 65-66.c entered as negative numbers. If the Company has any short term debt with associated companies, the interest on that short term debt recorded in Account 430 will be excluded. The portion of interest in Account 430 related to any long term debt to associated companies will be included.</t>
  </si>
  <si>
    <t>13 Month Average Long-Term Debt - Note B</t>
  </si>
  <si>
    <t>Long Term Interest and Fees (117, sum of 62.c through 67.c) - Note A</t>
  </si>
  <si>
    <t xml:space="preserve">Amounts on line 5 reflect the actual AEP and KCP&amp;L straight-time labor, including both capitalized and expensed labor, loaded for non-productive load. KCP&amp;L's labor is $243,676,962, as provided on the 2015 FERC Form 1 on page 354.96.d, less $51,943,652 of labor dollars associated with the Wolf Creek Nuclear Facility.  </t>
  </si>
  <si>
    <t xml:space="preserve">Excess / (Deficit) Deferred Income Taxes </t>
  </si>
  <si>
    <t xml:space="preserve">Excess / (Deficit) Deferred Income Tax Adjustment </t>
  </si>
  <si>
    <t>Company Books and Records - Note O</t>
  </si>
  <si>
    <t>Gross Transmission Plant is that identified on page 2 line 2 of Attachment H-29A inclusive of any CWIP included in rate base when authorized by FERC order.</t>
  </si>
  <si>
    <t>Attach H-29A, p 3, line 17 col. 5, less line 14 col. 5</t>
  </si>
  <si>
    <t>Project Net Plant is the Project Gross Plant Identified in Column 3 less the associated Accumulated Depreciation plus CWIP in rate base, if applicable and Unamortized Abandoned Plant, if applicable.</t>
  </si>
  <si>
    <t>Project Depreciation Expense is the actual value booked for the project (excluding General and Intangible depreciation) at Attachment H-29A, page 3, line 19, plus amortization of Abandoned Plant at Attachment H-29A, page 3, line 21, if applicable.</t>
  </si>
  <si>
    <t>Less: CWIP Excluded from Rate Base</t>
  </si>
  <si>
    <t>Less: AFUDC Excluded from Rate Base</t>
  </si>
  <si>
    <t>( d )= (a) - (b) - ( c )</t>
  </si>
  <si>
    <t xml:space="preserve">Less Preferred Stock (line 25 (b)) </t>
  </si>
  <si>
    <t>Total - sum cols. D-G</t>
  </si>
  <si>
    <t>Instructions for Account 281/282/283:</t>
  </si>
  <si>
    <t>ADIT- 281</t>
  </si>
  <si>
    <t xml:space="preserve">Subtotal - Form 1 p273, line 8, column (k) </t>
  </si>
  <si>
    <t xml:space="preserve">Subtotal - Form 1 p272, line 8, column (b) </t>
  </si>
  <si>
    <t>Account No. 281
Accumulated Deferred Income Taxes (Note E)</t>
  </si>
  <si>
    <t>Account No. 282
Accumulated Deferred Income Taxes (Note E)</t>
  </si>
  <si>
    <t>Account No. 283
Accumulated Deferred Income Taxes (Note E)</t>
  </si>
  <si>
    <t>Account No. 190
Accumulated Deferred Income Taxes (Note E)</t>
  </si>
  <si>
    <t>Att. 4a &amp; Att. 4b</t>
  </si>
  <si>
    <t>Note J - 111.57.c for end of year, records for other months</t>
  </si>
  <si>
    <t xml:space="preserve">  Account No. 281 (enter negative)</t>
  </si>
  <si>
    <t xml:space="preserve">  Account No. 282 (enter negative)</t>
  </si>
  <si>
    <t>Attachment 4, Line 28, Col. (e) (Note D)</t>
  </si>
  <si>
    <t xml:space="preserve">  Account No. 283 (enter negative)</t>
  </si>
  <si>
    <t>Attachment 4, Line 28, Col. (f) (Note D)</t>
  </si>
  <si>
    <t xml:space="preserve">  Account No. 190 </t>
  </si>
  <si>
    <t>Attachment 4, Line 28, Col. (g) (Note D)</t>
  </si>
  <si>
    <t>Attachment 4, Line 28, Col. (h) (Note D)</t>
  </si>
  <si>
    <t>Subtotal - sum cols. D-G</t>
  </si>
  <si>
    <t>W</t>
  </si>
  <si>
    <t>Attachment 4, Line 14, Col. (d) (Note W)</t>
  </si>
  <si>
    <t>Note: This workpaper documents the calculation of the rate base adjustment to prorate forecasted activity in ADIT resulting from the use of accelerated tax depreciation on additions to plant in service required by IRS regulation Section1.167(I)-I(h)(6)(ii) when preparing forecasted rates. This worksheet is not used during Annual True-Ups. The adjustment on line 21 is included on Attachment 4b as a reduction to the ending forecasted ADIT balance of ADIT Account 282.</t>
  </si>
  <si>
    <t>Less: IRS Proration Adjustment - Att. 4C, line 19</t>
  </si>
  <si>
    <t xml:space="preserve">Page 3, Line 6 - Subtract all EPRI Annual Membership Dues recorded in any O&amp;M or A&amp;G account listed in Form 1 at 353.f, all Regulatory Commission Expenses in account 928 itemized at 351.h, and non-safety related advertising included in Account 930.1.  </t>
  </si>
  <si>
    <t>Consistent with 266.8.b &amp; 267.8.h</t>
  </si>
  <si>
    <t>Calculate using 13 month average balance, except ADIT which is calculated as described in Note E.</t>
  </si>
  <si>
    <t>Balances in Accounts 190, 281, 282 and 283 classified in the FERC Form 1 as Electric-related, as adjusted by any amounts in contra accounts identified as regulatory assets or liabilities related to FASB 106 or 109.  Excludes ARO-related items. Balance of Account 255 will be reduced by prior flow throughs and excluded if the utility chooses to utilize amortization of tax credits against taxable income.  Account 281 is not allocated to Transmission. For rate projections, the ADIT calculation will include a proration of accelerated tax depreciation-related deferred taxes in accordance with Section 1.167(l)-1(h)(6)(ii) of the IRS regulations.</t>
  </si>
  <si>
    <t xml:space="preserve">ADIT is computed using the average of the beginning of the year and the end of the year balances. Attachments 4a and 4b are used to populate the beginning and ending ADIT balances on lines 15 and 27 above. ADIT calculations will be  prorated to the extent required by Section 1.167(l)-1(h)(6)(ii) of the IRS regulations. Rate Projections will use Attachment 4c to calculate the proration adjustment. </t>
  </si>
  <si>
    <t>Recovery of CWIP in rate base must be approved by FERC.  Attachment 4 provides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Attachment 4.</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</si>
  <si>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calculations and the income taxes calculated in Attachment H-29A that are not the result of a timing difference, including but not limited to depreciation related to capitalized AFUDC equity and meals and entertainment deductions.</t>
  </si>
  <si>
    <t>PJM Market Efficiency Project 9A</t>
  </si>
  <si>
    <t>b2743.5, b2743.1, b2752.5, b2752.1</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</si>
  <si>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 subject to any project-specific limitations refelcted on Attachment 1, Project Revenue Requirement Worksheet.</t>
  </si>
  <si>
    <t>Pursuant to the Commission-approved settlement in Docket No. ER17-419, the Company has agreed not to seek a risk-based incentive ROE for the competitive elements of a</t>
  </si>
  <si>
    <t>project in Pennsylvania and Maryland known as PJM Market Efficiency Project 9A.  Therefore, Attachment 2 shall not be used for PJM Market Efficiency Project 9A.</t>
  </si>
  <si>
    <t>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t>
  </si>
  <si>
    <t>For  the 12 months ended 12/31/2022</t>
  </si>
  <si>
    <t>520A PROVS POSS REV REFDS-A/L</t>
  </si>
  <si>
    <t>Revenue Refund Timing Differences</t>
  </si>
  <si>
    <t>601E INSURANCE PREMIUMS ACCRUED</t>
  </si>
  <si>
    <t>Prepaid Insurance Timing Differences</t>
  </si>
  <si>
    <t>911Q-DSIT DSIT ENTRY - NORMALIZED</t>
  </si>
  <si>
    <t>Electric operations DSIT</t>
  </si>
  <si>
    <t>960F-XS EXCESS ADFIT 282 - PROTECTED.</t>
  </si>
  <si>
    <t>Gross-up on Excess ADIT related to Plant</t>
  </si>
  <si>
    <t>230A NORMALIZED BK VS TAX DEPR</t>
  </si>
  <si>
    <t>Related to Capitalized Plant Timing Differences</t>
  </si>
  <si>
    <t>310A AOFUDC</t>
  </si>
  <si>
    <t>Related to Capitalized Interest Timing Differences</t>
  </si>
  <si>
    <t>712K CAPITALIZED SOFTWARE COST-BOOK</t>
  </si>
  <si>
    <t>Related to Capitalized Software Timing Differences</t>
  </si>
  <si>
    <t>910K REMOVAL COSTS</t>
  </si>
  <si>
    <t>Removal cost timing differences</t>
  </si>
  <si>
    <t>380J INT EXP CAPITALIZED FOR TAX</t>
  </si>
  <si>
    <t>960F-XS EXCESS ADFIT 282 - PROTECTED. - 282.1</t>
  </si>
  <si>
    <t>Related to Excess ADIT on Plant Timing Differences</t>
  </si>
  <si>
    <t>960F-XS EXCESS ADFIT 282 - PROTECTED.  -282.4</t>
  </si>
  <si>
    <t>671S REG ASSET-PRE CONSTRUCTION COSTS</t>
  </si>
  <si>
    <t>Book Deferral Timing Differences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</si>
</sst>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0.0000%"/>
    <numFmt numFmtId="278" formatCode="&quot;$&quot;#,##0\ ;\(&quot;$&quot;#,##0\)"/>
    <numFmt numFmtId="279" formatCode="[$-409]m/d/yy\ h:mm\ AM/PM;@"/>
    <numFmt numFmtId="280" formatCode="_(&quot;$&quot;* #,##0.000_);_(&quot;$&quot;* \(#,##0.000\);_(&quot;$&quot;* &quot;-&quot;??_);_(@_)"/>
  </numFmts>
  <fonts count="17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i/>
      <sz val="9"/>
      <color indexed="81"/>
      <name val="Tahoma"/>
      <family val="2"/>
    </font>
    <font>
      <b/>
      <sz val="9"/>
      <color indexed="81"/>
      <name val="Tahoma"/>
      <family val="2"/>
    </font>
    <font>
      <sz val="9"/>
      <color indexed="81"/>
      <name val="Tahoma"/>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5"/>
      <color theme="3"/>
      <name val="Calibri"/>
      <family val="2"/>
      <scheme val="minor"/>
    </font>
    <font>
      <b/>
      <sz val="12"/>
      <color indexed="22"/>
      <name val="Arial"/>
      <family val="2"/>
    </font>
    <font>
      <b/>
      <sz val="13"/>
      <color theme="3"/>
      <name val="Calibri"/>
      <family val="2"/>
      <scheme val="minor"/>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name val="MS Sans Serif"/>
      <family val="2"/>
    </font>
    <font>
      <b/>
      <sz val="11"/>
      <color indexed="63"/>
      <name val="Calibri"/>
      <family val="2"/>
    </font>
    <font>
      <b/>
      <sz val="10"/>
      <name val="MS Sans Serif"/>
      <family val="2"/>
    </font>
    <font>
      <b/>
      <sz val="11"/>
      <color theme="1"/>
      <name val="Calibri"/>
      <family val="2"/>
      <scheme val="minor"/>
    </font>
    <font>
      <sz val="11"/>
      <color indexed="10"/>
      <name val="Calibri"/>
      <family val="2"/>
    </font>
    <font>
      <sz val="12"/>
      <color theme="1"/>
      <name val="Times New Roman"/>
      <family val="1"/>
    </font>
    <font>
      <u/>
      <sz val="10"/>
      <name val="Arial"/>
      <family val="2"/>
    </font>
    <font>
      <b/>
      <sz val="12"/>
      <color theme="1"/>
      <name val="Times New Roman"/>
      <family val="1"/>
    </font>
    <font>
      <u/>
      <sz val="12"/>
      <color theme="1"/>
      <name val="Times New Roman"/>
      <family val="2"/>
    </font>
  </fonts>
  <fills count="7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bgColor indexed="64"/>
      </patternFill>
    </fill>
  </fills>
  <borders count="50">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s>
  <cellStyleXfs count="9819">
    <xf numFmtId="174" fontId="0" fillId="0" borderId="0" applyProtection="0"/>
    <xf numFmtId="0" fontId="17" fillId="0" borderId="0"/>
    <xf numFmtId="185"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90" fontId="55" fillId="0" borderId="0" applyFont="0" applyFill="0" applyBorder="0" applyAlignment="0" applyProtection="0"/>
    <xf numFmtId="0" fontId="25" fillId="0" borderId="0"/>
    <xf numFmtId="191" fontId="17" fillId="2" borderId="0" applyNumberFormat="0" applyFill="0" applyBorder="0" applyAlignment="0" applyProtection="0">
      <alignment horizontal="right" vertical="center"/>
    </xf>
    <xf numFmtId="191" fontId="49" fillId="0" borderId="0" applyNumberFormat="0" applyFill="0" applyBorder="0" applyAlignment="0" applyProtection="0"/>
    <xf numFmtId="0" fontId="17" fillId="0" borderId="1" applyNumberFormat="0" applyFont="0" applyFill="0" applyAlignment="0" applyProtection="0"/>
    <xf numFmtId="192" fontId="47" fillId="0" borderId="0" applyFont="0" applyFill="0" applyBorder="0" applyAlignment="0" applyProtection="0"/>
    <xf numFmtId="193" fontId="55" fillId="0" borderId="0" applyFont="0" applyFill="0" applyBorder="0" applyProtection="0">
      <alignment horizontal="left"/>
    </xf>
    <xf numFmtId="194" fontId="55" fillId="0" borderId="0" applyFont="0" applyFill="0" applyBorder="0" applyProtection="0">
      <alignment horizontal="left"/>
    </xf>
    <xf numFmtId="195" fontId="55" fillId="0" borderId="0" applyFont="0" applyFill="0" applyBorder="0" applyProtection="0">
      <alignment horizontal="left"/>
    </xf>
    <xf numFmtId="37" fontId="56" fillId="0" borderId="0" applyFont="0" applyFill="0" applyBorder="0" applyAlignment="0" applyProtection="0">
      <alignment vertical="center"/>
      <protection locked="0"/>
    </xf>
    <xf numFmtId="196" fontId="57" fillId="0" borderId="0" applyFont="0" applyFill="0" applyBorder="0" applyAlignment="0" applyProtection="0"/>
    <xf numFmtId="0" fontId="58" fillId="0" borderId="0"/>
    <xf numFmtId="0" fontId="58" fillId="0" borderId="0"/>
    <xf numFmtId="174" fontId="15" fillId="0" borderId="0" applyFill="0"/>
    <xf numFmtId="174" fontId="15" fillId="0" borderId="0">
      <alignment horizontal="center"/>
    </xf>
    <xf numFmtId="0" fontId="15" fillId="0" borderId="0" applyFill="0">
      <alignment horizontal="center"/>
    </xf>
    <xf numFmtId="174" fontId="16" fillId="0" borderId="2" applyFill="0"/>
    <xf numFmtId="0" fontId="17" fillId="0" borderId="0" applyFont="0" applyAlignment="0"/>
    <xf numFmtId="0" fontId="18" fillId="0" borderId="0" applyFill="0">
      <alignment vertical="top"/>
    </xf>
    <xf numFmtId="0" fontId="16" fillId="0" borderId="0" applyFill="0">
      <alignment horizontal="left" vertical="top"/>
    </xf>
    <xf numFmtId="174" fontId="19" fillId="0" borderId="3"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4"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4"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4"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0" fontId="17" fillId="0" borderId="0" applyFill="0">
      <alignment horizontal="center" vertical="center" wrapText="1"/>
    </xf>
    <xf numFmtId="174"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179" fontId="59" fillId="0" borderId="0" applyFont="0" applyFill="0" applyBorder="0" applyAlignment="0" applyProtection="0">
      <protection locked="0"/>
    </xf>
    <xf numFmtId="197" fontId="59" fillId="0" borderId="0" applyFont="0" applyFill="0" applyBorder="0" applyAlignment="0" applyProtection="0">
      <protection locked="0"/>
    </xf>
    <xf numFmtId="39" fontId="17" fillId="0" borderId="0" applyFont="0" applyFill="0" applyBorder="0" applyAlignment="0" applyProtection="0"/>
    <xf numFmtId="198" fontId="60" fillId="0" borderId="0" applyFont="0" applyFill="0" applyBorder="0" applyAlignment="0" applyProtection="0"/>
    <xf numFmtId="182" fontId="57" fillId="0" borderId="0" applyFont="0" applyFill="0" applyBorder="0" applyAlignment="0" applyProtection="0"/>
    <xf numFmtId="0" fontId="17" fillId="0" borderId="1" applyNumberFormat="0" applyFont="0" applyFill="0" applyBorder="0" applyProtection="0">
      <alignment horizontal="centerContinuous" vertical="center"/>
    </xf>
    <xf numFmtId="0" fontId="41" fillId="0" borderId="0" applyFill="0" applyBorder="0" applyProtection="0">
      <alignment horizontal="center"/>
      <protection locked="0"/>
    </xf>
    <xf numFmtId="43" fontId="17" fillId="0" borderId="0" applyFont="0" applyFill="0" applyBorder="0" applyAlignment="0" applyProtection="0"/>
    <xf numFmtId="0" fontId="1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1" fontId="17"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3"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205" fontId="20" fillId="0" borderId="0" applyFont="0" applyFill="0" applyBorder="0" applyAlignment="0" applyProtection="0">
      <protection locked="0"/>
    </xf>
    <xf numFmtId="43" fontId="13"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96" fillId="0" borderId="0" applyFont="0" applyFill="0" applyBorder="0" applyAlignment="0" applyProtection="0"/>
    <xf numFmtId="37" fontId="63" fillId="0" borderId="0" applyFill="0" applyBorder="0" applyAlignment="0" applyProtection="0"/>
    <xf numFmtId="3" fontId="17" fillId="0" borderId="0" applyFont="0" applyFill="0" applyBorder="0" applyAlignment="0" applyProtection="0"/>
    <xf numFmtId="0" fontId="16" fillId="0" borderId="0" applyFill="0" applyBorder="0" applyAlignment="0" applyProtection="0">
      <protection locked="0"/>
    </xf>
    <xf numFmtId="0" fontId="17" fillId="0" borderId="4"/>
    <xf numFmtId="44" fontId="17" fillId="0" borderId="0" applyFont="0" applyFill="0" applyBorder="0" applyAlignment="0" applyProtection="0"/>
    <xf numFmtId="206" fontId="55" fillId="0" borderId="0" applyFont="0" applyFill="0" applyBorder="0" applyAlignment="0" applyProtection="0"/>
    <xf numFmtId="207" fontId="55" fillId="0" borderId="0" applyFont="0" applyFill="0" applyBorder="0" applyAlignment="0" applyProtection="0"/>
    <xf numFmtId="208" fontId="55"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212" fontId="20" fillId="0" borderId="0" applyFont="0" applyFill="0" applyBorder="0" applyAlignment="0" applyProtection="0">
      <protection locked="0"/>
    </xf>
    <xf numFmtId="44" fontId="2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63" fillId="0" borderId="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213" fontId="57" fillId="0" borderId="0" applyFont="0" applyFill="0" applyBorder="0" applyAlignment="0" applyProtection="0"/>
    <xf numFmtId="181" fontId="17" fillId="0" borderId="0" applyFont="0" applyFill="0" applyBorder="0" applyAlignment="0" applyProtection="0"/>
    <xf numFmtId="214" fontId="59" fillId="0" borderId="0" applyFont="0" applyFill="0" applyBorder="0" applyAlignment="0" applyProtection="0">
      <protection locked="0"/>
    </xf>
    <xf numFmtId="7" fontId="15" fillId="0" borderId="0" applyFont="0" applyFill="0" applyBorder="0" applyAlignment="0" applyProtection="0"/>
    <xf numFmtId="215" fontId="60" fillId="0" borderId="0" applyFont="0" applyFill="0" applyBorder="0" applyAlignment="0" applyProtection="0"/>
    <xf numFmtId="180" fontId="64" fillId="0" borderId="0" applyFont="0" applyFill="0" applyBorder="0" applyAlignment="0" applyProtection="0"/>
    <xf numFmtId="0" fontId="65" fillId="3" borderId="5" applyNumberFormat="0" applyFont="0" applyFill="0" applyAlignment="0" applyProtection="0">
      <alignment horizontal="left" indent="1"/>
    </xf>
    <xf numFmtId="14" fontId="17" fillId="0" borderId="0" applyFont="0" applyFill="0" applyBorder="0" applyAlignment="0" applyProtection="0"/>
    <xf numFmtId="216" fontId="55" fillId="0" borderId="0" applyFont="0" applyFill="0" applyBorder="0" applyProtection="0"/>
    <xf numFmtId="217" fontId="55" fillId="0" borderId="0" applyFont="0" applyFill="0" applyBorder="0" applyProtection="0"/>
    <xf numFmtId="218" fontId="55" fillId="0" borderId="0" applyFont="0" applyFill="0" applyBorder="0" applyAlignment="0" applyProtection="0"/>
    <xf numFmtId="219" fontId="55" fillId="0" borderId="0" applyFont="0" applyFill="0" applyBorder="0" applyAlignment="0" applyProtection="0"/>
    <xf numFmtId="220" fontId="55" fillId="0" borderId="0" applyFont="0" applyFill="0" applyBorder="0" applyAlignment="0" applyProtection="0"/>
    <xf numFmtId="221" fontId="66" fillId="0" borderId="0" applyFont="0" applyFill="0" applyBorder="0" applyAlignment="0" applyProtection="0"/>
    <xf numFmtId="5" fontId="67" fillId="0" borderId="0" applyBorder="0"/>
    <xf numFmtId="181" fontId="67" fillId="0" borderId="0" applyBorder="0"/>
    <xf numFmtId="7" fontId="67" fillId="0" borderId="0" applyBorder="0"/>
    <xf numFmtId="37" fontId="67" fillId="0" borderId="0" applyBorder="0"/>
    <xf numFmtId="179" fontId="67" fillId="0" borderId="0" applyBorder="0"/>
    <xf numFmtId="222" fontId="67" fillId="0" borderId="0" applyBorder="0"/>
    <xf numFmtId="39" fontId="67" fillId="0" borderId="0" applyBorder="0"/>
    <xf numFmtId="223" fontId="67" fillId="0" borderId="0" applyBorder="0"/>
    <xf numFmtId="7" fontId="17" fillId="0" borderId="0" applyFont="0" applyFill="0" applyBorder="0" applyAlignment="0" applyProtection="0"/>
    <xf numFmtId="224" fontId="57" fillId="0" borderId="0" applyFont="0" applyFill="0" applyBorder="0" applyAlignment="0" applyProtection="0"/>
    <xf numFmtId="225" fontId="57" fillId="0" borderId="0" applyFont="0" applyFill="0" applyAlignment="0" applyProtection="0"/>
    <xf numFmtId="224" fontId="57" fillId="0" borderId="0" applyFont="0" applyFill="0" applyBorder="0" applyAlignment="0" applyProtection="0"/>
    <xf numFmtId="226" fontId="15" fillId="0" borderId="0" applyFont="0" applyFill="0" applyBorder="0" applyAlignment="0" applyProtection="0"/>
    <xf numFmtId="2" fontId="17" fillId="0" borderId="0" applyFont="0" applyFill="0" applyBorder="0" applyAlignment="0" applyProtection="0"/>
    <xf numFmtId="0" fontId="68" fillId="0" borderId="0"/>
    <xf numFmtId="179" fontId="69" fillId="0" borderId="0" applyNumberFormat="0" applyFill="0" applyBorder="0" applyAlignment="0" applyProtection="0"/>
    <xf numFmtId="0" fontId="15" fillId="0" borderId="0" applyFont="0" applyFill="0" applyBorder="0" applyAlignment="0" applyProtection="0"/>
    <xf numFmtId="0" fontId="55" fillId="0" borderId="0" applyFont="0" applyFill="0" applyBorder="0" applyProtection="0">
      <alignment horizontal="center" wrapText="1"/>
    </xf>
    <xf numFmtId="227" fontId="55" fillId="0" borderId="0" applyFont="0" applyFill="0" applyBorder="0" applyProtection="0">
      <alignment horizontal="right"/>
    </xf>
    <xf numFmtId="0" fontId="69" fillId="0" borderId="0" applyNumberFormat="0" applyFill="0" applyBorder="0" applyAlignment="0" applyProtection="0"/>
    <xf numFmtId="0" fontId="70" fillId="4" borderId="0" applyNumberFormat="0" applyFill="0" applyBorder="0" applyAlignment="0" applyProtection="0"/>
    <xf numFmtId="0" fontId="19" fillId="0" borderId="6" applyNumberFormat="0" applyAlignment="0" applyProtection="0">
      <alignment horizontal="left" vertical="center"/>
    </xf>
    <xf numFmtId="0" fontId="19" fillId="0" borderId="7">
      <alignment horizontal="left" vertical="center"/>
    </xf>
    <xf numFmtId="14" fontId="42" fillId="5" borderId="8">
      <alignment horizontal="center" vertical="center" wrapText="1"/>
    </xf>
    <xf numFmtId="0" fontId="33" fillId="0" borderId="0" applyFont="0" applyFill="0" applyBorder="0" applyAlignment="0" applyProtection="0"/>
    <xf numFmtId="0" fontId="34" fillId="0" borderId="0" applyFont="0" applyFill="0" applyBorder="0" applyAlignment="0" applyProtection="0"/>
    <xf numFmtId="0" fontId="19" fillId="0" borderId="0" applyFont="0" applyFill="0" applyBorder="0" applyAlignment="0" applyProtection="0"/>
    <xf numFmtId="0" fontId="41" fillId="0" borderId="0" applyFill="0" applyAlignment="0" applyProtection="0">
      <protection locked="0"/>
    </xf>
    <xf numFmtId="0" fontId="41" fillId="0" borderId="1" applyFill="0" applyAlignment="0" applyProtection="0">
      <protection locked="0"/>
    </xf>
    <xf numFmtId="0" fontId="35" fillId="0" borderId="8"/>
    <xf numFmtId="0" fontId="36" fillId="0" borderId="0"/>
    <xf numFmtId="0" fontId="71" fillId="0" borderId="1" applyNumberFormat="0" applyFill="0" applyAlignment="0" applyProtection="0"/>
    <xf numFmtId="0" fontId="66" fillId="6" borderId="0" applyNumberFormat="0" applyFont="0" applyBorder="0" applyAlignment="0" applyProtection="0"/>
    <xf numFmtId="0" fontId="72" fillId="0" borderId="0" applyNumberFormat="0" applyFill="0" applyBorder="0" applyAlignment="0" applyProtection="0">
      <alignment vertical="top"/>
      <protection locked="0"/>
    </xf>
    <xf numFmtId="0" fontId="52" fillId="7" borderId="9" applyNumberFormat="0" applyAlignment="0" applyProtection="0"/>
    <xf numFmtId="228" fontId="55" fillId="0" borderId="0" applyFont="0" applyFill="0" applyBorder="0" applyProtection="0">
      <alignment horizontal="left"/>
    </xf>
    <xf numFmtId="229" fontId="55" fillId="0" borderId="0" applyFont="0" applyFill="0" applyBorder="0" applyProtection="0">
      <alignment horizontal="left"/>
    </xf>
    <xf numFmtId="230" fontId="55" fillId="0" borderId="0" applyFont="0" applyFill="0" applyBorder="0" applyProtection="0">
      <alignment horizontal="left"/>
    </xf>
    <xf numFmtId="231" fontId="55" fillId="0" borderId="0" applyFont="0" applyFill="0" applyBorder="0" applyProtection="0">
      <alignment horizontal="left"/>
    </xf>
    <xf numFmtId="10" fontId="15" fillId="8" borderId="9" applyNumberFormat="0" applyBorder="0" applyAlignment="0" applyProtection="0"/>
    <xf numFmtId="5" fontId="73" fillId="0" borderId="0" applyBorder="0"/>
    <xf numFmtId="181" fontId="73" fillId="0" borderId="0" applyBorder="0"/>
    <xf numFmtId="7" fontId="73" fillId="0" borderId="0" applyBorder="0"/>
    <xf numFmtId="37" fontId="73" fillId="0" borderId="0" applyBorder="0"/>
    <xf numFmtId="179" fontId="73" fillId="0" borderId="0" applyBorder="0"/>
    <xf numFmtId="222" fontId="73" fillId="0" borderId="0" applyBorder="0"/>
    <xf numFmtId="39" fontId="73" fillId="0" borderId="0" applyBorder="0"/>
    <xf numFmtId="223" fontId="73" fillId="0" borderId="0" applyBorder="0"/>
    <xf numFmtId="0" fontId="66" fillId="0" borderId="10" applyNumberFormat="0" applyFont="0" applyFill="0" applyAlignment="0" applyProtection="0"/>
    <xf numFmtId="0" fontId="74" fillId="0" borderId="0"/>
    <xf numFmtId="0" fontId="15" fillId="9" borderId="0"/>
    <xf numFmtId="232" fontId="17" fillId="0" borderId="0" applyFont="0" applyFill="0" applyBorder="0" applyAlignment="0" applyProtection="0"/>
    <xf numFmtId="233" fontId="17" fillId="0" borderId="0" applyFont="0" applyFill="0" applyBorder="0" applyAlignment="0" applyProtection="0"/>
    <xf numFmtId="234" fontId="17" fillId="0" borderId="0" applyFont="0" applyFill="0" applyBorder="0" applyAlignment="0" applyProtection="0"/>
    <xf numFmtId="235" fontId="17" fillId="0" borderId="0" applyFont="0" applyFill="0" applyBorder="0" applyAlignment="0" applyProtection="0"/>
    <xf numFmtId="0" fontId="17" fillId="0" borderId="0" applyFont="0" applyFill="0" applyBorder="0" applyAlignment="0" applyProtection="0">
      <alignment horizontal="right"/>
    </xf>
    <xf numFmtId="236" fontId="17" fillId="0" borderId="0" applyFont="0" applyFill="0" applyBorder="0" applyAlignment="0" applyProtection="0"/>
    <xf numFmtId="37" fontId="75" fillId="0" borderId="0"/>
    <xf numFmtId="0" fontId="57" fillId="0" borderId="0"/>
    <xf numFmtId="0" fontId="99" fillId="0" borderId="0"/>
    <xf numFmtId="7" fontId="97" fillId="0" borderId="0"/>
    <xf numFmtId="0" fontId="17" fillId="0" borderId="0"/>
    <xf numFmtId="0" fontId="53" fillId="0" borderId="0"/>
    <xf numFmtId="0" fontId="27" fillId="0" borderId="0"/>
    <xf numFmtId="0" fontId="17" fillId="0" borderId="0"/>
    <xf numFmtId="0" fontId="17" fillId="0" borderId="0"/>
    <xf numFmtId="0" fontId="51" fillId="0" borderId="0"/>
    <xf numFmtId="0" fontId="17" fillId="0" borderId="0"/>
    <xf numFmtId="0" fontId="17"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4" fontId="37" fillId="0" borderId="0" applyProtection="0"/>
    <xf numFmtId="0" fontId="99" fillId="0" borderId="0"/>
    <xf numFmtId="0" fontId="99" fillId="0" borderId="0"/>
    <xf numFmtId="0" fontId="99" fillId="0" borderId="0"/>
    <xf numFmtId="0" fontId="99" fillId="0" borderId="0"/>
    <xf numFmtId="0" fontId="37" fillId="0" borderId="0" applyProtection="0"/>
    <xf numFmtId="174" fontId="37" fillId="0" borderId="0" applyProtection="0"/>
    <xf numFmtId="174" fontId="37" fillId="0" borderId="0" applyProtection="0"/>
    <xf numFmtId="174" fontId="37" fillId="0" borderId="0" applyProtection="0"/>
    <xf numFmtId="174" fontId="37" fillId="0" borderId="0" applyProtection="0"/>
    <xf numFmtId="0" fontId="17" fillId="0" borderId="0"/>
    <xf numFmtId="0" fontId="47" fillId="10" borderId="0" applyNumberFormat="0" applyFont="0" applyBorder="0" applyAlignment="0"/>
    <xf numFmtId="237" fontId="17" fillId="0" borderId="0" applyFont="0" applyFill="0" applyBorder="0" applyAlignment="0" applyProtection="0"/>
    <xf numFmtId="238" fontId="76"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9" fontId="17" fillId="0" borderId="0"/>
    <xf numFmtId="240" fontId="57" fillId="0" borderId="0"/>
    <xf numFmtId="240" fontId="57" fillId="0" borderId="0"/>
    <xf numFmtId="238" fontId="76" fillId="0" borderId="0"/>
    <xf numFmtId="0" fontId="57" fillId="0" borderId="0"/>
    <xf numFmtId="238" fontId="63" fillId="0" borderId="0"/>
    <xf numFmtId="239" fontId="17" fillId="0" borderId="0"/>
    <xf numFmtId="240" fontId="57" fillId="0" borderId="0"/>
    <xf numFmtId="240" fontId="57" fillId="0" borderId="0"/>
    <xf numFmtId="0" fontId="57" fillId="0" borderId="0"/>
    <xf numFmtId="0" fontId="57"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0" fontId="57"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8" fontId="76" fillId="0" borderId="0"/>
    <xf numFmtId="238" fontId="76" fillId="0" borderId="0"/>
    <xf numFmtId="237" fontId="17" fillId="0" borderId="0" applyFont="0" applyFill="0" applyBorder="0" applyAlignment="0" applyProtection="0"/>
    <xf numFmtId="238" fontId="76" fillId="0" borderId="0"/>
    <xf numFmtId="238" fontId="76"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244" fontId="25" fillId="11" borderId="0" applyFont="0" applyFill="0" applyBorder="0" applyAlignment="0" applyProtection="0"/>
    <xf numFmtId="245" fontId="25" fillId="11" borderId="0" applyFont="0" applyFill="0" applyBorder="0" applyAlignment="0" applyProtection="0"/>
    <xf numFmtId="246" fontId="17" fillId="0" borderId="0" applyFont="0" applyFill="0" applyBorder="0" applyAlignment="0" applyProtection="0"/>
    <xf numFmtId="9" fontId="17" fillId="0" borderId="0" applyFont="0" applyFill="0" applyBorder="0" applyAlignment="0" applyProtection="0"/>
    <xf numFmtId="247" fontId="62" fillId="0" borderId="0" applyFont="0" applyFill="0" applyBorder="0" applyAlignment="0" applyProtection="0"/>
    <xf numFmtId="248" fontId="53" fillId="0" borderId="0" applyFont="0" applyFill="0" applyBorder="0" applyAlignment="0" applyProtection="0"/>
    <xf numFmtId="249" fontId="17" fillId="0" borderId="0" applyFont="0" applyFill="0" applyBorder="0" applyAlignment="0" applyProtection="0"/>
    <xf numFmtId="250" fontId="55" fillId="0" borderId="0" applyFont="0" applyFill="0" applyBorder="0" applyAlignment="0" applyProtection="0"/>
    <xf numFmtId="251" fontId="55" fillId="0" borderId="0" applyFont="0" applyFill="0" applyBorder="0" applyAlignment="0" applyProtection="0"/>
    <xf numFmtId="252" fontId="55" fillId="0" borderId="0" applyFont="0" applyFill="0" applyBorder="0" applyAlignment="0" applyProtection="0"/>
    <xf numFmtId="253" fontId="55" fillId="0" borderId="0" applyFont="0" applyFill="0" applyBorder="0" applyAlignment="0" applyProtection="0"/>
    <xf numFmtId="254" fontId="62" fillId="0" borderId="0" applyFont="0" applyFill="0" applyBorder="0" applyAlignment="0" applyProtection="0"/>
    <xf numFmtId="255" fontId="53" fillId="0" borderId="0" applyFont="0" applyFill="0" applyBorder="0" applyAlignment="0" applyProtection="0"/>
    <xf numFmtId="256" fontId="62" fillId="0" borderId="0" applyFont="0" applyFill="0" applyBorder="0" applyAlignment="0" applyProtection="0"/>
    <xf numFmtId="257" fontId="53" fillId="0" borderId="0" applyFont="0" applyFill="0" applyBorder="0" applyAlignment="0" applyProtection="0"/>
    <xf numFmtId="258" fontId="62" fillId="0" borderId="0" applyFont="0" applyFill="0" applyBorder="0" applyAlignment="0" applyProtection="0"/>
    <xf numFmtId="259" fontId="53" fillId="0" borderId="0" applyFont="0" applyFill="0" applyBorder="0" applyAlignment="0" applyProtection="0"/>
    <xf numFmtId="260" fontId="20" fillId="0" borderId="0" applyFont="0" applyFill="0" applyBorder="0" applyAlignment="0" applyProtection="0">
      <protection locked="0"/>
    </xf>
    <xf numFmtId="261" fontId="53"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191" fontId="63" fillId="0" borderId="0" applyFill="0" applyBorder="0" applyAlignment="0" applyProtection="0"/>
    <xf numFmtId="9" fontId="67" fillId="0" borderId="0" applyBorder="0"/>
    <xf numFmtId="171" fontId="67" fillId="0" borderId="0" applyBorder="0"/>
    <xf numFmtId="10" fontId="67" fillId="0" borderId="0" applyBorder="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7" fillId="0" borderId="0">
      <alignment horizontal="left" vertical="top"/>
    </xf>
    <xf numFmtId="0" fontId="39" fillId="0" borderId="8">
      <alignment horizontal="center"/>
    </xf>
    <xf numFmtId="3" fontId="38" fillId="0" borderId="0" applyFont="0" applyFill="0" applyBorder="0" applyAlignment="0" applyProtection="0"/>
    <xf numFmtId="0" fontId="38" fillId="12" borderId="0" applyNumberFormat="0" applyFont="0" applyBorder="0" applyAlignment="0" applyProtection="0"/>
    <xf numFmtId="3" fontId="17" fillId="0" borderId="0">
      <alignment horizontal="right" vertical="top"/>
    </xf>
    <xf numFmtId="41" fontId="24" fillId="9" borderId="11" applyFill="0"/>
    <xf numFmtId="0" fontId="40" fillId="0" borderId="0">
      <alignment horizontal="left" indent="7"/>
    </xf>
    <xf numFmtId="41" fontId="24" fillId="0" borderId="11" applyFill="0">
      <alignment horizontal="left" indent="2"/>
    </xf>
    <xf numFmtId="174" fontId="41" fillId="0" borderId="1" applyFill="0">
      <alignment horizontal="right"/>
    </xf>
    <xf numFmtId="0" fontId="42" fillId="0" borderId="9" applyNumberFormat="0" applyFont="0" applyBorder="0">
      <alignment horizontal="right"/>
    </xf>
    <xf numFmtId="0" fontId="43" fillId="0" borderId="0" applyFill="0"/>
    <xf numFmtId="0" fontId="19" fillId="0" borderId="0" applyFill="0"/>
    <xf numFmtId="4" fontId="41" fillId="0" borderId="1" applyFill="0"/>
    <xf numFmtId="0" fontId="17" fillId="0" borderId="0" applyNumberFormat="0" applyFont="0" applyBorder="0" applyAlignment="0"/>
    <xf numFmtId="0" fontId="22" fillId="0" borderId="0" applyFill="0">
      <alignment horizontal="left" indent="1"/>
    </xf>
    <xf numFmtId="0" fontId="44"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5" fillId="0" borderId="0">
      <alignment horizontal="left" indent="3"/>
    </xf>
    <xf numFmtId="0" fontId="46"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0" fontId="1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12" applyNumberFormat="0" applyFont="0" applyFill="0" applyAlignment="0" applyProtection="0"/>
    <xf numFmtId="0" fontId="77" fillId="0" borderId="0" applyNumberFormat="0" applyFill="0" applyBorder="0" applyAlignment="0" applyProtection="0"/>
    <xf numFmtId="0" fontId="78" fillId="0" borderId="0"/>
    <xf numFmtId="0" fontId="78" fillId="0" borderId="0"/>
    <xf numFmtId="0" fontId="54" fillId="0" borderId="8">
      <alignment horizontal="right"/>
    </xf>
    <xf numFmtId="0" fontId="16" fillId="13" borderId="0"/>
    <xf numFmtId="262" fontId="64" fillId="0" borderId="0">
      <alignment horizontal="center"/>
    </xf>
    <xf numFmtId="263" fontId="79" fillId="0" borderId="0">
      <alignment horizontal="center"/>
    </xf>
    <xf numFmtId="0" fontId="80" fillId="0" borderId="0" applyNumberFormat="0" applyFill="0" applyBorder="0" applyAlignment="0" applyProtection="0"/>
    <xf numFmtId="0" fontId="81" fillId="0" borderId="0" applyNumberFormat="0" applyBorder="0" applyAlignment="0"/>
    <xf numFmtId="0" fontId="50" fillId="0" borderId="0" applyNumberFormat="0" applyBorder="0" applyAlignment="0"/>
    <xf numFmtId="0" fontId="17" fillId="9" borderId="4" applyNumberFormat="0" applyFont="0" applyAlignment="0"/>
    <xf numFmtId="0" fontId="66" fillId="3" borderId="0" applyNumberFormat="0" applyFont="0" applyBorder="0" applyAlignment="0" applyProtection="0"/>
    <xf numFmtId="244" fontId="82" fillId="0" borderId="7" applyNumberFormat="0" applyFont="0" applyFill="0" applyAlignment="0" applyProtection="0"/>
    <xf numFmtId="0" fontId="48" fillId="0" borderId="0" applyFill="0" applyBorder="0" applyProtection="0">
      <alignment horizontal="left" vertical="top"/>
    </xf>
    <xf numFmtId="0" fontId="83" fillId="0" borderId="0" applyAlignment="0">
      <alignment horizontal="centerContinuous"/>
    </xf>
    <xf numFmtId="0" fontId="17" fillId="0" borderId="3" applyNumberFormat="0" applyFont="0" applyFill="0" applyAlignment="0" applyProtection="0"/>
    <xf numFmtId="0" fontId="17" fillId="0" borderId="0" applyFont="0" applyFill="0" applyBorder="0" applyAlignment="0" applyProtection="0"/>
    <xf numFmtId="0" fontId="84" fillId="0" borderId="0" applyNumberFormat="0" applyFill="0" applyBorder="0" applyAlignment="0" applyProtection="0"/>
    <xf numFmtId="264" fontId="53" fillId="0" borderId="0" applyFont="0" applyFill="0" applyBorder="0" applyAlignment="0" applyProtection="0"/>
    <xf numFmtId="265" fontId="53" fillId="0" borderId="0" applyFont="0" applyFill="0" applyBorder="0" applyAlignment="0" applyProtection="0"/>
    <xf numFmtId="266" fontId="53" fillId="0" borderId="0" applyFont="0" applyFill="0" applyBorder="0" applyAlignment="0" applyProtection="0"/>
    <xf numFmtId="267" fontId="53" fillId="0" borderId="0" applyFont="0" applyFill="0" applyBorder="0" applyAlignment="0" applyProtection="0"/>
    <xf numFmtId="268" fontId="53" fillId="0" borderId="0" applyFont="0" applyFill="0" applyBorder="0" applyAlignment="0" applyProtection="0"/>
    <xf numFmtId="269" fontId="53" fillId="0" borderId="0" applyFont="0" applyFill="0" applyBorder="0" applyAlignment="0" applyProtection="0"/>
    <xf numFmtId="270" fontId="53" fillId="0" borderId="0" applyFont="0" applyFill="0" applyBorder="0" applyAlignment="0" applyProtection="0"/>
    <xf numFmtId="271" fontId="53" fillId="0" borderId="0" applyFont="0" applyFill="0" applyBorder="0" applyAlignment="0" applyProtection="0"/>
    <xf numFmtId="272" fontId="85" fillId="3" borderId="13" applyFont="0" applyFill="0" applyBorder="0" applyAlignment="0" applyProtection="0"/>
    <xf numFmtId="272" fontId="57" fillId="0" borderId="0" applyFont="0" applyFill="0" applyBorder="0" applyAlignment="0" applyProtection="0"/>
    <xf numFmtId="273" fontId="60" fillId="0" borderId="0" applyFont="0" applyFill="0" applyBorder="0" applyAlignment="0" applyProtection="0"/>
    <xf numFmtId="274" fontId="64" fillId="0" borderId="7" applyFont="0" applyFill="0" applyBorder="0" applyAlignment="0" applyProtection="0">
      <alignment horizontal="right"/>
      <protection locked="0"/>
    </xf>
    <xf numFmtId="43" fontId="13" fillId="0" borderId="0" applyFont="0" applyFill="0" applyBorder="0" applyAlignment="0" applyProtection="0"/>
    <xf numFmtId="0" fontId="101" fillId="0" borderId="0"/>
    <xf numFmtId="43" fontId="8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4" fillId="0" borderId="0"/>
    <xf numFmtId="0" fontId="11" fillId="0" borderId="0"/>
    <xf numFmtId="0" fontId="11" fillId="0" borderId="0"/>
    <xf numFmtId="0" fontId="11"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38"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05"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19" borderId="0" applyNumberFormat="0" applyBorder="0" applyAlignment="0" applyProtection="0"/>
    <xf numFmtId="0" fontId="105" fillId="22" borderId="0" applyNumberFormat="0" applyBorder="0" applyAlignment="0" applyProtection="0"/>
    <xf numFmtId="0" fontId="105" fillId="25" borderId="0" applyNumberFormat="0" applyBorder="0" applyAlignment="0" applyProtection="0"/>
    <xf numFmtId="0" fontId="106" fillId="26"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33" borderId="0" applyNumberFormat="0" applyBorder="0" applyAlignment="0" applyProtection="0"/>
    <xf numFmtId="0" fontId="107" fillId="17" borderId="0" applyNumberFormat="0" applyBorder="0" applyAlignment="0" applyProtection="0"/>
    <xf numFmtId="0" fontId="108" fillId="34" borderId="25" applyNumberFormat="0" applyAlignment="0" applyProtection="0"/>
    <xf numFmtId="0" fontId="109" fillId="35" borderId="26" applyNumberFormat="0" applyAlignment="0" applyProtection="0"/>
    <xf numFmtId="9"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0" fillId="0" borderId="0" applyNumberFormat="0" applyFill="0" applyBorder="0" applyAlignment="0" applyProtection="0"/>
    <xf numFmtId="0" fontId="111" fillId="18" borderId="0" applyNumberFormat="0" applyBorder="0" applyAlignment="0" applyProtection="0"/>
    <xf numFmtId="43" fontId="38" fillId="0" borderId="0" applyFont="0" applyFill="0" applyBorder="0" applyAlignment="0" applyProtection="0"/>
    <xf numFmtId="0" fontId="112" fillId="0" borderId="27" applyNumberFormat="0" applyFill="0" applyAlignment="0" applyProtection="0"/>
    <xf numFmtId="0" fontId="112" fillId="0" borderId="0" applyNumberFormat="0" applyFill="0" applyBorder="0" applyAlignment="0" applyProtection="0"/>
    <xf numFmtId="0" fontId="113" fillId="21" borderId="25" applyNumberFormat="0" applyAlignment="0" applyProtection="0"/>
    <xf numFmtId="0" fontId="114" fillId="0" borderId="28" applyNumberFormat="0" applyFill="0" applyAlignment="0" applyProtection="0"/>
    <xf numFmtId="0" fontId="115" fillId="36" borderId="0" applyNumberFormat="0" applyBorder="0" applyAlignment="0" applyProtection="0"/>
    <xf numFmtId="43" fontId="10" fillId="0" borderId="0" applyFont="0" applyFill="0" applyBorder="0" applyAlignment="0" applyProtection="0"/>
    <xf numFmtId="0" fontId="17" fillId="0" borderId="0"/>
    <xf numFmtId="0" fontId="17" fillId="0" borderId="0"/>
    <xf numFmtId="0" fontId="17" fillId="0" borderId="0"/>
    <xf numFmtId="43" fontId="10" fillId="0" borderId="0" applyFont="0" applyFill="0" applyBorder="0" applyAlignment="0" applyProtection="0"/>
    <xf numFmtId="0" fontId="37" fillId="37" borderId="29" applyNumberFormat="0" applyFont="0" applyAlignment="0" applyProtection="0"/>
    <xf numFmtId="0" fontId="116" fillId="34" borderId="30"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37" fillId="0" borderId="0" applyFon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 fillId="0" borderId="0"/>
    <xf numFmtId="0" fontId="10" fillId="0" borderId="0"/>
    <xf numFmtId="0" fontId="17" fillId="0" borderId="0"/>
    <xf numFmtId="0" fontId="98" fillId="0" borderId="0">
      <alignment vertical="top"/>
    </xf>
    <xf numFmtId="0" fontId="10" fillId="0" borderId="0"/>
    <xf numFmtId="174" fontId="37" fillId="0" borderId="0" applyProtection="0"/>
    <xf numFmtId="174" fontId="37" fillId="0" borderId="0" applyProtection="0"/>
    <xf numFmtId="0" fontId="17" fillId="0" borderId="0"/>
    <xf numFmtId="44" fontId="37" fillId="0" borderId="0" applyFont="0" applyFill="0" applyBorder="0" applyAlignment="0" applyProtection="0"/>
    <xf numFmtId="0" fontId="10" fillId="0" borderId="0"/>
    <xf numFmtId="9"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7" fillId="0" borderId="0" applyFont="0" applyFill="0" applyBorder="0" applyAlignment="0" applyProtection="0"/>
    <xf numFmtId="0" fontId="9" fillId="0" borderId="0"/>
    <xf numFmtId="0" fontId="9" fillId="0" borderId="0"/>
    <xf numFmtId="0" fontId="9" fillId="0" borderId="0"/>
    <xf numFmtId="0" fontId="9" fillId="0" borderId="0"/>
    <xf numFmtId="9" fontId="37" fillId="0" borderId="0" applyFont="0" applyFill="0" applyBorder="0" applyAlignment="0" applyProtection="0"/>
    <xf numFmtId="0" fontId="119" fillId="0" borderId="0"/>
    <xf numFmtId="9" fontId="119" fillId="0" borderId="0" applyFont="0" applyFill="0" applyBorder="0" applyAlignment="0" applyProtection="0"/>
    <xf numFmtId="0" fontId="113" fillId="21" borderId="25" applyNumberFormat="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3" fontId="119" fillId="0" borderId="0" applyFont="0" applyFill="0" applyBorder="0" applyAlignment="0" applyProtection="0"/>
    <xf numFmtId="0" fontId="113" fillId="21" borderId="25" applyNumberFormat="0" applyAlignment="0" applyProtection="0"/>
    <xf numFmtId="0" fontId="119" fillId="0" borderId="0"/>
    <xf numFmtId="9" fontId="119" fillId="0" borderId="0" applyFont="0" applyFill="0" applyBorder="0" applyAlignment="0" applyProtection="0"/>
    <xf numFmtId="9" fontId="119" fillId="0" borderId="0" applyFont="0" applyFill="0" applyBorder="0" applyAlignment="0" applyProtection="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7" fillId="0" borderId="0"/>
    <xf numFmtId="0" fontId="7" fillId="0" borderId="0"/>
    <xf numFmtId="0" fontId="7" fillId="0" borderId="0"/>
    <xf numFmtId="44" fontId="37" fillId="0" borderId="0" applyFont="0" applyFill="0" applyBorder="0" applyAlignment="0" applyProtection="0"/>
    <xf numFmtId="0" fontId="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05" fillId="1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05" fillId="1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05" fillId="1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05" fillId="20"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05" fillId="21"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05" fillId="23"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05" fillId="2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05" fillId="2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06" fillId="26" borderId="0" applyNumberFormat="0" applyBorder="0" applyAlignment="0" applyProtection="0"/>
    <xf numFmtId="0" fontId="146" fillId="48"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06" fillId="23" borderId="0" applyNumberFormat="0" applyBorder="0" applyAlignment="0" applyProtection="0"/>
    <xf numFmtId="0" fontId="146" fillId="52"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06" fillId="24" borderId="0" applyNumberFormat="0" applyBorder="0" applyAlignment="0" applyProtection="0"/>
    <xf numFmtId="0" fontId="146" fillId="56"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60"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4"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06" fillId="29" borderId="0" applyNumberFormat="0" applyBorder="0" applyAlignment="0" applyProtection="0"/>
    <xf numFmtId="0" fontId="146" fillId="68"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06" fillId="30" borderId="0" applyNumberFormat="0" applyBorder="0" applyAlignment="0" applyProtection="0"/>
    <xf numFmtId="0" fontId="146" fillId="45"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06" fillId="31" borderId="0" applyNumberFormat="0" applyBorder="0" applyAlignment="0" applyProtection="0"/>
    <xf numFmtId="0" fontId="146" fillId="4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06" fillId="32" borderId="0" applyNumberFormat="0" applyBorder="0" applyAlignment="0" applyProtection="0"/>
    <xf numFmtId="0" fontId="146" fillId="53"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5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1"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06" fillId="33" borderId="0" applyNumberFormat="0" applyBorder="0" applyAlignment="0" applyProtection="0"/>
    <xf numFmtId="0" fontId="146" fillId="6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07" fillId="17" borderId="0" applyNumberFormat="0" applyBorder="0" applyAlignment="0" applyProtection="0"/>
    <xf numFmtId="0" fontId="137" fillId="39"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50" fillId="34" borderId="25" applyNumberFormat="0" applyAlignment="0" applyProtection="0"/>
    <xf numFmtId="0" fontId="150" fillId="34" borderId="25" applyNumberFormat="0" applyAlignment="0" applyProtection="0"/>
    <xf numFmtId="0" fontId="108" fillId="34" borderId="25" applyNumberFormat="0" applyAlignment="0" applyProtection="0"/>
    <xf numFmtId="0" fontId="141" fillId="42" borderId="36"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51" fillId="35" borderId="26" applyNumberFormat="0" applyAlignment="0" applyProtection="0"/>
    <xf numFmtId="0" fontId="151" fillId="35" borderId="26" applyNumberFormat="0" applyAlignment="0" applyProtection="0"/>
    <xf numFmtId="0" fontId="109" fillId="35" borderId="26" applyNumberFormat="0" applyAlignment="0" applyProtection="0"/>
    <xf numFmtId="0" fontId="143" fillId="43" borderId="39"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40" fontId="38" fillId="0" borderId="0" applyFont="0" applyFill="0" applyBorder="0" applyAlignment="0" applyProtection="0"/>
    <xf numFmtId="40"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3" fontId="104"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3"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8" fontId="152" fillId="0" borderId="0" applyFont="0" applyFill="0" applyBorder="0" applyAlignment="0" applyProtection="0"/>
    <xf numFmtId="0" fontId="152" fillId="0" borderId="0" applyFon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10" fillId="0" borderId="0" applyNumberFormat="0" applyFill="0" applyBorder="0" applyAlignment="0" applyProtection="0"/>
    <xf numFmtId="0" fontId="14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2" fontId="152" fillId="0" borderId="0" applyFont="0" applyFill="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11" fillId="18" borderId="0" applyNumberFormat="0" applyBorder="0" applyAlignment="0" applyProtection="0"/>
    <xf numFmtId="0" fontId="136" fillId="3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33"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0" borderId="0" applyFont="0" applyFill="0" applyBorder="0" applyAlignment="0" applyProtection="0"/>
    <xf numFmtId="0" fontId="156" fillId="0" borderId="44" applyNumberFormat="0" applyFill="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9" fillId="0" borderId="0" applyFont="0" applyFill="0" applyBorder="0" applyAlignment="0" applyProtection="0"/>
    <xf numFmtId="0" fontId="158" fillId="0" borderId="45" applyNumberFormat="0" applyFill="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12" fillId="0" borderId="27" applyNumberFormat="0" applyFill="0" applyAlignment="0" applyProtection="0"/>
    <xf numFmtId="0" fontId="135" fillId="0" borderId="35"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12" fillId="0" borderId="0" applyNumberFormat="0" applyFill="0" applyBorder="0" applyAlignment="0" applyProtection="0"/>
    <xf numFmtId="0" fontId="135"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60" fillId="21" borderId="25" applyNumberFormat="0" applyAlignment="0" applyProtection="0"/>
    <xf numFmtId="0" fontId="139" fillId="41" borderId="36"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61" fillId="0" borderId="28" applyNumberFormat="0" applyFill="0" applyAlignment="0" applyProtection="0"/>
    <xf numFmtId="0" fontId="161" fillId="0" borderId="28" applyNumberFormat="0" applyFill="0" applyAlignment="0" applyProtection="0"/>
    <xf numFmtId="0" fontId="114" fillId="0" borderId="28" applyNumberFormat="0" applyFill="0" applyAlignment="0" applyProtection="0"/>
    <xf numFmtId="0" fontId="142" fillId="0" borderId="3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62" fillId="36" borderId="0" applyNumberFormat="0" applyBorder="0" applyAlignment="0" applyProtection="0"/>
    <xf numFmtId="0" fontId="162" fillId="36" borderId="0" applyNumberFormat="0" applyBorder="0" applyAlignment="0" applyProtection="0"/>
    <xf numFmtId="0" fontId="115" fillId="36" borderId="0" applyNumberFormat="0" applyBorder="0" applyAlignment="0" applyProtection="0"/>
    <xf numFmtId="0" fontId="138" fillId="40"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0" borderId="0"/>
    <xf numFmtId="0" fontId="38" fillId="0" borderId="0"/>
    <xf numFmtId="0" fontId="17" fillId="0" borderId="0"/>
    <xf numFmtId="0" fontId="38" fillId="0" borderId="0"/>
    <xf numFmtId="174" fontId="37" fillId="0" borderId="0" applyProtection="0"/>
    <xf numFmtId="0" fontId="38" fillId="0" borderId="0"/>
    <xf numFmtId="0" fontId="38" fillId="0" borderId="0"/>
    <xf numFmtId="174" fontId="37" fillId="0" borderId="0" applyProtection="0"/>
    <xf numFmtId="174" fontId="37" fillId="0" borderId="0" applyProtection="0"/>
    <xf numFmtId="0" fontId="38" fillId="0" borderId="0"/>
    <xf numFmtId="0" fontId="38" fillId="0" borderId="0"/>
    <xf numFmtId="0" fontId="38" fillId="0" borderId="0"/>
    <xf numFmtId="0" fontId="17" fillId="0" borderId="0"/>
    <xf numFmtId="0" fontId="17" fillId="0" borderId="0"/>
    <xf numFmtId="0" fontId="17" fillId="0" borderId="0"/>
    <xf numFmtId="0" fontId="163" fillId="0" borderId="0"/>
    <xf numFmtId="0" fontId="38" fillId="0" borderId="0"/>
    <xf numFmtId="0" fontId="164" fillId="0" borderId="0"/>
    <xf numFmtId="0" fontId="38" fillId="0" borderId="0"/>
    <xf numFmtId="0" fontId="164" fillId="0" borderId="0"/>
    <xf numFmtId="0" fontId="17" fillId="0" borderId="0"/>
    <xf numFmtId="0" fontId="1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37" borderId="29" applyNumberFormat="0" applyFont="0" applyAlignment="0" applyProtection="0"/>
    <xf numFmtId="0" fontId="17" fillId="37" borderId="29" applyNumberFormat="0" applyFont="0" applyAlignment="0" applyProtection="0"/>
    <xf numFmtId="0" fontId="37" fillId="37" borderId="29"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165" fillId="34" borderId="30" applyNumberFormat="0" applyAlignment="0" applyProtection="0"/>
    <xf numFmtId="0" fontId="165" fillId="34" borderId="30" applyNumberFormat="0" applyAlignment="0" applyProtection="0"/>
    <xf numFmtId="0" fontId="116" fillId="34" borderId="30" applyNumberFormat="0" applyAlignment="0" applyProtection="0"/>
    <xf numFmtId="0" fontId="140" fillId="42" borderId="37"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164"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164"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166"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164"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64"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17" fillId="0" borderId="0" applyNumberFormat="0" applyFill="0" applyBorder="0" applyAlignment="0" applyProtection="0"/>
    <xf numFmtId="0" fontId="13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 fillId="0" borderId="0" applyFont="0" applyFill="0" applyBorder="0" applyAlignment="0" applyProtection="0"/>
    <xf numFmtId="0" fontId="152" fillId="0" borderId="2" applyNumberFormat="0" applyFont="0" applyFill="0" applyAlignment="0" applyProtection="0"/>
    <xf numFmtId="0" fontId="152" fillId="0" borderId="2" applyNumberFormat="0" applyFont="0" applyFill="0" applyAlignment="0" applyProtection="0"/>
    <xf numFmtId="0" fontId="17" fillId="0" borderId="0" applyFont="0" applyFill="0" applyBorder="0" applyAlignment="0" applyProtection="0"/>
    <xf numFmtId="0" fontId="167" fillId="0" borderId="46"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18" fillId="0" borderId="0" applyNumberFormat="0" applyFill="0" applyBorder="0" applyAlignment="0" applyProtection="0"/>
    <xf numFmtId="0" fontId="14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3" fontId="17" fillId="0" borderId="0"/>
    <xf numFmtId="14" fontId="42" fillId="5" borderId="34">
      <alignment horizontal="center" vertical="center" wrapText="1"/>
    </xf>
    <xf numFmtId="0" fontId="35" fillId="0" borderId="34"/>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34">
      <alignment horizontal="center"/>
    </xf>
    <xf numFmtId="0" fontId="54" fillId="0" borderId="3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1042">
    <xf numFmtId="174" fontId="0" fillId="0" borderId="0" xfId="0" applyAlignment="1"/>
    <xf numFmtId="0" fontId="57" fillId="0" borderId="0" xfId="211" applyFont="1"/>
    <xf numFmtId="0" fontId="64" fillId="0" borderId="0" xfId="211" applyFont="1" applyAlignment="1">
      <alignment horizontal="centerContinuous"/>
    </xf>
    <xf numFmtId="0" fontId="64" fillId="0" borderId="0" xfId="211" applyFont="1" applyAlignment="1">
      <alignment horizontal="center" wrapText="1"/>
    </xf>
    <xf numFmtId="0" fontId="64" fillId="0" borderId="0" xfId="206" applyFont="1" applyFill="1" applyBorder="1" applyAlignment="1">
      <alignment horizontal="center" wrapText="1"/>
    </xf>
    <xf numFmtId="0" fontId="57" fillId="0" borderId="0" xfId="211" quotePrefix="1" applyFont="1" applyAlignment="1">
      <alignment horizontal="left"/>
    </xf>
    <xf numFmtId="41" fontId="57" fillId="14" borderId="0" xfId="211" applyNumberFormat="1" applyFont="1" applyFill="1"/>
    <xf numFmtId="0" fontId="57" fillId="0" borderId="0" xfId="211" applyFont="1" applyAlignment="1">
      <alignment horizontal="right"/>
    </xf>
    <xf numFmtId="37" fontId="57" fillId="0" borderId="0" xfId="211" applyNumberFormat="1" applyFont="1"/>
    <xf numFmtId="0" fontId="64" fillId="0" borderId="0" xfId="211" applyFont="1" applyAlignment="1">
      <alignment horizontal="centerContinuous" wrapText="1"/>
    </xf>
    <xf numFmtId="0" fontId="64" fillId="0" borderId="0" xfId="211" applyFont="1" applyAlignment="1">
      <alignment horizontal="center"/>
    </xf>
    <xf numFmtId="174" fontId="57" fillId="0" borderId="0" xfId="0" applyFont="1" applyAlignment="1">
      <alignment wrapText="1"/>
    </xf>
    <xf numFmtId="0" fontId="87" fillId="0" borderId="0" xfId="0" applyNumberFormat="1" applyFont="1" applyAlignment="1">
      <alignment horizontal="center"/>
    </xf>
    <xf numFmtId="174" fontId="87" fillId="0" borderId="0" xfId="0" applyFont="1" applyAlignment="1"/>
    <xf numFmtId="174" fontId="57" fillId="0" borderId="0" xfId="0" applyFont="1" applyAlignment="1"/>
    <xf numFmtId="174" fontId="57" fillId="0" borderId="0" xfId="207" applyFont="1" applyAlignment="1"/>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0" fontId="57" fillId="14" borderId="0" xfId="201" applyNumberFormat="1" applyFont="1" applyFill="1" applyAlignment="1">
      <alignment horizontal="right"/>
    </xf>
    <xf numFmtId="3" fontId="57" fillId="0" borderId="0" xfId="201" applyNumberFormat="1" applyFont="1" applyFill="1" applyBorder="1" applyAlignment="1"/>
    <xf numFmtId="3" fontId="57" fillId="0" borderId="0" xfId="201" applyNumberFormat="1" applyFont="1" applyFill="1" applyBorder="1" applyAlignment="1">
      <alignment horizontal="center"/>
    </xf>
    <xf numFmtId="0" fontId="57" fillId="0" borderId="0" xfId="201" applyNumberFormat="1" applyFont="1" applyFill="1" applyBorder="1" applyProtection="1">
      <protection locked="0"/>
    </xf>
    <xf numFmtId="174" fontId="57" fillId="0" borderId="0" xfId="201" applyFont="1" applyFill="1" applyBorder="1" applyAlignment="1"/>
    <xf numFmtId="0" fontId="57" fillId="0" borderId="0" xfId="201" applyNumberFormat="1" applyFont="1" applyFill="1" applyBorder="1"/>
    <xf numFmtId="43" fontId="57" fillId="0" borderId="0" xfId="59" applyFont="1" applyAlignment="1"/>
    <xf numFmtId="0" fontId="57" fillId="0" borderId="0" xfId="210" applyNumberFormat="1" applyFont="1" applyAlignment="1" applyProtection="1">
      <protection locked="0"/>
    </xf>
    <xf numFmtId="3" fontId="57" fillId="0" borderId="0" xfId="210" applyNumberFormat="1" applyFont="1" applyAlignment="1"/>
    <xf numFmtId="3" fontId="57" fillId="0" borderId="8" xfId="210" applyNumberFormat="1" applyFont="1" applyBorder="1" applyAlignment="1">
      <alignment horizontal="center"/>
    </xf>
    <xf numFmtId="0" fontId="57" fillId="0" borderId="0" xfId="210" applyNumberFormat="1" applyFont="1" applyAlignment="1"/>
    <xf numFmtId="3" fontId="57" fillId="0" borderId="0" xfId="210" applyNumberFormat="1" applyFont="1" applyAlignment="1">
      <alignment horizontal="center"/>
    </xf>
    <xf numFmtId="0" fontId="57" fillId="0" borderId="8" xfId="210" applyNumberFormat="1" applyFont="1" applyBorder="1" applyAlignment="1" applyProtection="1">
      <alignment horizontal="center"/>
      <protection locked="0"/>
    </xf>
    <xf numFmtId="174" fontId="57" fillId="0" borderId="0" xfId="210" applyFont="1" applyFill="1" applyAlignment="1"/>
    <xf numFmtId="169" fontId="57" fillId="0" borderId="0" xfId="210" applyNumberFormat="1" applyFont="1" applyAlignment="1"/>
    <xf numFmtId="174" fontId="57" fillId="0" borderId="0" xfId="210" applyFont="1" applyAlignment="1"/>
    <xf numFmtId="3" fontId="57" fillId="0" borderId="0" xfId="210" applyNumberFormat="1" applyFont="1" applyFill="1" applyAlignment="1"/>
    <xf numFmtId="166" fontId="57" fillId="0" borderId="0" xfId="210" applyNumberFormat="1" applyFont="1" applyAlignment="1">
      <alignment horizontal="center"/>
    </xf>
    <xf numFmtId="164" fontId="57" fillId="0" borderId="0" xfId="210" applyNumberFormat="1" applyFont="1" applyAlignment="1">
      <alignment horizontal="left"/>
    </xf>
    <xf numFmtId="0" fontId="57" fillId="0" borderId="0" xfId="210" applyNumberFormat="1" applyFont="1" applyFill="1" applyAlignment="1"/>
    <xf numFmtId="164" fontId="57" fillId="0" borderId="0" xfId="210" applyNumberFormat="1" applyFont="1" applyFill="1" applyAlignment="1">
      <alignment horizontal="left"/>
    </xf>
    <xf numFmtId="175" fontId="57" fillId="0" borderId="0" xfId="59" applyNumberFormat="1" applyFont="1" applyBorder="1" applyAlignment="1"/>
    <xf numFmtId="10" fontId="57" fillId="0" borderId="0" xfId="210" applyNumberFormat="1" applyFont="1" applyFill="1" applyAlignment="1">
      <alignment horizontal="left"/>
    </xf>
    <xf numFmtId="3" fontId="57" fillId="0" borderId="0" xfId="188" applyNumberFormat="1" applyFont="1" applyAlignment="1"/>
    <xf numFmtId="166" fontId="57" fillId="0" borderId="0" xfId="188" applyNumberFormat="1" applyFont="1" applyAlignment="1"/>
    <xf numFmtId="0" fontId="57" fillId="0" borderId="0" xfId="188" applyFont="1" applyAlignment="1"/>
    <xf numFmtId="164" fontId="57" fillId="0" borderId="0" xfId="210" applyNumberFormat="1" applyFont="1" applyFill="1" applyAlignment="1" applyProtection="1">
      <alignment horizontal="left"/>
      <protection locked="0"/>
    </xf>
    <xf numFmtId="174" fontId="57" fillId="0" borderId="1" xfId="201" applyFont="1" applyFill="1" applyBorder="1" applyAlignment="1"/>
    <xf numFmtId="175" fontId="57" fillId="0" borderId="0" xfId="59" applyNumberFormat="1" applyFont="1" applyFill="1" applyBorder="1" applyAlignment="1"/>
    <xf numFmtId="43" fontId="57" fillId="0" borderId="0" xfId="59" applyFont="1" applyFill="1" applyBorder="1" applyAlignment="1"/>
    <xf numFmtId="174" fontId="88" fillId="0" borderId="0" xfId="201" applyFont="1" applyFill="1" applyBorder="1" applyAlignment="1"/>
    <xf numFmtId="174" fontId="57" fillId="0" borderId="0" xfId="201" applyFont="1" applyFill="1" applyBorder="1" applyAlignment="1">
      <alignment horizontal="center"/>
    </xf>
    <xf numFmtId="174" fontId="57" fillId="0" borderId="0" xfId="201" applyFont="1" applyFill="1" applyBorder="1" applyAlignment="1">
      <alignment horizontal="right"/>
    </xf>
    <xf numFmtId="0" fontId="57" fillId="0" borderId="0" xfId="188" applyFont="1" applyFill="1"/>
    <xf numFmtId="0" fontId="57" fillId="0" borderId="0" xfId="201" applyNumberFormat="1" applyFont="1" applyFill="1" applyAlignment="1">
      <alignment horizontal="right"/>
    </xf>
    <xf numFmtId="0" fontId="89" fillId="0" borderId="0" xfId="201" applyNumberFormat="1" applyFont="1" applyFill="1" applyBorder="1"/>
    <xf numFmtId="0" fontId="89" fillId="0" borderId="0" xfId="201" applyNumberFormat="1" applyFont="1" applyFill="1" applyBorder="1" applyAlignment="1">
      <alignment horizontal="center"/>
    </xf>
    <xf numFmtId="49" fontId="57" fillId="0" borderId="0" xfId="201" applyNumberFormat="1" applyFont="1" applyFill="1" applyBorder="1"/>
    <xf numFmtId="3" fontId="57" fillId="0" borderId="0" xfId="201" applyNumberFormat="1" applyFont="1" applyFill="1" applyBorder="1"/>
    <xf numFmtId="0" fontId="57" fillId="0" borderId="0" xfId="201" applyNumberFormat="1" applyFont="1" applyFill="1" applyBorder="1" applyAlignment="1">
      <alignment horizontal="center"/>
    </xf>
    <xf numFmtId="49" fontId="57" fillId="0" borderId="0" xfId="201" applyNumberFormat="1" applyFont="1" applyFill="1" applyBorder="1" applyAlignment="1">
      <alignment horizontal="center"/>
    </xf>
    <xf numFmtId="0" fontId="57" fillId="0" borderId="0" xfId="201" applyNumberFormat="1" applyFont="1" applyFill="1" applyBorder="1" applyAlignment="1"/>
    <xf numFmtId="3" fontId="64" fillId="0" borderId="0" xfId="201" applyNumberFormat="1" applyFont="1" applyFill="1" applyBorder="1" applyAlignment="1">
      <alignment horizontal="center"/>
    </xf>
    <xf numFmtId="174" fontId="64" fillId="0" borderId="0" xfId="201" applyFont="1" applyFill="1" applyBorder="1" applyAlignment="1">
      <alignment horizontal="center"/>
    </xf>
    <xf numFmtId="0" fontId="64" fillId="0" borderId="0" xfId="201" applyNumberFormat="1" applyFont="1" applyFill="1" applyBorder="1" applyAlignment="1" applyProtection="1">
      <alignment horizontal="center"/>
      <protection locked="0"/>
    </xf>
    <xf numFmtId="0" fontId="64" fillId="0" borderId="0" xfId="201" applyNumberFormat="1" applyFont="1" applyFill="1" applyBorder="1" applyAlignment="1">
      <alignment horizontal="center"/>
    </xf>
    <xf numFmtId="0" fontId="64" fillId="0" borderId="0" xfId="201" applyNumberFormat="1" applyFont="1" applyFill="1" applyBorder="1" applyAlignment="1"/>
    <xf numFmtId="0" fontId="90"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alignment horizontal="left"/>
    </xf>
    <xf numFmtId="10" fontId="91" fillId="0" borderId="0" xfId="265" applyNumberFormat="1" applyFont="1" applyFill="1" applyBorder="1" applyAlignment="1"/>
    <xf numFmtId="10" fontId="64" fillId="0" borderId="0" xfId="201" applyNumberFormat="1" applyFont="1" applyFill="1" applyBorder="1" applyAlignment="1"/>
    <xf numFmtId="3" fontId="64" fillId="0" borderId="0" xfId="201" applyNumberFormat="1" applyFont="1" applyFill="1" applyBorder="1" applyAlignment="1"/>
    <xf numFmtId="165" fontId="64" fillId="0" borderId="0" xfId="201" applyNumberFormat="1" applyFont="1" applyFill="1" applyBorder="1" applyAlignment="1"/>
    <xf numFmtId="10" fontId="57" fillId="0" borderId="0" xfId="201" applyNumberFormat="1" applyFont="1" applyFill="1" applyBorder="1" applyAlignment="1"/>
    <xf numFmtId="49" fontId="64" fillId="0" borderId="0" xfId="201" applyNumberFormat="1" applyFont="1" applyFill="1" applyBorder="1" applyAlignment="1">
      <alignment horizontal="center"/>
    </xf>
    <xf numFmtId="174" fontId="64" fillId="0" borderId="0" xfId="201" applyFont="1" applyFill="1" applyBorder="1" applyAlignment="1"/>
    <xf numFmtId="3" fontId="64" fillId="0" borderId="0" xfId="201" applyNumberFormat="1" applyFont="1" applyFill="1" applyBorder="1" applyAlignment="1">
      <alignment horizontal="left"/>
    </xf>
    <xf numFmtId="10" fontId="64" fillId="0" borderId="0" xfId="265" applyNumberFormat="1" applyFont="1" applyFill="1" applyBorder="1" applyAlignment="1"/>
    <xf numFmtId="0" fontId="57" fillId="0" borderId="0" xfId="201" applyNumberFormat="1" applyFont="1" applyFill="1" applyBorder="1" applyAlignment="1">
      <alignment horizontal="fill"/>
    </xf>
    <xf numFmtId="174" fontId="92" fillId="0" borderId="0" xfId="201" applyFont="1" applyFill="1" applyBorder="1" applyAlignment="1"/>
    <xf numFmtId="3" fontId="92" fillId="0" borderId="0" xfId="201" applyNumberFormat="1" applyFont="1" applyFill="1" applyBorder="1" applyAlignment="1"/>
    <xf numFmtId="164" fontId="57" fillId="0" borderId="0" xfId="201" applyNumberFormat="1" applyFont="1" applyFill="1" applyBorder="1" applyAlignment="1">
      <alignment horizontal="left"/>
    </xf>
    <xf numFmtId="164" fontId="57" fillId="0" borderId="0" xfId="201" applyNumberFormat="1" applyFont="1" applyFill="1" applyBorder="1" applyAlignment="1">
      <alignment horizontal="center"/>
    </xf>
    <xf numFmtId="170" fontId="57" fillId="0" borderId="0" xfId="201" applyNumberFormat="1" applyFont="1" applyFill="1" applyBorder="1" applyAlignment="1"/>
    <xf numFmtId="0" fontId="92" fillId="0" borderId="0" xfId="201" applyNumberFormat="1" applyFont="1" applyFill="1" applyBorder="1"/>
    <xf numFmtId="177" fontId="64" fillId="0" borderId="0" xfId="201" applyNumberFormat="1" applyFont="1" applyFill="1" applyBorder="1" applyAlignment="1">
      <alignment horizontal="center"/>
    </xf>
    <xf numFmtId="174" fontId="64" fillId="0" borderId="7" xfId="201" applyFont="1" applyFill="1" applyBorder="1" applyAlignment="1"/>
    <xf numFmtId="0" fontId="64" fillId="0" borderId="7" xfId="201" applyNumberFormat="1" applyFont="1" applyFill="1" applyBorder="1" applyAlignment="1">
      <alignment horizontal="center" wrapText="1"/>
    </xf>
    <xf numFmtId="174" fontId="64" fillId="0" borderId="9" xfId="201" applyFont="1" applyFill="1" applyBorder="1" applyAlignment="1">
      <alignment horizontal="center" wrapText="1"/>
    </xf>
    <xf numFmtId="3" fontId="64" fillId="0" borderId="9" xfId="201" applyNumberFormat="1" applyFont="1" applyFill="1" applyBorder="1" applyAlignment="1">
      <alignment horizontal="center" wrapText="1"/>
    </xf>
    <xf numFmtId="0" fontId="57" fillId="0" borderId="7" xfId="201" applyNumberFormat="1" applyFont="1" applyFill="1" applyBorder="1"/>
    <xf numFmtId="0" fontId="57" fillId="0" borderId="7" xfId="201" applyNumberFormat="1" applyFont="1" applyFill="1" applyBorder="1" applyAlignment="1">
      <alignment horizontal="center"/>
    </xf>
    <xf numFmtId="0" fontId="57" fillId="0" borderId="9" xfId="201" applyNumberFormat="1" applyFont="1" applyFill="1" applyBorder="1" applyAlignment="1">
      <alignment horizontal="center"/>
    </xf>
    <xf numFmtId="3" fontId="57" fillId="0" borderId="9" xfId="201" applyNumberFormat="1" applyFont="1" applyFill="1" applyBorder="1" applyAlignment="1">
      <alignment horizontal="center" wrapText="1"/>
    </xf>
    <xf numFmtId="3" fontId="57" fillId="0" borderId="7" xfId="201" applyNumberFormat="1" applyFont="1" applyFill="1" applyBorder="1" applyAlignment="1">
      <alignment horizontal="center"/>
    </xf>
    <xf numFmtId="0" fontId="57" fillId="0" borderId="11" xfId="201" applyNumberFormat="1" applyFont="1" applyFill="1" applyBorder="1"/>
    <xf numFmtId="3" fontId="57" fillId="0" borderId="11" xfId="201" applyNumberFormat="1" applyFont="1" applyFill="1" applyBorder="1" applyAlignment="1"/>
    <xf numFmtId="174" fontId="57" fillId="0" borderId="0" xfId="209"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49" fontId="87" fillId="0" borderId="0" xfId="0" applyNumberFormat="1" applyFont="1" applyAlignment="1">
      <alignment horizontal="center"/>
    </xf>
    <xf numFmtId="3" fontId="87" fillId="0" borderId="0" xfId="210" applyNumberFormat="1" applyFont="1" applyAlignment="1"/>
    <xf numFmtId="0" fontId="57" fillId="0" borderId="0" xfId="192" applyFont="1"/>
    <xf numFmtId="43" fontId="57" fillId="0" borderId="0" xfId="192" applyNumberFormat="1" applyFont="1"/>
    <xf numFmtId="0" fontId="57" fillId="0" borderId="0" xfId="188" applyFont="1"/>
    <xf numFmtId="0" fontId="57" fillId="0" borderId="0" xfId="188" applyFont="1" applyAlignment="1">
      <alignment horizontal="right"/>
    </xf>
    <xf numFmtId="0" fontId="57" fillId="0" borderId="0" xfId="210" applyNumberFormat="1" applyFont="1" applyAlignment="1" applyProtection="1">
      <alignment horizontal="center"/>
      <protection locked="0"/>
    </xf>
    <xf numFmtId="0" fontId="57" fillId="0" borderId="0" xfId="210" applyNumberFormat="1" applyFont="1" applyFill="1" applyAlignment="1" applyProtection="1">
      <protection locked="0"/>
    </xf>
    <xf numFmtId="0" fontId="57" fillId="0" borderId="0" xfId="210" applyNumberFormat="1" applyFont="1" applyFill="1" applyProtection="1">
      <protection locked="0"/>
    </xf>
    <xf numFmtId="0" fontId="57" fillId="14" borderId="0" xfId="188" applyFont="1" applyFill="1"/>
    <xf numFmtId="0" fontId="57" fillId="0" borderId="0" xfId="210" applyNumberFormat="1" applyFont="1" applyProtection="1">
      <protection locked="0"/>
    </xf>
    <xf numFmtId="0" fontId="57" fillId="0" borderId="0" xfId="210" applyNumberFormat="1" applyFont="1"/>
    <xf numFmtId="0" fontId="94" fillId="0" borderId="0" xfId="210" applyNumberFormat="1" applyFont="1"/>
    <xf numFmtId="49" fontId="57" fillId="0" borderId="0" xfId="210" applyNumberFormat="1" applyFont="1" applyAlignment="1"/>
    <xf numFmtId="49" fontId="57" fillId="0" borderId="0" xfId="210" applyNumberFormat="1" applyFont="1" applyAlignment="1">
      <alignment horizontal="center"/>
    </xf>
    <xf numFmtId="0" fontId="57" fillId="0" borderId="0" xfId="210" applyNumberFormat="1" applyFont="1" applyAlignment="1">
      <alignment horizontal="center"/>
    </xf>
    <xf numFmtId="49" fontId="57" fillId="0" borderId="0" xfId="210" applyNumberFormat="1" applyFont="1"/>
    <xf numFmtId="3" fontId="57" fillId="0" borderId="0" xfId="210" applyNumberFormat="1" applyFont="1"/>
    <xf numFmtId="42" fontId="57" fillId="0" borderId="0" xfId="188" applyNumberFormat="1" applyFont="1"/>
    <xf numFmtId="0" fontId="57" fillId="0" borderId="0" xfId="210" applyNumberFormat="1" applyFont="1" applyFill="1"/>
    <xf numFmtId="0" fontId="57" fillId="0" borderId="8" xfId="210" applyNumberFormat="1" applyFont="1" applyBorder="1" applyAlignment="1" applyProtection="1">
      <alignment horizontal="centerContinuous"/>
      <protection locked="0"/>
    </xf>
    <xf numFmtId="3" fontId="57" fillId="0" borderId="0" xfId="210" applyNumberFormat="1" applyFont="1" applyFill="1" applyBorder="1"/>
    <xf numFmtId="3" fontId="57" fillId="0" borderId="0" xfId="210" applyNumberFormat="1" applyFont="1" applyAlignment="1">
      <alignment horizontal="left"/>
    </xf>
    <xf numFmtId="166" fontId="57" fillId="0" borderId="0" xfId="210" applyNumberFormat="1" applyFont="1" applyAlignment="1"/>
    <xf numFmtId="174" fontId="88" fillId="0" borderId="0" xfId="0" applyFont="1" applyAlignment="1"/>
    <xf numFmtId="0" fontId="57" fillId="0" borderId="0" xfId="206" applyNumberFormat="1" applyFont="1" applyAlignment="1" applyProtection="1">
      <alignment horizontal="center"/>
      <protection locked="0"/>
    </xf>
    <xf numFmtId="0" fontId="57" fillId="0" borderId="0" xfId="206" applyNumberFormat="1" applyFont="1" applyAlignment="1"/>
    <xf numFmtId="0" fontId="57" fillId="0" borderId="0" xfId="206" applyNumberFormat="1" applyFont="1"/>
    <xf numFmtId="0" fontId="57" fillId="0" borderId="0" xfId="206" applyNumberFormat="1" applyFont="1" applyBorder="1" applyAlignment="1"/>
    <xf numFmtId="0" fontId="57" fillId="0" borderId="0" xfId="210" applyNumberFormat="1" applyFont="1" applyFill="1" applyBorder="1"/>
    <xf numFmtId="0" fontId="57" fillId="0" borderId="0" xfId="206" applyFont="1" applyAlignment="1"/>
    <xf numFmtId="3" fontId="57" fillId="0" borderId="0" xfId="206" applyNumberFormat="1" applyFont="1" applyAlignment="1"/>
    <xf numFmtId="42" fontId="57" fillId="0" borderId="18" xfId="206" applyNumberFormat="1" applyFont="1" applyBorder="1" applyAlignment="1" applyProtection="1">
      <alignment horizontal="right"/>
      <protection locked="0"/>
    </xf>
    <xf numFmtId="0" fontId="57" fillId="0" borderId="0" xfId="210" applyNumberFormat="1" applyFont="1" applyFill="1" applyBorder="1" applyAlignment="1" applyProtection="1">
      <alignment horizontal="center"/>
      <protection locked="0"/>
    </xf>
    <xf numFmtId="174" fontId="57" fillId="0" borderId="0" xfId="210" applyFont="1" applyFill="1" applyBorder="1" applyAlignment="1"/>
    <xf numFmtId="0" fontId="57" fillId="0" borderId="0" xfId="210" applyNumberFormat="1" applyFont="1" applyFill="1" applyBorder="1" applyProtection="1">
      <protection locked="0"/>
    </xf>
    <xf numFmtId="173" fontId="57" fillId="0" borderId="0" xfId="210" applyNumberFormat="1" applyFont="1" applyFill="1" applyProtection="1">
      <protection locked="0"/>
    </xf>
    <xf numFmtId="173" fontId="57" fillId="0" borderId="0" xfId="210" applyNumberFormat="1" applyFont="1" applyProtection="1">
      <protection locked="0"/>
    </xf>
    <xf numFmtId="169" fontId="57" fillId="0" borderId="0" xfId="210" applyNumberFormat="1" applyFont="1"/>
    <xf numFmtId="0" fontId="57" fillId="0" borderId="0" xfId="210" applyNumberFormat="1" applyFont="1" applyAlignment="1">
      <alignment horizontal="right"/>
    </xf>
    <xf numFmtId="0" fontId="86" fillId="0" borderId="0" xfId="210" applyNumberFormat="1" applyFont="1" applyAlignment="1"/>
    <xf numFmtId="3" fontId="64" fillId="0" borderId="0" xfId="210" applyNumberFormat="1" applyFont="1" applyAlignment="1">
      <alignment horizontal="center"/>
    </xf>
    <xf numFmtId="0" fontId="64" fillId="0" borderId="0" xfId="210" applyNumberFormat="1" applyFont="1" applyAlignment="1" applyProtection="1">
      <alignment horizontal="center"/>
      <protection locked="0"/>
    </xf>
    <xf numFmtId="174" fontId="64" fillId="0" borderId="0" xfId="210" applyFont="1" applyAlignment="1">
      <alignment horizontal="center"/>
    </xf>
    <xf numFmtId="3" fontId="64" fillId="0" borderId="0" xfId="210" applyNumberFormat="1" applyFont="1" applyAlignment="1"/>
    <xf numFmtId="0" fontId="64" fillId="0" borderId="0" xfId="210" applyNumberFormat="1" applyFont="1" applyAlignment="1"/>
    <xf numFmtId="175" fontId="57" fillId="14" borderId="0" xfId="59" applyNumberFormat="1" applyFont="1" applyFill="1" applyAlignment="1"/>
    <xf numFmtId="175" fontId="57" fillId="14" borderId="8" xfId="59" applyNumberFormat="1" applyFont="1" applyFill="1" applyBorder="1" applyAlignment="1"/>
    <xf numFmtId="175" fontId="57" fillId="0" borderId="8" xfId="59" applyNumberFormat="1" applyFont="1" applyBorder="1" applyAlignment="1"/>
    <xf numFmtId="43" fontId="57" fillId="0" borderId="0" xfId="59" applyFont="1" applyAlignment="1">
      <alignment horizontal="center"/>
    </xf>
    <xf numFmtId="164" fontId="57" fillId="0" borderId="0" xfId="210" applyNumberFormat="1" applyFont="1" applyAlignment="1">
      <alignment horizontal="center"/>
    </xf>
    <xf numFmtId="175" fontId="57" fillId="14" borderId="0" xfId="59" applyNumberFormat="1" applyFont="1" applyFill="1" applyBorder="1" applyAlignment="1"/>
    <xf numFmtId="184" fontId="57" fillId="0" borderId="0" xfId="59" applyNumberFormat="1" applyFont="1" applyAlignment="1"/>
    <xf numFmtId="3" fontId="57" fillId="0" borderId="0" xfId="206" applyNumberFormat="1" applyFont="1" applyBorder="1" applyAlignment="1"/>
    <xf numFmtId="3" fontId="57" fillId="0" borderId="0" xfId="206" applyNumberFormat="1" applyFont="1" applyFill="1" applyBorder="1" applyAlignment="1"/>
    <xf numFmtId="0" fontId="57" fillId="0" borderId="0" xfId="206" applyFont="1" applyFill="1" applyBorder="1" applyAlignment="1"/>
    <xf numFmtId="3" fontId="57" fillId="0" borderId="0" xfId="206" applyNumberFormat="1" applyFont="1" applyFill="1" applyAlignment="1"/>
    <xf numFmtId="184" fontId="57" fillId="0" borderId="0" xfId="59" applyNumberFormat="1" applyFont="1" applyBorder="1" applyAlignment="1"/>
    <xf numFmtId="3" fontId="57" fillId="0" borderId="0" xfId="210" quotePrefix="1" applyNumberFormat="1" applyFont="1" applyAlignment="1">
      <alignment horizontal="left"/>
    </xf>
    <xf numFmtId="175" fontId="57" fillId="0" borderId="0" xfId="59" applyNumberFormat="1" applyFont="1" applyFill="1" applyAlignment="1"/>
    <xf numFmtId="3" fontId="57" fillId="0" borderId="0" xfId="188" applyNumberFormat="1" applyFont="1" applyFill="1" applyAlignment="1"/>
    <xf numFmtId="0" fontId="57" fillId="0" borderId="0" xfId="188" applyNumberFormat="1" applyFont="1"/>
    <xf numFmtId="175" fontId="57" fillId="0" borderId="18" xfId="59" applyNumberFormat="1" applyFont="1" applyBorder="1" applyAlignment="1"/>
    <xf numFmtId="164" fontId="57" fillId="0" borderId="0" xfId="188" applyNumberFormat="1" applyFont="1" applyAlignment="1">
      <alignment horizontal="center"/>
    </xf>
    <xf numFmtId="3" fontId="57" fillId="0" borderId="0" xfId="188" applyNumberFormat="1" applyFont="1" applyBorder="1" applyAlignment="1"/>
    <xf numFmtId="3" fontId="57" fillId="0" borderId="0" xfId="210" applyNumberFormat="1" applyFont="1" applyAlignment="1">
      <alignment horizontal="right"/>
    </xf>
    <xf numFmtId="0" fontId="57" fillId="0" borderId="0" xfId="206" applyNumberFormat="1" applyFont="1" applyFill="1" applyAlignment="1"/>
    <xf numFmtId="172" fontId="57" fillId="0" borderId="0" xfId="210" applyNumberFormat="1" applyFont="1" applyFill="1" applyAlignment="1">
      <alignment horizontal="left"/>
    </xf>
    <xf numFmtId="183" fontId="57" fillId="0" borderId="0" xfId="59" applyNumberFormat="1" applyFont="1" applyAlignment="1"/>
    <xf numFmtId="183" fontId="57" fillId="0" borderId="0" xfId="59" applyNumberFormat="1" applyFont="1" applyFill="1" applyAlignment="1"/>
    <xf numFmtId="183" fontId="57" fillId="0" borderId="0" xfId="59" applyNumberFormat="1" applyFont="1" applyFill="1" applyBorder="1" applyAlignment="1"/>
    <xf numFmtId="175" fontId="57" fillId="0" borderId="8" xfId="59" applyNumberFormat="1" applyFont="1" applyFill="1" applyBorder="1" applyAlignment="1"/>
    <xf numFmtId="0" fontId="57" fillId="0" borderId="0" xfId="210" applyNumberFormat="1" applyFont="1" applyAlignment="1">
      <alignment wrapText="1"/>
    </xf>
    <xf numFmtId="0" fontId="57" fillId="0" borderId="0" xfId="210" quotePrefix="1" applyNumberFormat="1" applyFont="1" applyAlignment="1">
      <alignment horizontal="left"/>
    </xf>
    <xf numFmtId="175" fontId="57" fillId="0" borderId="0" xfId="59" applyNumberFormat="1" applyFont="1" applyFill="1" applyAlignment="1">
      <alignment horizontal="right"/>
    </xf>
    <xf numFmtId="167" fontId="57" fillId="0" borderId="0" xfId="210" applyNumberFormat="1" applyFont="1" applyAlignment="1"/>
    <xf numFmtId="166" fontId="57" fillId="0" borderId="0" xfId="188" applyNumberFormat="1" applyFont="1" applyAlignment="1">
      <alignment horizontal="center"/>
    </xf>
    <xf numFmtId="164" fontId="57" fillId="0" borderId="0" xfId="210" applyNumberFormat="1" applyFont="1" applyAlignment="1" applyProtection="1">
      <alignment horizontal="left"/>
      <protection locked="0"/>
    </xf>
    <xf numFmtId="175" fontId="57" fillId="0" borderId="14" xfId="59" applyNumberFormat="1" applyFont="1" applyBorder="1" applyAlignment="1"/>
    <xf numFmtId="174" fontId="57" fillId="0" borderId="0" xfId="210" applyFont="1" applyAlignment="1">
      <alignment horizontal="right"/>
    </xf>
    <xf numFmtId="0" fontId="87" fillId="0" borderId="0" xfId="210" applyNumberFormat="1" applyFont="1" applyAlignment="1" applyProtection="1">
      <alignment horizontal="center"/>
      <protection locked="0"/>
    </xf>
    <xf numFmtId="0" fontId="57" fillId="0" borderId="8" xfId="210" applyNumberFormat="1" applyFont="1" applyFill="1" applyBorder="1" applyProtection="1">
      <protection locked="0"/>
    </xf>
    <xf numFmtId="0" fontId="57" fillId="0" borderId="8" xfId="210" applyNumberFormat="1" applyFont="1" applyFill="1" applyBorder="1"/>
    <xf numFmtId="3" fontId="57" fillId="0" borderId="0" xfId="210" applyNumberFormat="1" applyFont="1" applyFill="1" applyAlignment="1">
      <alignment horizontal="center"/>
    </xf>
    <xf numFmtId="49" fontId="57" fillId="0" borderId="0" xfId="210" applyNumberFormat="1" applyFont="1" applyFill="1"/>
    <xf numFmtId="49" fontId="57" fillId="0" borderId="0" xfId="210" applyNumberFormat="1" applyFont="1" applyFill="1" applyAlignment="1"/>
    <xf numFmtId="49" fontId="57" fillId="0" borderId="0" xfId="210" applyNumberFormat="1" applyFont="1" applyFill="1" applyAlignment="1">
      <alignment horizontal="center"/>
    </xf>
    <xf numFmtId="183" fontId="57" fillId="0" borderId="0" xfId="59" applyNumberFormat="1" applyFont="1" applyFill="1" applyAlignment="1">
      <alignment horizontal="right"/>
    </xf>
    <xf numFmtId="3" fontId="57" fillId="0" borderId="8" xfId="210" applyNumberFormat="1" applyFont="1" applyBorder="1" applyAlignment="1"/>
    <xf numFmtId="43" fontId="57" fillId="0" borderId="0" xfId="59" applyNumberFormat="1" applyFont="1" applyAlignment="1"/>
    <xf numFmtId="4" fontId="57" fillId="0" borderId="0" xfId="210" applyNumberFormat="1" applyFont="1" applyAlignment="1"/>
    <xf numFmtId="3" fontId="57" fillId="0" borderId="0" xfId="188" applyNumberFormat="1" applyFont="1" applyBorder="1" applyAlignment="1">
      <alignment horizontal="center"/>
    </xf>
    <xf numFmtId="0" fontId="57" fillId="0" borderId="8" xfId="188" applyNumberFormat="1" applyFont="1" applyBorder="1" applyAlignment="1">
      <alignment horizontal="center"/>
    </xf>
    <xf numFmtId="0" fontId="57" fillId="0" borderId="0" xfId="188" applyNumberFormat="1" applyFont="1" applyAlignment="1">
      <alignment horizontal="center"/>
    </xf>
    <xf numFmtId="3" fontId="57" fillId="0" borderId="0" xfId="210" quotePrefix="1" applyNumberFormat="1" applyFont="1" applyAlignment="1"/>
    <xf numFmtId="175" fontId="57" fillId="0" borderId="0" xfId="59" applyNumberFormat="1" applyFont="1" applyFill="1" applyAlignment="1">
      <alignment horizontal="center"/>
    </xf>
    <xf numFmtId="170" fontId="57" fillId="0" borderId="0" xfId="210" applyNumberFormat="1" applyFont="1" applyFill="1" applyBorder="1" applyProtection="1"/>
    <xf numFmtId="168" fontId="57" fillId="0" borderId="0" xfId="210" applyNumberFormat="1" applyFont="1" applyProtection="1">
      <protection locked="0"/>
    </xf>
    <xf numFmtId="1" fontId="57" fillId="0" borderId="0" xfId="210" applyNumberFormat="1" applyFont="1" applyFill="1" applyProtection="1"/>
    <xf numFmtId="1" fontId="57" fillId="0" borderId="0" xfId="210" applyNumberFormat="1" applyFont="1" applyFill="1" applyAlignment="1" applyProtection="1"/>
    <xf numFmtId="0" fontId="57" fillId="0" borderId="0" xfId="210" applyNumberFormat="1" applyFont="1" applyAlignment="1" applyProtection="1">
      <alignment horizontal="left"/>
      <protection locked="0"/>
    </xf>
    <xf numFmtId="3" fontId="57" fillId="0" borderId="0" xfId="210" applyNumberFormat="1" applyFont="1" applyFill="1" applyAlignment="1" applyProtection="1"/>
    <xf numFmtId="174" fontId="57" fillId="0" borderId="0" xfId="210" applyNumberFormat="1" applyFont="1" applyAlignment="1" applyProtection="1">
      <protection locked="0"/>
    </xf>
    <xf numFmtId="170" fontId="57" fillId="0" borderId="0" xfId="210" applyNumberFormat="1" applyFont="1" applyFill="1" applyBorder="1" applyAlignment="1" applyProtection="1"/>
    <xf numFmtId="170" fontId="57" fillId="0" borderId="0" xfId="210" applyNumberFormat="1" applyFont="1" applyAlignment="1" applyProtection="1">
      <alignment horizontal="right"/>
      <protection locked="0"/>
    </xf>
    <xf numFmtId="170" fontId="57" fillId="0" borderId="0" xfId="210" applyNumberFormat="1" applyFont="1" applyProtection="1">
      <protection locked="0"/>
    </xf>
    <xf numFmtId="3" fontId="57" fillId="0" borderId="0" xfId="210" applyNumberFormat="1" applyFont="1" applyAlignment="1">
      <alignment vertical="top" wrapText="1"/>
    </xf>
    <xf numFmtId="0" fontId="57" fillId="0" borderId="0" xfId="210" applyNumberFormat="1" applyFont="1" applyAlignment="1" applyProtection="1">
      <alignment vertical="top" wrapText="1"/>
      <protection locked="0"/>
    </xf>
    <xf numFmtId="174" fontId="86" fillId="0" borderId="15" xfId="201" applyFont="1" applyFill="1" applyBorder="1" applyAlignment="1"/>
    <xf numFmtId="174" fontId="86" fillId="0" borderId="1" xfId="201" applyFont="1" applyFill="1" applyBorder="1" applyAlignment="1"/>
    <xf numFmtId="177" fontId="64" fillId="0" borderId="0" xfId="201" quotePrefix="1" applyNumberFormat="1" applyFont="1" applyFill="1" applyBorder="1" applyAlignment="1">
      <alignment horizontal="center"/>
    </xf>
    <xf numFmtId="174" fontId="57" fillId="0" borderId="0" xfId="210" applyFont="1" applyAlignment="1">
      <alignment horizontal="center"/>
    </xf>
    <xf numFmtId="174" fontId="57" fillId="0" borderId="0" xfId="201" applyFont="1" applyFill="1" applyBorder="1" applyAlignment="1">
      <alignment horizontal="left"/>
    </xf>
    <xf numFmtId="0" fontId="57" fillId="0" borderId="0" xfId="210" applyNumberFormat="1" applyFont="1" applyFill="1" applyAlignment="1">
      <alignment horizontal="center"/>
    </xf>
    <xf numFmtId="10" fontId="57" fillId="0" borderId="0" xfId="265" applyNumberFormat="1" applyFont="1" applyAlignment="1"/>
    <xf numFmtId="0" fontId="57" fillId="0" borderId="0" xfId="187" applyFont="1" applyFill="1" applyBorder="1" applyAlignment="1">
      <alignment horizontal="center"/>
    </xf>
    <xf numFmtId="174" fontId="57" fillId="0" borderId="0" xfId="0" applyFont="1" applyFill="1" applyAlignment="1"/>
    <xf numFmtId="174" fontId="57" fillId="0" borderId="0" xfId="0" applyFont="1" applyAlignment="1">
      <alignment horizontal="center"/>
    </xf>
    <xf numFmtId="174" fontId="57" fillId="0" borderId="0" xfId="0" applyFont="1" applyAlignment="1">
      <alignment horizontal="right"/>
    </xf>
    <xf numFmtId="0" fontId="57" fillId="0" borderId="0" xfId="0" applyNumberFormat="1" applyFont="1" applyAlignment="1">
      <alignment horizontal="center"/>
    </xf>
    <xf numFmtId="0" fontId="57" fillId="0" borderId="0" xfId="0" applyNumberFormat="1" applyFont="1" applyAlignment="1">
      <alignment horizontal="center" wrapText="1"/>
    </xf>
    <xf numFmtId="0" fontId="86" fillId="0" borderId="0" xfId="0" applyNumberFormat="1" applyFont="1" applyAlignment="1">
      <alignment horizontal="center"/>
    </xf>
    <xf numFmtId="174" fontId="86" fillId="0" borderId="0" xfId="0" applyFont="1" applyAlignment="1">
      <alignment horizontal="center"/>
    </xf>
    <xf numFmtId="44" fontId="86" fillId="0" borderId="0" xfId="0" applyNumberFormat="1" applyFont="1" applyBorder="1" applyAlignment="1"/>
    <xf numFmtId="0" fontId="57" fillId="0" borderId="22" xfId="201" applyNumberFormat="1" applyFont="1" applyFill="1" applyBorder="1"/>
    <xf numFmtId="0" fontId="57" fillId="0" borderId="7" xfId="201" applyNumberFormat="1" applyFont="1" applyFill="1" applyBorder="1" applyAlignment="1">
      <alignment horizontal="center" wrapText="1"/>
    </xf>
    <xf numFmtId="174" fontId="47" fillId="0" borderId="0" xfId="0" applyFont="1" applyAlignment="1"/>
    <xf numFmtId="43" fontId="47" fillId="0" borderId="0" xfId="59" applyFont="1" applyAlignment="1"/>
    <xf numFmtId="175" fontId="47" fillId="0" borderId="0" xfId="59" applyNumberFormat="1" applyFont="1" applyAlignment="1" applyProtection="1">
      <alignment horizontal="center"/>
      <protection locked="0"/>
    </xf>
    <xf numFmtId="0" fontId="47" fillId="0" borderId="0" xfId="210" applyNumberFormat="1" applyFont="1" applyAlignment="1" applyProtection="1">
      <protection locked="0"/>
    </xf>
    <xf numFmtId="3" fontId="47" fillId="0" borderId="0" xfId="210" applyNumberFormat="1" applyFont="1" applyAlignment="1"/>
    <xf numFmtId="3" fontId="47" fillId="0" borderId="8" xfId="210" applyNumberFormat="1" applyFont="1" applyBorder="1" applyAlignment="1">
      <alignment horizontal="center"/>
    </xf>
    <xf numFmtId="170" fontId="47" fillId="0" borderId="0" xfId="0" applyNumberFormat="1" applyFont="1" applyAlignment="1"/>
    <xf numFmtId="0" fontId="47" fillId="0" borderId="0" xfId="210" applyNumberFormat="1" applyFont="1" applyAlignment="1"/>
    <xf numFmtId="3" fontId="47" fillId="0" borderId="0" xfId="210" applyNumberFormat="1" applyFont="1" applyAlignment="1">
      <alignment horizontal="center"/>
    </xf>
    <xf numFmtId="0" fontId="47" fillId="0" borderId="8" xfId="210" applyNumberFormat="1" applyFont="1" applyBorder="1" applyAlignment="1" applyProtection="1">
      <alignment horizontal="center"/>
      <protection locked="0"/>
    </xf>
    <xf numFmtId="174" fontId="47" fillId="0" borderId="0" xfId="210" applyFont="1" applyFill="1" applyAlignment="1"/>
    <xf numFmtId="174" fontId="47" fillId="0" borderId="0" xfId="210" applyFont="1" applyAlignment="1"/>
    <xf numFmtId="43" fontId="47" fillId="0" borderId="0" xfId="59" applyFont="1" applyFill="1" applyAlignment="1">
      <alignment horizontal="center"/>
    </xf>
    <xf numFmtId="3" fontId="47" fillId="0" borderId="0" xfId="210" applyNumberFormat="1" applyFont="1" applyFill="1" applyAlignment="1"/>
    <xf numFmtId="166" fontId="47" fillId="0" borderId="0" xfId="210" applyNumberFormat="1" applyFont="1" applyAlignment="1">
      <alignment horizontal="center"/>
    </xf>
    <xf numFmtId="164" fontId="47" fillId="0" borderId="0" xfId="210" applyNumberFormat="1" applyFont="1" applyAlignment="1">
      <alignment horizontal="left"/>
    </xf>
    <xf numFmtId="0" fontId="47" fillId="0" borderId="0" xfId="210" applyNumberFormat="1" applyFont="1" applyFill="1" applyAlignment="1"/>
    <xf numFmtId="164" fontId="47" fillId="0" borderId="0" xfId="210" applyNumberFormat="1" applyFont="1" applyFill="1" applyAlignment="1">
      <alignment horizontal="left"/>
    </xf>
    <xf numFmtId="43" fontId="47" fillId="0" borderId="0" xfId="59" applyFont="1" applyFill="1" applyAlignment="1">
      <alignment horizontal="right"/>
    </xf>
    <xf numFmtId="175" fontId="47" fillId="0" borderId="0" xfId="59" applyNumberFormat="1" applyFont="1" applyBorder="1" applyAlignment="1"/>
    <xf numFmtId="10" fontId="47" fillId="0" borderId="0" xfId="210" applyNumberFormat="1" applyFont="1" applyFill="1" applyAlignment="1">
      <alignment horizontal="left"/>
    </xf>
    <xf numFmtId="3" fontId="47" fillId="0" borderId="0" xfId="188" applyNumberFormat="1" applyFont="1" applyAlignment="1"/>
    <xf numFmtId="166" fontId="47" fillId="0" borderId="0" xfId="188" applyNumberFormat="1" applyFont="1" applyAlignment="1"/>
    <xf numFmtId="0" fontId="47" fillId="0" borderId="0" xfId="188" applyFont="1" applyAlignment="1"/>
    <xf numFmtId="164" fontId="47" fillId="0" borderId="0" xfId="210" applyNumberFormat="1" applyFont="1" applyFill="1" applyAlignment="1" applyProtection="1">
      <alignment horizontal="left"/>
      <protection locked="0"/>
    </xf>
    <xf numFmtId="0" fontId="57" fillId="0" borderId="0" xfId="211" applyFont="1" applyAlignment="1">
      <alignment horizontal="center"/>
    </xf>
    <xf numFmtId="49" fontId="57" fillId="0" borderId="0" xfId="0" applyNumberFormat="1" applyFont="1" applyAlignment="1">
      <alignment horizontal="center"/>
    </xf>
    <xf numFmtId="0" fontId="57" fillId="0" borderId="0" xfId="210" applyNumberFormat="1" applyFont="1" applyFill="1" applyAlignment="1" applyProtection="1">
      <alignment vertical="top"/>
      <protection locked="0"/>
    </xf>
    <xf numFmtId="0" fontId="57" fillId="0" borderId="0" xfId="188" applyNumberFormat="1" applyFont="1" applyAlignment="1">
      <alignment vertical="top"/>
    </xf>
    <xf numFmtId="0" fontId="57" fillId="0" borderId="0" xfId="210" applyNumberFormat="1" applyFont="1" applyAlignment="1" applyProtection="1">
      <alignment vertical="top"/>
      <protection locked="0"/>
    </xf>
    <xf numFmtId="170" fontId="57" fillId="0" borderId="0" xfId="210" applyNumberFormat="1" applyFont="1" applyFill="1" applyBorder="1" applyAlignment="1" applyProtection="1">
      <alignment vertical="top"/>
    </xf>
    <xf numFmtId="3" fontId="57" fillId="0" borderId="0" xfId="210" applyNumberFormat="1" applyFont="1" applyFill="1" applyAlignment="1" applyProtection="1">
      <alignment vertical="top"/>
    </xf>
    <xf numFmtId="174" fontId="57" fillId="0" borderId="0" xfId="0" applyFont="1" applyAlignment="1">
      <alignment vertical="top"/>
    </xf>
    <xf numFmtId="1" fontId="57" fillId="0" borderId="0" xfId="0" applyNumberFormat="1" applyFont="1" applyFill="1" applyAlignment="1">
      <alignment horizontal="center"/>
    </xf>
    <xf numFmtId="49" fontId="57" fillId="0" borderId="0" xfId="0" applyNumberFormat="1" applyFont="1" applyFill="1" applyAlignment="1">
      <alignment horizontal="center"/>
    </xf>
    <xf numFmtId="175" fontId="47" fillId="0" borderId="0" xfId="59" applyNumberFormat="1" applyFont="1" applyAlignment="1"/>
    <xf numFmtId="175" fontId="57" fillId="0" borderId="0" xfId="59" applyNumberFormat="1" applyFont="1" applyAlignment="1">
      <alignment horizontal="right"/>
    </xf>
    <xf numFmtId="175" fontId="57" fillId="0" borderId="8" xfId="59" applyNumberFormat="1" applyFont="1" applyBorder="1" applyAlignment="1">
      <alignment horizontal="right"/>
    </xf>
    <xf numFmtId="43" fontId="47" fillId="0" borderId="0" xfId="59" applyFont="1" applyAlignment="1">
      <alignment horizontal="right"/>
    </xf>
    <xf numFmtId="174" fontId="57" fillId="0" borderId="0" xfId="0" applyFont="1" applyFill="1" applyAlignment="1">
      <alignment horizontal="center"/>
    </xf>
    <xf numFmtId="175" fontId="57" fillId="0" borderId="11" xfId="59" applyNumberFormat="1" applyFont="1" applyFill="1" applyBorder="1" applyAlignment="1"/>
    <xf numFmtId="175" fontId="57" fillId="0" borderId="15" xfId="59" applyNumberFormat="1" applyFont="1" applyFill="1" applyBorder="1" applyAlignment="1"/>
    <xf numFmtId="0" fontId="57" fillId="0" borderId="0" xfId="188" applyNumberFormat="1" applyFont="1" applyFill="1" applyAlignment="1">
      <alignment vertical="top"/>
    </xf>
    <xf numFmtId="0" fontId="57" fillId="0" borderId="0" xfId="0" applyNumberFormat="1" applyFont="1" applyFill="1" applyBorder="1" applyAlignment="1">
      <alignment vertical="top"/>
    </xf>
    <xf numFmtId="3" fontId="57" fillId="0" borderId="0" xfId="210" applyNumberFormat="1" applyFont="1" applyBorder="1" applyAlignment="1">
      <alignment horizontal="center"/>
    </xf>
    <xf numFmtId="3" fontId="47" fillId="0" borderId="0" xfId="0" applyNumberFormat="1" applyFont="1" applyAlignment="1"/>
    <xf numFmtId="3" fontId="47" fillId="0" borderId="0" xfId="0" applyNumberFormat="1" applyFont="1" applyFill="1" applyAlignment="1"/>
    <xf numFmtId="0" fontId="47" fillId="0" borderId="0" xfId="0" applyNumberFormat="1" applyFont="1" applyProtection="1">
      <protection locked="0"/>
    </xf>
    <xf numFmtId="3" fontId="47" fillId="0" borderId="0" xfId="0" applyNumberFormat="1" applyFont="1" applyAlignment="1">
      <alignment horizontal="center"/>
    </xf>
    <xf numFmtId="3" fontId="57" fillId="0" borderId="0" xfId="188" applyNumberFormat="1" applyFont="1" applyAlignment="1">
      <alignment wrapText="1"/>
    </xf>
    <xf numFmtId="174" fontId="47" fillId="0" borderId="0" xfId="210" applyFont="1" applyFill="1" applyAlignment="1">
      <alignment wrapText="1"/>
    </xf>
    <xf numFmtId="175" fontId="47" fillId="0" borderId="0" xfId="59" applyNumberFormat="1" applyFont="1" applyAlignment="1">
      <alignment horizontal="left" indent="2"/>
    </xf>
    <xf numFmtId="183" fontId="47" fillId="0" borderId="0" xfId="59" applyNumberFormat="1" applyFont="1" applyAlignment="1"/>
    <xf numFmtId="174" fontId="57" fillId="0" borderId="0" xfId="0" applyFont="1" applyFill="1" applyBorder="1" applyAlignment="1"/>
    <xf numFmtId="175" fontId="57" fillId="0" borderId="8" xfId="59" applyNumberFormat="1" applyFont="1" applyFill="1" applyBorder="1" applyAlignment="1">
      <alignment horizontal="center"/>
    </xf>
    <xf numFmtId="0" fontId="57" fillId="0" borderId="19" xfId="201" applyNumberFormat="1" applyFont="1" applyFill="1" applyBorder="1"/>
    <xf numFmtId="175" fontId="57" fillId="14" borderId="10" xfId="59" applyNumberFormat="1" applyFont="1" applyFill="1" applyBorder="1" applyAlignment="1"/>
    <xf numFmtId="174" fontId="86" fillId="0" borderId="17" xfId="201" applyFont="1" applyFill="1" applyBorder="1" applyAlignment="1"/>
    <xf numFmtId="0" fontId="57" fillId="0" borderId="9" xfId="201" applyNumberFormat="1" applyFont="1" applyFill="1" applyBorder="1" applyAlignment="1">
      <alignment horizontal="center" wrapText="1"/>
    </xf>
    <xf numFmtId="10" fontId="57" fillId="15" borderId="0" xfId="59" applyNumberFormat="1" applyFont="1" applyFill="1" applyAlignment="1"/>
    <xf numFmtId="0" fontId="57" fillId="0" borderId="0" xfId="0" applyNumberFormat="1" applyFont="1" applyAlignment="1">
      <alignment horizontal="center"/>
    </xf>
    <xf numFmtId="44" fontId="57" fillId="0" borderId="0" xfId="0" applyNumberFormat="1" applyFont="1" applyBorder="1" applyAlignment="1"/>
    <xf numFmtId="44" fontId="57" fillId="0" borderId="0" xfId="0" applyNumberFormat="1" applyFont="1" applyFill="1" applyBorder="1" applyAlignment="1"/>
    <xf numFmtId="0" fontId="57" fillId="0" borderId="0" xfId="187" applyFont="1" applyFill="1" applyBorder="1" applyAlignment="1"/>
    <xf numFmtId="174" fontId="87" fillId="0" borderId="0" xfId="0" applyFont="1" applyBorder="1" applyAlignment="1"/>
    <xf numFmtId="0" fontId="57" fillId="15" borderId="0" xfId="187" applyFont="1" applyFill="1" applyBorder="1" applyAlignment="1"/>
    <xf numFmtId="175" fontId="57" fillId="15" borderId="0" xfId="59" applyNumberFormat="1" applyFont="1" applyFill="1" applyBorder="1" applyAlignment="1">
      <alignment horizontal="center"/>
    </xf>
    <xf numFmtId="175" fontId="57" fillId="0" borderId="0" xfId="59" applyNumberFormat="1" applyFont="1" applyFill="1" applyBorder="1" applyAlignment="1">
      <alignment horizontal="center" wrapText="1"/>
    </xf>
    <xf numFmtId="175" fontId="57" fillId="15" borderId="0" xfId="59" applyNumberFormat="1" applyFont="1" applyFill="1" applyBorder="1"/>
    <xf numFmtId="175" fontId="57" fillId="0" borderId="1" xfId="59" applyNumberFormat="1" applyFont="1" applyFill="1" applyBorder="1" applyAlignment="1">
      <alignment horizontal="center" wrapText="1"/>
    </xf>
    <xf numFmtId="175" fontId="57" fillId="0" borderId="0" xfId="59" applyNumberFormat="1" applyFont="1" applyFill="1" applyBorder="1"/>
    <xf numFmtId="174" fontId="57" fillId="0" borderId="0" xfId="0" applyFont="1" applyBorder="1" applyAlignment="1"/>
    <xf numFmtId="3" fontId="57" fillId="0" borderId="0" xfId="188" applyNumberFormat="1" applyFont="1" applyFill="1" applyAlignment="1">
      <alignment wrapText="1"/>
    </xf>
    <xf numFmtId="0" fontId="64" fillId="0" borderId="0" xfId="211" applyFont="1" applyFill="1" applyAlignment="1">
      <alignment horizontal="center" wrapText="1"/>
    </xf>
    <xf numFmtId="0" fontId="57" fillId="0" borderId="0" xfId="210" applyNumberFormat="1" applyFont="1" applyFill="1" applyAlignment="1" applyProtection="1">
      <alignment horizontal="center"/>
      <protection locked="0"/>
    </xf>
    <xf numFmtId="164" fontId="57" fillId="0" borderId="0" xfId="210" applyNumberFormat="1" applyFont="1" applyFill="1" applyAlignment="1">
      <alignment horizontal="center"/>
    </xf>
    <xf numFmtId="0" fontId="57" fillId="0" borderId="0" xfId="206" applyNumberFormat="1" applyFont="1" applyFill="1" applyAlignment="1">
      <alignment horizontal="left"/>
    </xf>
    <xf numFmtId="0" fontId="57" fillId="0" borderId="0" xfId="187" applyFont="1" applyBorder="1" applyAlignment="1">
      <alignment horizontal="center"/>
    </xf>
    <xf numFmtId="3" fontId="57" fillId="0" borderId="0" xfId="187" applyNumberFormat="1" applyFont="1" applyFill="1" applyBorder="1" applyAlignment="1"/>
    <xf numFmtId="174" fontId="64" fillId="0" borderId="1" xfId="201" applyFont="1" applyBorder="1" applyAlignment="1">
      <alignment horizontal="center" wrapText="1"/>
    </xf>
    <xf numFmtId="0" fontId="57" fillId="0" borderId="0" xfId="204" applyFont="1" applyBorder="1" applyAlignment="1"/>
    <xf numFmtId="180" fontId="57" fillId="0" borderId="0" xfId="205" applyNumberFormat="1" applyFont="1" applyFill="1" applyBorder="1" applyAlignment="1"/>
    <xf numFmtId="174" fontId="57" fillId="0" borderId="0" xfId="201" applyFont="1" applyFill="1" applyBorder="1" applyAlignment="1">
      <alignment vertical="top" wrapText="1"/>
    </xf>
    <xf numFmtId="0" fontId="90" fillId="0" borderId="0" xfId="187" applyFont="1" applyBorder="1" applyAlignment="1">
      <alignment horizontal="left"/>
    </xf>
    <xf numFmtId="0" fontId="57" fillId="0" borderId="0" xfId="187" applyFont="1" applyBorder="1" applyAlignment="1"/>
    <xf numFmtId="174" fontId="64" fillId="0" borderId="0" xfId="201" applyFont="1" applyAlignment="1">
      <alignment horizontal="center"/>
    </xf>
    <xf numFmtId="174" fontId="64" fillId="0" borderId="0" xfId="201" applyFont="1" applyAlignment="1">
      <alignment horizontal="center" wrapText="1"/>
    </xf>
    <xf numFmtId="0" fontId="64" fillId="0" borderId="0" xfId="185" applyFont="1" applyAlignment="1">
      <alignment horizontal="center"/>
    </xf>
    <xf numFmtId="0" fontId="57" fillId="0" borderId="0" xfId="187" applyFont="1" applyBorder="1"/>
    <xf numFmtId="170" fontId="57" fillId="0" borderId="0" xfId="204" applyNumberFormat="1" applyFont="1" applyFill="1" applyBorder="1" applyAlignment="1">
      <alignment horizontal="right"/>
    </xf>
    <xf numFmtId="173" fontId="57" fillId="0" borderId="0" xfId="204" applyNumberFormat="1" applyFont="1" applyFill="1" applyBorder="1" applyAlignment="1"/>
    <xf numFmtId="173" fontId="57" fillId="0" borderId="0" xfId="205" applyNumberFormat="1" applyFont="1" applyFill="1" applyBorder="1" applyAlignment="1"/>
    <xf numFmtId="0" fontId="57" fillId="0" borderId="0" xfId="204" applyFont="1" applyFill="1" applyBorder="1" applyAlignment="1"/>
    <xf numFmtId="175" fontId="57" fillId="0" borderId="0" xfId="364" applyNumberFormat="1" applyFont="1" applyFill="1" applyBorder="1" applyAlignment="1">
      <alignment horizontal="right"/>
    </xf>
    <xf numFmtId="174" fontId="64" fillId="0" borderId="0" xfId="201" applyFont="1" applyFill="1" applyBorder="1" applyAlignment="1">
      <alignment horizontal="center" wrapText="1"/>
    </xf>
    <xf numFmtId="174" fontId="57" fillId="0" borderId="0" xfId="201" applyFont="1" applyFill="1" applyBorder="1" applyAlignment="1">
      <alignment wrapText="1"/>
    </xf>
    <xf numFmtId="174" fontId="57" fillId="0" borderId="0" xfId="0" applyFont="1" applyAlignment="1"/>
    <xf numFmtId="0" fontId="57" fillId="0" borderId="0" xfId="0" applyNumberFormat="1" applyFont="1" applyFill="1" applyAlignment="1">
      <alignment horizontal="center" vertical="top"/>
    </xf>
    <xf numFmtId="3" fontId="57" fillId="0" borderId="0" xfId="188" applyNumberFormat="1" applyFont="1" applyAlignment="1">
      <alignment horizontal="center" wrapText="1"/>
    </xf>
    <xf numFmtId="1" fontId="57" fillId="0" borderId="0" xfId="0" applyNumberFormat="1" applyFont="1" applyFill="1" applyAlignment="1">
      <alignment horizontal="center" vertical="top"/>
    </xf>
    <xf numFmtId="175" fontId="57" fillId="15" borderId="0" xfId="59" applyNumberFormat="1" applyFont="1" applyFill="1" applyAlignment="1"/>
    <xf numFmtId="0" fontId="57" fillId="0" borderId="0" xfId="206" applyNumberFormat="1" applyFont="1" applyFill="1" applyAlignment="1" applyProtection="1">
      <alignment horizontal="center"/>
      <protection locked="0"/>
    </xf>
    <xf numFmtId="0" fontId="57" fillId="0" borderId="8" xfId="210" applyNumberFormat="1" applyFont="1" applyFill="1" applyBorder="1" applyAlignment="1" applyProtection="1">
      <alignment horizontal="center"/>
      <protection locked="0"/>
    </xf>
    <xf numFmtId="3" fontId="57" fillId="0" borderId="0" xfId="210" applyNumberFormat="1" applyFont="1" applyFill="1" applyAlignment="1">
      <alignment horizontal="left"/>
    </xf>
    <xf numFmtId="183" fontId="57" fillId="0" borderId="0" xfId="59" applyNumberFormat="1" applyFont="1" applyBorder="1" applyAlignment="1"/>
    <xf numFmtId="183" fontId="57" fillId="0" borderId="0" xfId="59" applyNumberFormat="1" applyFont="1" applyAlignment="1">
      <alignment horizontal="center"/>
    </xf>
    <xf numFmtId="183" fontId="57" fillId="0" borderId="0" xfId="210" applyNumberFormat="1" applyFont="1" applyAlignment="1">
      <alignment horizontal="center"/>
    </xf>
    <xf numFmtId="10" fontId="57" fillId="0" borderId="8" xfId="265" applyNumberFormat="1" applyFont="1" applyBorder="1" applyAlignment="1"/>
    <xf numFmtId="0" fontId="57" fillId="0" borderId="0" xfId="187" applyFont="1" applyFill="1"/>
    <xf numFmtId="0" fontId="57" fillId="0" borderId="0" xfId="187" applyFont="1" applyFill="1" applyBorder="1"/>
    <xf numFmtId="0" fontId="64" fillId="0" borderId="0" xfId="187" applyFont="1" applyFill="1" applyBorder="1" applyAlignment="1">
      <alignment horizontal="center"/>
    </xf>
    <xf numFmtId="43" fontId="57" fillId="0" borderId="0" xfId="187" applyNumberFormat="1" applyFont="1" applyFill="1" applyBorder="1"/>
    <xf numFmtId="0" fontId="64" fillId="0" borderId="0" xfId="187" applyFont="1" applyFill="1" applyBorder="1"/>
    <xf numFmtId="0" fontId="64" fillId="0" borderId="0" xfId="187" quotePrefix="1" applyFont="1" applyFill="1" applyBorder="1" applyAlignment="1">
      <alignment horizontal="center"/>
    </xf>
    <xf numFmtId="164" fontId="64" fillId="0" borderId="0" xfId="187" applyNumberFormat="1" applyFont="1" applyFill="1" applyBorder="1" applyAlignment="1">
      <alignment horizontal="center"/>
    </xf>
    <xf numFmtId="175" fontId="57" fillId="0" borderId="0" xfId="187" applyNumberFormat="1" applyFont="1" applyFill="1" applyBorder="1"/>
    <xf numFmtId="10" fontId="57" fillId="0" borderId="0" xfId="187" applyNumberFormat="1" applyFont="1" applyFill="1" applyBorder="1"/>
    <xf numFmtId="175" fontId="88" fillId="0" borderId="0" xfId="187" applyNumberFormat="1" applyFont="1" applyFill="1" applyBorder="1"/>
    <xf numFmtId="3" fontId="57" fillId="0" borderId="0" xfId="187" applyNumberFormat="1" applyFont="1" applyFill="1" applyBorder="1"/>
    <xf numFmtId="164" fontId="57" fillId="0" borderId="0" xfId="265" applyNumberFormat="1" applyFont="1" applyFill="1" applyBorder="1"/>
    <xf numFmtId="164" fontId="57" fillId="0" borderId="0" xfId="282" applyNumberFormat="1" applyFont="1" applyFill="1" applyBorder="1"/>
    <xf numFmtId="0" fontId="57" fillId="0" borderId="0" xfId="187" applyFont="1" applyAlignment="1">
      <alignment horizontal="center"/>
    </xf>
    <xf numFmtId="0" fontId="57" fillId="0" borderId="0" xfId="187" applyFont="1"/>
    <xf numFmtId="0" fontId="57" fillId="0" borderId="0" xfId="187" applyFont="1" applyFill="1" applyAlignment="1">
      <alignment wrapText="1"/>
    </xf>
    <xf numFmtId="0" fontId="57" fillId="0" borderId="0" xfId="187" applyFont="1" applyFill="1" applyBorder="1" applyAlignment="1">
      <alignment wrapText="1"/>
    </xf>
    <xf numFmtId="10" fontId="57" fillId="0" borderId="0" xfId="265" applyNumberFormat="1" applyFont="1" applyFill="1" applyBorder="1"/>
    <xf numFmtId="0" fontId="57" fillId="0" borderId="3" xfId="187" applyFont="1" applyFill="1" applyBorder="1"/>
    <xf numFmtId="176" fontId="57" fillId="0" borderId="0" xfId="102" applyNumberFormat="1" applyFont="1" applyFill="1" applyBorder="1" applyAlignment="1">
      <alignment horizontal="center"/>
    </xf>
    <xf numFmtId="174" fontId="57" fillId="0" borderId="0" xfId="0" applyFont="1" applyBorder="1" applyAlignment="1"/>
    <xf numFmtId="10" fontId="57" fillId="0" borderId="3" xfId="187" applyNumberFormat="1" applyFont="1" applyFill="1" applyBorder="1"/>
    <xf numFmtId="0" fontId="64" fillId="0" borderId="3" xfId="187" applyFont="1" applyFill="1" applyBorder="1"/>
    <xf numFmtId="10" fontId="64" fillId="0" borderId="3" xfId="187" applyNumberFormat="1" applyFont="1" applyFill="1" applyBorder="1"/>
    <xf numFmtId="0" fontId="57" fillId="0" borderId="1" xfId="187" applyFont="1" applyFill="1" applyBorder="1" applyAlignment="1">
      <alignment horizontal="center"/>
    </xf>
    <xf numFmtId="0" fontId="57" fillId="0" borderId="0" xfId="187" applyFont="1" applyFill="1" applyAlignment="1"/>
    <xf numFmtId="0" fontId="57" fillId="0" borderId="1" xfId="187" applyFont="1" applyFill="1" applyBorder="1" applyAlignment="1">
      <alignment horizontal="center" wrapText="1"/>
    </xf>
    <xf numFmtId="175" fontId="57" fillId="0" borderId="3" xfId="59" applyNumberFormat="1" applyFont="1" applyFill="1" applyBorder="1"/>
    <xf numFmtId="164" fontId="57" fillId="0" borderId="3" xfId="282" applyNumberFormat="1" applyFont="1" applyFill="1" applyBorder="1"/>
    <xf numFmtId="0" fontId="57" fillId="0" borderId="0" xfId="187" quotePrefix="1" applyFont="1" applyFill="1" applyBorder="1" applyAlignment="1">
      <alignment horizontal="center"/>
    </xf>
    <xf numFmtId="175" fontId="57" fillId="0" borderId="0" xfId="59" applyNumberFormat="1" applyFont="1" applyFill="1"/>
    <xf numFmtId="0" fontId="64" fillId="0" borderId="0" xfId="211" applyFont="1" applyBorder="1" applyAlignment="1">
      <alignment horizontal="center" wrapText="1"/>
    </xf>
    <xf numFmtId="0" fontId="64" fillId="0" borderId="0" xfId="211" applyFont="1" applyBorder="1" applyAlignment="1">
      <alignment horizontal="center"/>
    </xf>
    <xf numFmtId="10" fontId="64" fillId="0" borderId="0" xfId="187" applyNumberFormat="1" applyFont="1" applyFill="1" applyBorder="1"/>
    <xf numFmtId="175" fontId="57" fillId="0" borderId="23" xfId="59" applyNumberFormat="1" applyFont="1" applyBorder="1" applyAlignment="1"/>
    <xf numFmtId="10" fontId="57" fillId="0" borderId="0" xfId="265" applyNumberFormat="1" applyFont="1" applyFill="1" applyAlignment="1"/>
    <xf numFmtId="49" fontId="102" fillId="0" borderId="0" xfId="0" applyNumberFormat="1" applyFont="1" applyAlignment="1">
      <alignment horizontal="center"/>
    </xf>
    <xf numFmtId="1" fontId="60" fillId="0" borderId="0" xfId="0" applyNumberFormat="1" applyFont="1" applyFill="1" applyAlignment="1">
      <alignment horizontal="center"/>
    </xf>
    <xf numFmtId="0" fontId="60" fillId="0" borderId="1" xfId="187" applyFont="1" applyFill="1" applyBorder="1" applyAlignment="1">
      <alignment horizontal="right"/>
    </xf>
    <xf numFmtId="0" fontId="60" fillId="0" borderId="0" xfId="187" applyFont="1" applyFill="1" applyBorder="1"/>
    <xf numFmtId="0" fontId="60" fillId="0" borderId="0" xfId="187" applyFont="1" applyBorder="1" applyAlignment="1">
      <alignment horizontal="left"/>
    </xf>
    <xf numFmtId="0" fontId="60" fillId="0" borderId="0" xfId="187" applyNumberFormat="1" applyFont="1" applyFill="1" applyBorder="1" applyAlignment="1">
      <alignment horizontal="left"/>
    </xf>
    <xf numFmtId="0" fontId="60" fillId="0" borderId="0" xfId="187" applyFont="1" applyBorder="1"/>
    <xf numFmtId="0" fontId="57" fillId="0" borderId="1" xfId="187" applyFont="1" applyBorder="1" applyAlignment="1">
      <alignment horizontal="center" wrapText="1"/>
    </xf>
    <xf numFmtId="174" fontId="57" fillId="0" borderId="0" xfId="0" quotePrefix="1" applyFont="1" applyAlignment="1">
      <alignment horizontal="center"/>
    </xf>
    <xf numFmtId="174" fontId="0" fillId="0" borderId="0" xfId="0" applyAlignment="1"/>
    <xf numFmtId="0" fontId="64" fillId="0" borderId="0" xfId="211" applyFont="1" applyAlignment="1">
      <alignment horizontal="center"/>
    </xf>
    <xf numFmtId="0" fontId="57" fillId="0" borderId="0" xfId="187" applyFont="1" applyFill="1" applyBorder="1" applyAlignment="1">
      <alignment horizontal="left"/>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0" applyNumberFormat="1" applyFont="1" applyAlignment="1">
      <alignment horizontal="center"/>
    </xf>
    <xf numFmtId="3" fontId="47" fillId="0" borderId="8" xfId="0" quotePrefix="1" applyNumberFormat="1" applyFont="1" applyBorder="1" applyAlignment="1">
      <alignment horizontal="center"/>
    </xf>
    <xf numFmtId="1" fontId="57" fillId="0" borderId="0" xfId="0" applyNumberFormat="1" applyFont="1" applyAlignment="1">
      <alignment horizontal="center"/>
    </xf>
    <xf numFmtId="171" fontId="57" fillId="14" borderId="0" xfId="265" applyNumberFormat="1" applyFont="1" applyFill="1" applyAlignment="1" applyProtection="1">
      <alignment vertical="top"/>
      <protection locked="0"/>
    </xf>
    <xf numFmtId="10" fontId="57" fillId="0" borderId="0" xfId="265" applyNumberFormat="1" applyFont="1" applyFill="1" applyAlignment="1">
      <alignment horizontal="right"/>
    </xf>
    <xf numFmtId="171" fontId="57" fillId="0" borderId="0" xfId="265" applyNumberFormat="1" applyFont="1" applyFill="1" applyBorder="1" applyAlignment="1"/>
    <xf numFmtId="276" fontId="57" fillId="0" borderId="0" xfId="59" applyNumberFormat="1" applyFont="1" applyFill="1" applyBorder="1" applyAlignment="1"/>
    <xf numFmtId="276" fontId="91" fillId="0" borderId="0" xfId="59" applyNumberFormat="1" applyFont="1" applyFill="1" applyBorder="1" applyAlignment="1"/>
    <xf numFmtId="276" fontId="64" fillId="0" borderId="0" xfId="59" applyNumberFormat="1" applyFont="1" applyFill="1" applyBorder="1" applyAlignment="1"/>
    <xf numFmtId="3" fontId="57" fillId="0" borderId="8" xfId="0" applyNumberFormat="1" applyFont="1" applyBorder="1" applyAlignment="1">
      <alignment horizontal="center"/>
    </xf>
    <xf numFmtId="175" fontId="57" fillId="0" borderId="0" xfId="59" applyNumberFormat="1" applyFont="1" applyFill="1" applyAlignment="1" applyProtection="1">
      <protection locked="0"/>
    </xf>
    <xf numFmtId="1" fontId="57" fillId="0" borderId="0" xfId="0" applyNumberFormat="1" applyFont="1" applyFill="1" applyBorder="1" applyAlignment="1">
      <alignment horizontal="center"/>
    </xf>
    <xf numFmtId="0" fontId="57" fillId="0" borderId="0" xfId="210" applyNumberFormat="1" applyFont="1" applyBorder="1" applyAlignment="1" applyProtection="1">
      <protection locked="0"/>
    </xf>
    <xf numFmtId="0" fontId="64" fillId="0" borderId="0" xfId="211" applyFont="1" applyFill="1" applyBorder="1" applyAlignment="1">
      <alignment horizontal="center" wrapText="1"/>
    </xf>
    <xf numFmtId="0" fontId="57" fillId="0" borderId="1" xfId="187" applyFont="1" applyFill="1" applyBorder="1"/>
    <xf numFmtId="175" fontId="57" fillId="0" borderId="3" xfId="59" applyNumberFormat="1" applyFont="1" applyBorder="1" applyAlignment="1">
      <alignment horizontal="left"/>
    </xf>
    <xf numFmtId="0" fontId="57" fillId="0" borderId="0" xfId="187" applyFont="1" applyFill="1" applyAlignment="1">
      <alignment horizontal="right"/>
    </xf>
    <xf numFmtId="0" fontId="57" fillId="0" borderId="0" xfId="211" applyFont="1" applyAlignment="1">
      <alignment horizontal="center" wrapText="1"/>
    </xf>
    <xf numFmtId="174" fontId="57" fillId="0" borderId="0" xfId="0" applyFont="1" applyFill="1" applyAlignment="1">
      <alignment wrapText="1"/>
    </xf>
    <xf numFmtId="174" fontId="64" fillId="0" borderId="7" xfId="201" applyFont="1" applyFill="1" applyBorder="1" applyAlignment="1">
      <alignment horizontal="center" wrapText="1"/>
    </xf>
    <xf numFmtId="174" fontId="57" fillId="0" borderId="9" xfId="201" applyFont="1" applyFill="1" applyBorder="1" applyAlignment="1">
      <alignment horizontal="center"/>
    </xf>
    <xf numFmtId="43" fontId="57" fillId="15" borderId="10" xfId="59" applyFont="1" applyFill="1" applyBorder="1" applyAlignment="1">
      <alignment horizontal="left"/>
    </xf>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0" fontId="57" fillId="0" borderId="0" xfId="201" applyNumberFormat="1" applyFont="1" applyFill="1" applyBorder="1" applyProtection="1">
      <protection locked="0"/>
    </xf>
    <xf numFmtId="174" fontId="57" fillId="0" borderId="0" xfId="201" applyFont="1" applyFill="1" applyBorder="1" applyAlignment="1"/>
    <xf numFmtId="43" fontId="57" fillId="0" borderId="0" xfId="59" applyFont="1" applyAlignment="1"/>
    <xf numFmtId="174" fontId="57" fillId="0" borderId="15" xfId="201" applyFont="1" applyFill="1" applyBorder="1" applyAlignment="1"/>
    <xf numFmtId="0" fontId="57" fillId="0" borderId="0" xfId="210" applyNumberFormat="1" applyFont="1" applyFill="1" applyAlignment="1">
      <alignment horizontal="center"/>
    </xf>
    <xf numFmtId="174" fontId="57" fillId="0" borderId="0" xfId="0" applyFont="1"/>
    <xf numFmtId="174" fontId="57" fillId="0" borderId="0" xfId="0" applyFont="1" applyFill="1"/>
    <xf numFmtId="175" fontId="57" fillId="0" borderId="15" xfId="59" applyNumberFormat="1" applyFont="1" applyFill="1" applyBorder="1" applyAlignment="1"/>
    <xf numFmtId="174" fontId="98" fillId="0" borderId="0" xfId="201" applyFont="1" applyFill="1" applyBorder="1" applyAlignment="1"/>
    <xf numFmtId="0" fontId="57" fillId="0" borderId="0" xfId="208" applyNumberFormat="1" applyFont="1" applyFill="1" applyBorder="1" applyAlignment="1" applyProtection="1">
      <alignment horizontal="center"/>
      <protection locked="0"/>
    </xf>
    <xf numFmtId="174" fontId="57" fillId="0" borderId="19" xfId="0" applyFont="1" applyBorder="1"/>
    <xf numFmtId="174" fontId="57" fillId="0" borderId="20" xfId="0" applyFont="1" applyBorder="1"/>
    <xf numFmtId="174" fontId="57" fillId="0" borderId="22" xfId="0" applyFont="1" applyBorder="1" applyAlignment="1">
      <alignment horizontal="center"/>
    </xf>
    <xf numFmtId="174" fontId="57" fillId="0" borderId="3" xfId="0" applyFont="1" applyBorder="1"/>
    <xf numFmtId="174" fontId="57" fillId="0" borderId="15" xfId="0" applyFont="1" applyBorder="1" applyAlignment="1">
      <alignment horizontal="center"/>
    </xf>
    <xf numFmtId="174" fontId="57" fillId="0" borderId="22" xfId="0" applyFont="1" applyBorder="1"/>
    <xf numFmtId="176" fontId="57" fillId="15" borderId="10" xfId="93" applyNumberFormat="1" applyFont="1" applyFill="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43" fontId="57" fillId="0" borderId="0" xfId="59" applyFont="1"/>
    <xf numFmtId="174" fontId="57" fillId="0" borderId="0" xfId="201" applyFont="1" applyAlignment="1"/>
    <xf numFmtId="174" fontId="57" fillId="0" borderId="19" xfId="201" applyFont="1" applyFill="1" applyBorder="1" applyAlignment="1">
      <alignment horizontal="center"/>
    </xf>
    <xf numFmtId="174" fontId="57" fillId="0" borderId="22"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0" fontId="57" fillId="0" borderId="0" xfId="59" applyNumberFormat="1" applyFont="1" applyFill="1" applyAlignment="1">
      <alignment horizontal="center"/>
    </xf>
    <xf numFmtId="0" fontId="57" fillId="0" borderId="0" xfId="59" applyNumberFormat="1" applyFont="1" applyFill="1" applyBorder="1" applyAlignment="1">
      <alignment horizontal="center"/>
    </xf>
    <xf numFmtId="0" fontId="57" fillId="0" borderId="0" xfId="59" applyNumberFormat="1" applyFont="1" applyAlignment="1">
      <alignment horizontal="center"/>
    </xf>
    <xf numFmtId="174" fontId="57" fillId="0" borderId="10" xfId="0" applyFont="1" applyBorder="1" applyAlignment="1">
      <alignment horizontal="center"/>
    </xf>
    <xf numFmtId="0" fontId="64" fillId="0" borderId="0" xfId="59" applyNumberFormat="1" applyFont="1" applyFill="1" applyBorder="1" applyAlignment="1">
      <alignment horizontal="left"/>
    </xf>
    <xf numFmtId="174" fontId="57" fillId="0" borderId="19" xfId="0" applyFont="1" applyBorder="1" applyAlignment="1">
      <alignment horizontal="center"/>
    </xf>
    <xf numFmtId="174" fontId="98" fillId="0" borderId="15" xfId="201" applyFont="1" applyFill="1" applyBorder="1" applyAlignment="1">
      <alignment horizontal="center"/>
    </xf>
    <xf numFmtId="174" fontId="57" fillId="0" borderId="0" xfId="0"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0" fontId="57" fillId="0" borderId="0" xfId="201" applyNumberFormat="1" applyFont="1" applyFill="1" applyBorder="1" applyAlignment="1" applyProtection="1">
      <alignment horizontal="center"/>
      <protection locked="0"/>
    </xf>
    <xf numFmtId="174" fontId="93" fillId="0" borderId="15" xfId="0" applyNumberFormat="1" applyFont="1" applyFill="1" applyBorder="1" applyAlignment="1" applyProtection="1">
      <alignment horizontal="center"/>
    </xf>
    <xf numFmtId="174" fontId="57" fillId="0" borderId="11" xfId="0" applyNumberFormat="1" applyFont="1" applyFill="1" applyBorder="1" applyAlignment="1" applyProtection="1">
      <alignment horizontal="center"/>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9" xfId="59" applyNumberFormat="1" applyFont="1" applyFill="1" applyBorder="1"/>
    <xf numFmtId="175" fontId="57" fillId="15" borderId="10" xfId="59" applyNumberFormat="1" applyFont="1" applyFill="1" applyBorder="1"/>
    <xf numFmtId="175" fontId="57" fillId="0" borderId="17" xfId="93" applyNumberFormat="1" applyFont="1" applyFill="1" applyBorder="1"/>
    <xf numFmtId="175" fontId="57" fillId="0" borderId="0" xfId="59" applyNumberFormat="1" applyFont="1"/>
    <xf numFmtId="175" fontId="57" fillId="0" borderId="12" xfId="59" applyNumberFormat="1" applyFont="1" applyBorder="1"/>
    <xf numFmtId="175" fontId="57" fillId="15" borderId="20" xfId="59" applyNumberFormat="1" applyFont="1" applyFill="1" applyBorder="1"/>
    <xf numFmtId="175" fontId="57" fillId="15" borderId="12" xfId="59" applyNumberFormat="1" applyFont="1" applyFill="1" applyBorder="1"/>
    <xf numFmtId="175" fontId="57" fillId="0" borderId="21" xfId="93" applyNumberFormat="1" applyFont="1" applyFill="1" applyBorder="1"/>
    <xf numFmtId="175" fontId="57" fillId="0" borderId="11" xfId="59" applyNumberFormat="1" applyFont="1" applyBorder="1" applyAlignment="1">
      <alignment horizontal="center"/>
    </xf>
    <xf numFmtId="175" fontId="57" fillId="15" borderId="22" xfId="59" applyNumberFormat="1" applyFont="1" applyFill="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22" xfId="265" applyNumberFormat="1" applyFont="1" applyBorder="1"/>
    <xf numFmtId="171" fontId="57" fillId="0" borderId="11" xfId="265" applyNumberFormat="1" applyFont="1" applyBorder="1"/>
    <xf numFmtId="171" fontId="57" fillId="0" borderId="15" xfId="265" applyNumberFormat="1" applyFont="1" applyBorder="1"/>
    <xf numFmtId="171" fontId="57" fillId="0" borderId="0" xfId="265" applyNumberFormat="1" applyFont="1"/>
    <xf numFmtId="174" fontId="57" fillId="15" borderId="11" xfId="0" applyFont="1" applyFill="1" applyBorder="1" applyAlignment="1">
      <alignment horizontal="center"/>
    </xf>
    <xf numFmtId="175" fontId="57" fillId="0" borderId="0" xfId="210" applyNumberFormat="1" applyFont="1" applyAlignment="1"/>
    <xf numFmtId="175" fontId="57" fillId="0" borderId="0" xfId="206" applyNumberFormat="1" applyFont="1" applyAlignment="1"/>
    <xf numFmtId="175" fontId="47" fillId="0" borderId="0" xfId="59" applyNumberFormat="1" applyFont="1" applyFill="1" applyAlignment="1">
      <alignment horizontal="center"/>
    </xf>
    <xf numFmtId="171" fontId="47" fillId="0" borderId="0" xfId="265" applyNumberFormat="1" applyFont="1" applyAlignment="1"/>
    <xf numFmtId="171" fontId="47" fillId="0" borderId="0" xfId="265" applyNumberFormat="1" applyFont="1" applyFill="1" applyAlignment="1">
      <alignment horizontal="right"/>
    </xf>
    <xf numFmtId="43" fontId="47" fillId="0" borderId="0" xfId="59" applyFont="1" applyFill="1" applyAlignment="1"/>
    <xf numFmtId="10" fontId="47" fillId="0" borderId="0" xfId="265" applyNumberFormat="1" applyFont="1" applyAlignment="1"/>
    <xf numFmtId="10" fontId="47" fillId="0" borderId="8" xfId="265" applyNumberFormat="1" applyFont="1" applyBorder="1" applyAlignment="1"/>
    <xf numFmtId="10" fontId="47" fillId="0" borderId="0" xfId="265" applyNumberFormat="1" applyFont="1" applyFill="1" applyAlignment="1">
      <alignment horizontal="right"/>
    </xf>
    <xf numFmtId="174" fontId="0" fillId="0" borderId="0" xfId="0" applyAlignment="1"/>
    <xf numFmtId="0" fontId="57" fillId="0" borderId="0" xfId="210" applyNumberFormat="1" applyFont="1" applyAlignment="1" applyProtection="1">
      <alignment horizontal="center"/>
      <protection locked="0"/>
    </xf>
    <xf numFmtId="175" fontId="57" fillId="0" borderId="24" xfId="59" applyNumberFormat="1" applyFont="1" applyBorder="1" applyAlignment="1">
      <alignment horizontal="fill"/>
    </xf>
    <xf numFmtId="183" fontId="57" fillId="0" borderId="0" xfId="210" applyNumberFormat="1" applyFont="1" applyAlignment="1"/>
    <xf numFmtId="183" fontId="57" fillId="0" borderId="0" xfId="188" applyNumberFormat="1" applyFont="1" applyAlignment="1"/>
    <xf numFmtId="174" fontId="57" fillId="0" borderId="0" xfId="201" applyFont="1" applyFill="1" applyBorder="1" applyAlignment="1">
      <alignment vertical="top"/>
    </xf>
    <xf numFmtId="49" fontId="57" fillId="0" borderId="0" xfId="201" applyNumberFormat="1" applyFont="1" applyFill="1" applyBorder="1" applyAlignment="1">
      <alignment horizontal="center" vertical="top"/>
    </xf>
    <xf numFmtId="175" fontId="86" fillId="0" borderId="15" xfId="59" applyNumberFormat="1" applyFont="1" applyFill="1" applyBorder="1" applyAlignment="1"/>
    <xf numFmtId="175" fontId="47" fillId="0" borderId="0" xfId="210" applyNumberFormat="1" applyFont="1" applyAlignment="1"/>
    <xf numFmtId="175" fontId="47" fillId="0" borderId="0" xfId="0" applyNumberFormat="1" applyFont="1" applyAlignment="1"/>
    <xf numFmtId="175" fontId="47" fillId="0" borderId="0" xfId="59" applyNumberFormat="1" applyFont="1" applyAlignment="1">
      <alignment horizontal="right"/>
    </xf>
    <xf numFmtId="175" fontId="47" fillId="0" borderId="1" xfId="59" applyNumberFormat="1" applyFont="1" applyBorder="1" applyAlignment="1">
      <alignment horizontal="right"/>
    </xf>
    <xf numFmtId="175" fontId="47" fillId="0" borderId="0" xfId="59" applyNumberFormat="1" applyFont="1" applyFill="1" applyAlignment="1">
      <alignment horizontal="right"/>
    </xf>
    <xf numFmtId="0" fontId="57" fillId="0" borderId="0" xfId="188" applyNumberFormat="1" applyFont="1" applyFill="1" applyAlignment="1">
      <alignment vertical="top" wrapText="1"/>
    </xf>
    <xf numFmtId="0" fontId="57" fillId="0" borderId="0" xfId="188" applyNumberFormat="1" applyFont="1" applyFill="1" applyAlignment="1">
      <alignment vertical="top" wrapText="1"/>
    </xf>
    <xf numFmtId="49" fontId="57" fillId="0" borderId="0" xfId="0" applyNumberFormat="1" applyFont="1" applyFill="1" applyBorder="1" applyAlignment="1">
      <alignment horizontal="center" vertical="center" wrapText="1"/>
    </xf>
    <xf numFmtId="0" fontId="57" fillId="0" borderId="0" xfId="0" applyNumberFormat="1" applyFont="1" applyBorder="1" applyAlignment="1">
      <alignment horizontal="center" vertical="center"/>
    </xf>
    <xf numFmtId="174" fontId="57" fillId="0" borderId="1" xfId="201" applyFont="1" applyFill="1" applyBorder="1" applyAlignment="1">
      <alignment horizontal="center"/>
    </xf>
    <xf numFmtId="10" fontId="57" fillId="0" borderId="0" xfId="265" applyNumberFormat="1" applyFont="1" applyFill="1" applyBorder="1" applyAlignment="1">
      <alignment horizontal="right"/>
    </xf>
    <xf numFmtId="10" fontId="57" fillId="0" borderId="0" xfId="265" applyNumberFormat="1" applyFont="1" applyFill="1" applyBorder="1" applyAlignment="1"/>
    <xf numFmtId="170" fontId="57" fillId="15" borderId="0" xfId="201" applyNumberFormat="1" applyFont="1" applyFill="1" applyBorder="1" applyAlignment="1"/>
    <xf numFmtId="0" fontId="57" fillId="0" borderId="0" xfId="206" applyNumberFormat="1" applyFont="1" applyFill="1" applyAlignment="1"/>
    <xf numFmtId="175" fontId="57" fillId="15" borderId="8" xfId="59" applyNumberFormat="1" applyFont="1" applyFill="1" applyBorder="1" applyAlignment="1"/>
    <xf numFmtId="0" fontId="57" fillId="0" borderId="0" xfId="188" quotePrefix="1" applyNumberFormat="1" applyFont="1" applyFill="1" applyAlignment="1">
      <alignment vertical="top"/>
    </xf>
    <xf numFmtId="3" fontId="57" fillId="0" borderId="0" xfId="210" applyNumberFormat="1" applyFont="1" applyFill="1" applyAlignment="1"/>
    <xf numFmtId="0" fontId="57" fillId="0" borderId="0" xfId="210" applyNumberFormat="1" applyFont="1" applyFill="1" applyAlignment="1"/>
    <xf numFmtId="175" fontId="57" fillId="0" borderId="0" xfId="59" applyNumberFormat="1" applyFont="1" applyFill="1" applyBorder="1" applyAlignment="1"/>
    <xf numFmtId="3" fontId="57" fillId="0" borderId="0" xfId="188" applyNumberFormat="1" applyFont="1" applyFill="1" applyAlignment="1"/>
    <xf numFmtId="183" fontId="57" fillId="0" borderId="0" xfId="59" applyNumberFormat="1" applyFont="1" applyFill="1" applyAlignment="1"/>
    <xf numFmtId="174" fontId="57" fillId="0" borderId="0" xfId="0" applyFont="1" applyFill="1" applyAlignment="1"/>
    <xf numFmtId="0" fontId="57" fillId="0" borderId="0" xfId="206" applyNumberFormat="1" applyFont="1" applyFill="1" applyAlignment="1" applyProtection="1">
      <alignment horizontal="center"/>
      <protection locked="0"/>
    </xf>
    <xf numFmtId="175" fontId="57" fillId="0" borderId="1" xfId="59" applyNumberFormat="1" applyFont="1" applyFill="1" applyBorder="1" applyAlignment="1"/>
    <xf numFmtId="276" fontId="57" fillId="0" borderId="3" xfId="59" applyNumberFormat="1" applyFont="1" applyFill="1" applyBorder="1" applyAlignment="1"/>
    <xf numFmtId="175" fontId="57" fillId="0" borderId="22" xfId="59" applyNumberFormat="1" applyFont="1" applyFill="1" applyBorder="1" applyAlignment="1"/>
    <xf numFmtId="174" fontId="57" fillId="0" borderId="10" xfId="209" applyFont="1" applyFill="1" applyBorder="1" applyAlignment="1">
      <alignment horizontal="center"/>
    </xf>
    <xf numFmtId="175" fontId="57" fillId="0" borderId="10" xfId="59" applyNumberFormat="1" applyFont="1" applyFill="1" applyBorder="1" applyAlignment="1"/>
    <xf numFmtId="175" fontId="57" fillId="0" borderId="19" xfId="59" applyNumberFormat="1" applyFont="1" applyFill="1" applyBorder="1" applyAlignment="1"/>
    <xf numFmtId="1" fontId="57" fillId="0" borderId="10" xfId="59" applyNumberFormat="1" applyFont="1" applyFill="1" applyBorder="1" applyAlignment="1">
      <alignment horizontal="center"/>
    </xf>
    <xf numFmtId="1" fontId="57" fillId="0" borderId="19" xfId="59" applyNumberFormat="1" applyFont="1" applyFill="1" applyBorder="1" applyAlignment="1">
      <alignment horizontal="center"/>
    </xf>
    <xf numFmtId="174" fontId="57" fillId="0" borderId="3" xfId="209" applyFont="1" applyFill="1" applyBorder="1" applyAlignment="1"/>
    <xf numFmtId="174" fontId="57" fillId="0" borderId="11" xfId="0" applyFont="1" applyFill="1" applyBorder="1"/>
    <xf numFmtId="175" fontId="57" fillId="0" borderId="10" xfId="59" applyNumberFormat="1" applyFont="1" applyFill="1" applyBorder="1"/>
    <xf numFmtId="171" fontId="57" fillId="0" borderId="11" xfId="265" applyNumberFormat="1" applyFont="1" applyFill="1" applyBorder="1"/>
    <xf numFmtId="175" fontId="57" fillId="0" borderId="12" xfId="59" applyNumberFormat="1" applyFont="1" applyFill="1" applyBorder="1"/>
    <xf numFmtId="175" fontId="57" fillId="0" borderId="11" xfId="59" applyNumberFormat="1" applyFont="1" applyFill="1" applyBorder="1" applyAlignment="1">
      <alignment horizontal="center"/>
    </xf>
    <xf numFmtId="175" fontId="57" fillId="0" borderId="11" xfId="59" applyNumberFormat="1" applyFont="1" applyFill="1" applyBorder="1"/>
    <xf numFmtId="174" fontId="57" fillId="0" borderId="22" xfId="0" applyFont="1" applyFill="1" applyBorder="1"/>
    <xf numFmtId="175" fontId="57" fillId="0" borderId="19" xfId="59" applyNumberFormat="1" applyFont="1" applyFill="1" applyBorder="1"/>
    <xf numFmtId="171" fontId="57" fillId="0" borderId="22" xfId="265" applyNumberFormat="1" applyFont="1" applyFill="1" applyBorder="1"/>
    <xf numFmtId="0" fontId="57" fillId="0" borderId="1" xfId="59" applyNumberFormat="1" applyFont="1" applyBorder="1" applyAlignment="1">
      <alignment horizontal="center"/>
    </xf>
    <xf numFmtId="175" fontId="57" fillId="0" borderId="22" xfId="59" applyNumberFormat="1" applyFont="1" applyFill="1" applyBorder="1"/>
    <xf numFmtId="0" fontId="57" fillId="0" borderId="0" xfId="59" applyNumberFormat="1" applyFont="1" applyFill="1" applyBorder="1" applyAlignment="1"/>
    <xf numFmtId="176" fontId="57" fillId="0" borderId="0" xfId="93" applyNumberFormat="1" applyFont="1" applyFill="1" applyBorder="1" applyAlignment="1"/>
    <xf numFmtId="175" fontId="57" fillId="0" borderId="22" xfId="59" applyNumberFormat="1" applyFont="1" applyBorder="1" applyAlignment="1">
      <alignment horizontal="center"/>
    </xf>
    <xf numFmtId="1" fontId="57" fillId="0" borderId="19" xfId="209" applyNumberFormat="1" applyFont="1" applyFill="1" applyBorder="1" applyAlignment="1">
      <alignment horizontal="center"/>
    </xf>
    <xf numFmtId="174" fontId="57" fillId="0" borderId="8" xfId="201" applyFont="1" applyFill="1" applyBorder="1" applyAlignment="1">
      <alignment horizontal="center"/>
    </xf>
    <xf numFmtId="0" fontId="57" fillId="0" borderId="3" xfId="59" applyNumberFormat="1" applyFont="1" applyFill="1" applyBorder="1" applyAlignment="1"/>
    <xf numFmtId="176" fontId="57" fillId="0" borderId="3" xfId="93" applyNumberFormat="1" applyFont="1" applyFill="1" applyBorder="1" applyAlignment="1"/>
    <xf numFmtId="175" fontId="57" fillId="0" borderId="3" xfId="59" applyNumberFormat="1" applyFont="1" applyFill="1" applyBorder="1" applyAlignment="1"/>
    <xf numFmtId="174" fontId="0" fillId="0" borderId="0" xfId="0" applyAlignment="1"/>
    <xf numFmtId="3" fontId="57" fillId="0" borderId="0" xfId="201" applyNumberFormat="1" applyFont="1" applyFill="1" applyBorder="1" applyAlignment="1"/>
    <xf numFmtId="174" fontId="57" fillId="0" borderId="0" xfId="201" applyFont="1" applyFill="1" applyBorder="1" applyAlignment="1"/>
    <xf numFmtId="0" fontId="57" fillId="0" borderId="0" xfId="201" applyNumberFormat="1" applyFont="1" applyFill="1" applyBorder="1"/>
    <xf numFmtId="3" fontId="57" fillId="0" borderId="0" xfId="210" applyNumberFormat="1" applyFont="1" applyAlignment="1"/>
    <xf numFmtId="0" fontId="57" fillId="0" borderId="0" xfId="210" applyNumberFormat="1" applyFont="1" applyAlignment="1"/>
    <xf numFmtId="0" fontId="57" fillId="0" borderId="0" xfId="210" applyNumberFormat="1" applyFont="1" applyFill="1" applyAlignment="1"/>
    <xf numFmtId="174" fontId="57" fillId="0" borderId="1" xfId="201" applyFont="1" applyFill="1" applyBorder="1" applyAlignment="1"/>
    <xf numFmtId="175" fontId="57" fillId="0" borderId="0" xfId="59" applyNumberFormat="1" applyFont="1" applyFill="1" applyBorder="1" applyAlignment="1"/>
    <xf numFmtId="174" fontId="57" fillId="0" borderId="0" xfId="201" applyFont="1" applyFill="1" applyBorder="1" applyAlignment="1">
      <alignment horizontal="center"/>
    </xf>
    <xf numFmtId="0" fontId="57" fillId="0" borderId="0" xfId="201" applyNumberFormat="1" applyFont="1" applyFill="1" applyBorder="1" applyAlignment="1">
      <alignment horizontal="center"/>
    </xf>
    <xf numFmtId="0" fontId="57" fillId="0" borderId="0" xfId="201" applyNumberFormat="1" applyFont="1" applyFill="1" applyBorder="1" applyAlignment="1"/>
    <xf numFmtId="0" fontId="64" fillId="0" borderId="0" xfId="201" applyNumberFormat="1" applyFont="1" applyFill="1" applyBorder="1" applyAlignment="1"/>
    <xf numFmtId="177" fontId="64" fillId="0" borderId="0" xfId="201" applyNumberFormat="1" applyFont="1" applyFill="1" applyBorder="1" applyAlignment="1">
      <alignment horizontal="center"/>
    </xf>
    <xf numFmtId="174" fontId="64" fillId="0" borderId="16" xfId="201" applyFont="1" applyFill="1" applyBorder="1" applyAlignment="1">
      <alignment horizontal="center" wrapText="1"/>
    </xf>
    <xf numFmtId="174" fontId="64" fillId="0" borderId="7" xfId="201" applyFont="1" applyFill="1" applyBorder="1" applyAlignment="1"/>
    <xf numFmtId="0" fontId="57" fillId="0" borderId="16" xfId="201" applyNumberFormat="1" applyFont="1" applyFill="1" applyBorder="1"/>
    <xf numFmtId="0" fontId="57" fillId="0" borderId="7" xfId="201" applyNumberFormat="1" applyFont="1" applyFill="1" applyBorder="1"/>
    <xf numFmtId="0" fontId="57" fillId="0" borderId="10" xfId="201" applyNumberFormat="1" applyFont="1" applyFill="1" applyBorder="1"/>
    <xf numFmtId="174" fontId="57" fillId="0" borderId="10" xfId="209"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0" fontId="57" fillId="0" borderId="0" xfId="210" applyNumberFormat="1" applyFont="1" applyFill="1"/>
    <xf numFmtId="175" fontId="57" fillId="14" borderId="0" xfId="59" applyNumberFormat="1" applyFont="1" applyFill="1" applyBorder="1" applyAlignment="1"/>
    <xf numFmtId="174" fontId="57" fillId="0" borderId="0" xfId="0" applyFont="1"/>
    <xf numFmtId="174" fontId="57" fillId="0" borderId="0" xfId="0" applyFont="1" applyFill="1" applyAlignment="1"/>
    <xf numFmtId="174" fontId="57" fillId="0" borderId="0" xfId="0" applyFont="1" applyFill="1"/>
    <xf numFmtId="175" fontId="57" fillId="0" borderId="11" xfId="59" applyNumberFormat="1" applyFont="1" applyFill="1" applyBorder="1" applyAlignment="1"/>
    <xf numFmtId="174" fontId="98" fillId="0" borderId="0" xfId="201" applyFont="1" applyFill="1" applyBorder="1" applyAlignment="1"/>
    <xf numFmtId="175" fontId="57" fillId="14" borderId="10" xfId="59" applyNumberFormat="1" applyFont="1" applyFill="1" applyBorder="1" applyAlignment="1"/>
    <xf numFmtId="174" fontId="57" fillId="0" borderId="15" xfId="0" applyFont="1" applyBorder="1" applyAlignment="1">
      <alignment horizontal="center"/>
    </xf>
    <xf numFmtId="174" fontId="57" fillId="15" borderId="0" xfId="0" applyFont="1" applyFill="1"/>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174" fontId="57" fillId="0" borderId="0" xfId="201" applyFont="1" applyAlignment="1"/>
    <xf numFmtId="174" fontId="57" fillId="0" borderId="19"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174" fontId="57" fillId="0" borderId="0" xfId="201" applyFont="1" applyFill="1" applyBorder="1" applyAlignment="1">
      <alignment wrapText="1"/>
    </xf>
    <xf numFmtId="0" fontId="57" fillId="0" borderId="0" xfId="59" applyNumberFormat="1" applyFont="1" applyFill="1" applyAlignment="1">
      <alignment horizontal="center"/>
    </xf>
    <xf numFmtId="0" fontId="57" fillId="0" borderId="0" xfId="59" applyNumberFormat="1" applyFont="1" applyAlignment="1">
      <alignment horizontal="center"/>
    </xf>
    <xf numFmtId="175" fontId="57" fillId="0" borderId="3" xfId="59" applyNumberFormat="1" applyFont="1" applyBorder="1"/>
    <xf numFmtId="175" fontId="57" fillId="0" borderId="3" xfId="59" applyNumberFormat="1" applyFont="1" applyFill="1" applyBorder="1"/>
    <xf numFmtId="276" fontId="57" fillId="0" borderId="0" xfId="59" applyNumberFormat="1" applyFont="1" applyFill="1" applyBorder="1" applyAlignment="1"/>
    <xf numFmtId="174" fontId="57" fillId="0" borderId="9" xfId="201" applyFont="1" applyFill="1" applyBorder="1" applyAlignment="1">
      <alignment horizontal="center"/>
    </xf>
    <xf numFmtId="174" fontId="57" fillId="0" borderId="0" xfId="0" applyFont="1" applyFill="1" applyAlignment="1">
      <alignment vertical="top" wrapText="1"/>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0" xfId="59" applyNumberFormat="1" applyFont="1" applyFill="1" applyBorder="1"/>
    <xf numFmtId="175" fontId="57" fillId="0" borderId="0" xfId="59" applyNumberFormat="1" applyFont="1"/>
    <xf numFmtId="175" fontId="57" fillId="15" borderId="12" xfId="59" applyNumberFormat="1" applyFont="1" applyFill="1" applyBorder="1"/>
    <xf numFmtId="175" fontId="57" fillId="0" borderId="11" xfId="59" applyNumberFormat="1" applyFont="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11" xfId="265" applyNumberFormat="1" applyFont="1" applyBorder="1"/>
    <xf numFmtId="174" fontId="57" fillId="15" borderId="11" xfId="0" applyFont="1" applyFill="1" applyBorder="1" applyAlignment="1">
      <alignment horizontal="center"/>
    </xf>
    <xf numFmtId="174" fontId="57" fillId="0" borderId="0" xfId="201" applyFont="1" applyFill="1" applyBorder="1" applyAlignment="1">
      <alignment vertical="top"/>
    </xf>
    <xf numFmtId="174" fontId="0" fillId="0" borderId="0" xfId="0" applyFill="1"/>
    <xf numFmtId="0" fontId="57" fillId="0" borderId="0" xfId="0" applyNumberFormat="1" applyFont="1" applyAlignment="1">
      <alignment horizontal="center"/>
    </xf>
    <xf numFmtId="0" fontId="57" fillId="0" borderId="0" xfId="187" applyFont="1" applyFill="1" applyBorder="1" applyAlignment="1">
      <alignment horizontal="left"/>
    </xf>
    <xf numFmtId="0" fontId="64" fillId="0" borderId="0" xfId="211" quotePrefix="1" applyFont="1" applyAlignment="1">
      <alignment horizontal="center" wrapText="1"/>
    </xf>
    <xf numFmtId="175" fontId="57" fillId="0" borderId="14" xfId="59" applyNumberFormat="1" applyFont="1" applyBorder="1"/>
    <xf numFmtId="174" fontId="76" fillId="0" borderId="0" xfId="0" applyFont="1" applyAlignment="1">
      <alignment horizontal="left"/>
    </xf>
    <xf numFmtId="174" fontId="76" fillId="0" borderId="0" xfId="0" applyFont="1" applyFill="1" applyAlignment="1">
      <alignment horizontal="left"/>
    </xf>
    <xf numFmtId="174" fontId="24" fillId="0" borderId="0" xfId="0" applyFont="1"/>
    <xf numFmtId="174" fontId="0" fillId="0" borderId="0" xfId="0" applyFill="1" applyProtection="1">
      <protection locked="0"/>
    </xf>
    <xf numFmtId="174" fontId="0" fillId="0" borderId="0" xfId="0"/>
    <xf numFmtId="174" fontId="120" fillId="0" borderId="0" xfId="0" applyFont="1" applyFill="1" applyProtection="1">
      <protection locked="0"/>
    </xf>
    <xf numFmtId="174" fontId="121" fillId="0" borderId="0" xfId="0" applyFont="1" applyFill="1" applyProtection="1">
      <protection locked="0"/>
    </xf>
    <xf numFmtId="277" fontId="0" fillId="0" borderId="0" xfId="0" applyNumberFormat="1" applyFill="1"/>
    <xf numFmtId="176" fontId="37" fillId="0" borderId="0" xfId="93" applyNumberFormat="1" applyFont="1" applyFill="1"/>
    <xf numFmtId="174" fontId="122" fillId="0" borderId="0" xfId="0" applyFont="1" applyProtection="1">
      <protection locked="0"/>
    </xf>
    <xf numFmtId="277" fontId="0" fillId="0" borderId="0" xfId="0" applyNumberFormat="1"/>
    <xf numFmtId="176" fontId="0" fillId="0" borderId="0" xfId="93" applyNumberFormat="1" applyFont="1"/>
    <xf numFmtId="176" fontId="0" fillId="0" borderId="0" xfId="0" applyNumberFormat="1"/>
    <xf numFmtId="0" fontId="57" fillId="14" borderId="0" xfId="0" applyNumberFormat="1" applyFont="1" applyFill="1" applyAlignment="1" applyProtection="1">
      <alignment horizontal="center"/>
      <protection locked="0"/>
    </xf>
    <xf numFmtId="0" fontId="57" fillId="0" borderId="0" xfId="0" applyNumberFormat="1" applyFont="1" applyFill="1" applyAlignment="1" applyProtection="1">
      <alignment horizontal="center"/>
      <protection locked="0"/>
    </xf>
    <xf numFmtId="174" fontId="57" fillId="0" borderId="0" xfId="0" applyFont="1" applyFill="1" applyProtection="1">
      <protection locked="0"/>
    </xf>
    <xf numFmtId="174" fontId="57" fillId="0" borderId="31" xfId="0" applyFont="1" applyFill="1" applyBorder="1" applyAlignment="1" applyProtection="1">
      <alignment horizontal="center" wrapText="1"/>
      <protection locked="0"/>
    </xf>
    <xf numFmtId="174" fontId="57" fillId="0" borderId="32" xfId="0" applyFont="1" applyFill="1" applyBorder="1" applyAlignment="1" applyProtection="1">
      <alignment horizontal="center" wrapText="1"/>
      <protection locked="0"/>
    </xf>
    <xf numFmtId="174" fontId="57" fillId="0" borderId="32" xfId="0" applyFont="1" applyFill="1" applyBorder="1" applyProtection="1">
      <protection locked="0"/>
    </xf>
    <xf numFmtId="170" fontId="57" fillId="0" borderId="33" xfId="0" applyNumberFormat="1" applyFont="1" applyFill="1" applyBorder="1" applyAlignment="1" applyProtection="1">
      <alignment horizontal="center"/>
      <protection locked="0"/>
    </xf>
    <xf numFmtId="174" fontId="64" fillId="0" borderId="0" xfId="0" applyFont="1" applyFill="1" applyAlignment="1" applyProtection="1">
      <alignment horizontal="center"/>
      <protection locked="0"/>
    </xf>
    <xf numFmtId="174" fontId="57" fillId="0" borderId="0" xfId="0" applyFont="1" applyFill="1" applyAlignment="1" applyProtection="1">
      <alignment horizontal="center"/>
      <protection locked="0"/>
    </xf>
    <xf numFmtId="175" fontId="57" fillId="0" borderId="0" xfId="0" applyNumberFormat="1" applyFont="1" applyFill="1" applyProtection="1">
      <protection locked="0"/>
    </xf>
    <xf numFmtId="5" fontId="57" fillId="0" borderId="33" xfId="0" applyNumberFormat="1" applyFont="1" applyFill="1" applyBorder="1" applyAlignment="1" applyProtection="1">
      <alignment horizontal="center"/>
      <protection locked="0"/>
    </xf>
    <xf numFmtId="175" fontId="57" fillId="0" borderId="8" xfId="0" applyNumberFormat="1" applyFont="1" applyFill="1" applyBorder="1" applyProtection="1">
      <protection locked="0"/>
    </xf>
    <xf numFmtId="174" fontId="57" fillId="0" borderId="8" xfId="0" applyFont="1" applyFill="1" applyBorder="1" applyAlignment="1" applyProtection="1">
      <alignment horizontal="center"/>
      <protection locked="0"/>
    </xf>
    <xf numFmtId="174" fontId="57" fillId="0" borderId="8" xfId="0" applyFont="1" applyFill="1" applyBorder="1" applyProtection="1">
      <protection locked="0"/>
    </xf>
    <xf numFmtId="175" fontId="57" fillId="0" borderId="0" xfId="0" applyNumberFormat="1" applyFont="1" applyFill="1" applyAlignment="1" applyProtection="1">
      <alignment horizontal="left"/>
      <protection locked="0"/>
    </xf>
    <xf numFmtId="0" fontId="64" fillId="0" borderId="0" xfId="0" applyNumberFormat="1" applyFont="1" applyFill="1" applyAlignment="1" applyProtection="1">
      <alignment horizontal="left"/>
      <protection locked="0"/>
    </xf>
    <xf numFmtId="174" fontId="64" fillId="0" borderId="0" xfId="0" applyFont="1" applyFill="1" applyAlignment="1" applyProtection="1">
      <alignment horizontal="center" wrapText="1"/>
      <protection locked="0"/>
    </xf>
    <xf numFmtId="175" fontId="64" fillId="0" borderId="0" xfId="0" applyNumberFormat="1" applyFont="1" applyFill="1" applyAlignment="1" applyProtection="1">
      <alignment horizontal="center" wrapText="1"/>
      <protection locked="0"/>
    </xf>
    <xf numFmtId="175" fontId="64" fillId="0" borderId="0" xfId="0" applyNumberFormat="1" applyFont="1" applyFill="1" applyAlignment="1" applyProtection="1">
      <alignment horizontal="center"/>
      <protection locked="0"/>
    </xf>
    <xf numFmtId="277" fontId="57" fillId="0" borderId="0" xfId="265" applyNumberFormat="1" applyFont="1" applyFill="1" applyProtection="1">
      <protection locked="0"/>
    </xf>
    <xf numFmtId="164" fontId="57" fillId="0" borderId="0" xfId="265" applyNumberFormat="1" applyFont="1" applyFill="1" applyProtection="1">
      <protection locked="0"/>
    </xf>
    <xf numFmtId="175" fontId="57" fillId="0" borderId="0" xfId="0" applyNumberFormat="1" applyFont="1" applyFill="1" applyAlignment="1" applyProtection="1">
      <alignment horizontal="center"/>
      <protection locked="0"/>
    </xf>
    <xf numFmtId="174" fontId="90" fillId="0" borderId="0" xfId="0" applyFont="1" applyFill="1" applyAlignment="1" applyProtection="1">
      <alignment horizontal="center"/>
      <protection locked="0"/>
    </xf>
    <xf numFmtId="174" fontId="57" fillId="14" borderId="0" xfId="0" applyFont="1" applyFill="1" applyProtection="1">
      <protection locked="0"/>
    </xf>
    <xf numFmtId="175" fontId="57" fillId="0" borderId="0" xfId="59" applyNumberFormat="1" applyFont="1" applyFill="1" applyProtection="1">
      <protection locked="0"/>
    </xf>
    <xf numFmtId="164" fontId="57" fillId="0" borderId="0" xfId="0" applyNumberFormat="1" applyFont="1" applyFill="1" applyProtection="1">
      <protection locked="0"/>
    </xf>
    <xf numFmtId="175" fontId="64" fillId="0" borderId="0" xfId="59" applyNumberFormat="1" applyFont="1" applyFill="1" applyProtection="1">
      <protection locked="0"/>
    </xf>
    <xf numFmtId="175" fontId="64" fillId="0" borderId="0" xfId="59" applyNumberFormat="1" applyFont="1" applyFill="1" applyAlignment="1" applyProtection="1">
      <alignment horizontal="center"/>
      <protection locked="0"/>
    </xf>
    <xf numFmtId="174" fontId="90" fillId="0" borderId="0" xfId="0" applyFont="1" applyFill="1" applyProtection="1">
      <protection locked="0"/>
    </xf>
    <xf numFmtId="175" fontId="57" fillId="0" borderId="0" xfId="0" applyNumberFormat="1" applyFont="1" applyProtection="1">
      <protection locked="0"/>
    </xf>
    <xf numFmtId="175" fontId="57" fillId="0" borderId="0" xfId="0" applyNumberFormat="1" applyFont="1"/>
    <xf numFmtId="277" fontId="57" fillId="0" borderId="0" xfId="0" applyNumberFormat="1" applyFont="1" applyFill="1" applyProtection="1">
      <protection locked="0"/>
    </xf>
    <xf numFmtId="176" fontId="57" fillId="0" borderId="0" xfId="93" applyNumberFormat="1" applyFont="1" applyFill="1"/>
    <xf numFmtId="174" fontId="57" fillId="0" borderId="1" xfId="0" applyFont="1" applyBorder="1" applyAlignment="1">
      <alignment horizontal="center"/>
    </xf>
    <xf numFmtId="174" fontId="57" fillId="0" borderId="0" xfId="0" applyFont="1" applyFill="1" applyAlignment="1">
      <alignment horizontal="left" vertical="top"/>
    </xf>
    <xf numFmtId="1" fontId="57" fillId="0" borderId="16" xfId="59" applyNumberFormat="1" applyFont="1" applyFill="1" applyBorder="1" applyAlignment="1">
      <alignment horizontal="center"/>
    </xf>
    <xf numFmtId="174" fontId="92" fillId="0" borderId="7" xfId="201" applyFont="1" applyFill="1" applyBorder="1" applyAlignment="1"/>
    <xf numFmtId="0" fontId="57" fillId="0" borderId="7" xfId="201" applyNumberFormat="1" applyFont="1" applyFill="1" applyBorder="1" applyAlignment="1"/>
    <xf numFmtId="175" fontId="57" fillId="0" borderId="7" xfId="59" applyNumberFormat="1" applyFont="1" applyFill="1" applyBorder="1" applyAlignment="1">
      <alignment horizontal="center"/>
    </xf>
    <xf numFmtId="174" fontId="57" fillId="0" borderId="7" xfId="201" applyFont="1" applyFill="1" applyBorder="1" applyAlignment="1">
      <alignment horizontal="center"/>
    </xf>
    <xf numFmtId="3" fontId="57" fillId="0" borderId="7" xfId="201" applyNumberFormat="1" applyFont="1" applyFill="1" applyBorder="1" applyAlignment="1"/>
    <xf numFmtId="170" fontId="57" fillId="0" borderId="7" xfId="201" applyNumberFormat="1" applyFont="1" applyFill="1" applyBorder="1" applyAlignment="1"/>
    <xf numFmtId="175" fontId="57" fillId="0" borderId="9" xfId="59" applyNumberFormat="1" applyFont="1" applyFill="1" applyBorder="1" applyAlignment="1">
      <alignment horizontal="center"/>
    </xf>
    <xf numFmtId="174" fontId="76" fillId="0" borderId="0" xfId="0" applyFont="1"/>
    <xf numFmtId="174" fontId="57" fillId="0" borderId="17" xfId="201" applyFont="1" applyBorder="1" applyAlignment="1">
      <alignment horizontal="center"/>
    </xf>
    <xf numFmtId="174" fontId="57" fillId="0" borderId="15" xfId="201" applyFont="1" applyBorder="1" applyAlignment="1">
      <alignment horizontal="center"/>
    </xf>
    <xf numFmtId="183" fontId="47" fillId="0" borderId="0" xfId="59" applyNumberFormat="1" applyFont="1" applyFill="1" applyAlignment="1">
      <alignment horizontal="right"/>
    </xf>
    <xf numFmtId="175" fontId="47" fillId="0" borderId="0" xfId="59" applyNumberFormat="1" applyFont="1" applyAlignment="1">
      <alignment horizontal="center"/>
    </xf>
    <xf numFmtId="175" fontId="47" fillId="0" borderId="1" xfId="59" applyNumberFormat="1" applyFont="1" applyBorder="1" applyAlignment="1">
      <alignment horizontal="center"/>
    </xf>
    <xf numFmtId="0" fontId="57" fillId="0" borderId="1" xfId="0" applyNumberFormat="1" applyFont="1" applyBorder="1" applyAlignment="1">
      <alignment horizontal="center"/>
    </xf>
    <xf numFmtId="0" fontId="57" fillId="0" borderId="1" xfId="187" applyFont="1" applyFill="1" applyBorder="1" applyAlignment="1"/>
    <xf numFmtId="3" fontId="57" fillId="0" borderId="1" xfId="187" applyNumberFormat="1" applyFont="1" applyFill="1" applyBorder="1" applyAlignment="1">
      <alignment horizontal="center" wrapText="1"/>
    </xf>
    <xf numFmtId="0" fontId="57" fillId="0" borderId="3" xfId="187" applyFont="1" applyFill="1" applyBorder="1" applyAlignment="1"/>
    <xf numFmtId="175" fontId="57" fillId="0" borderId="3" xfId="59" applyNumberFormat="1" applyFont="1" applyFill="1" applyBorder="1" applyAlignment="1">
      <alignment horizontal="center"/>
    </xf>
    <xf numFmtId="174" fontId="87" fillId="0" borderId="3" xfId="0" applyFont="1" applyBorder="1" applyAlignment="1"/>
    <xf numFmtId="175" fontId="57" fillId="0" borderId="3" xfId="59" applyNumberFormat="1" applyFont="1" applyFill="1" applyBorder="1" applyAlignment="1">
      <alignment horizontal="center" wrapText="1"/>
    </xf>
    <xf numFmtId="174" fontId="47" fillId="0" borderId="0" xfId="0" applyFont="1" applyAlignment="1">
      <alignment horizontal="left"/>
    </xf>
    <xf numFmtId="0" fontId="53" fillId="0" borderId="0" xfId="554" applyFont="1" applyAlignment="1">
      <alignment horizontal="right"/>
    </xf>
    <xf numFmtId="0" fontId="123" fillId="0" borderId="0" xfId="555" applyFont="1" applyAlignment="1">
      <alignment horizontal="centerContinuous"/>
    </xf>
    <xf numFmtId="174" fontId="47" fillId="0" borderId="0" xfId="0" applyFont="1" applyAlignment="1">
      <alignment horizontal="centerContinuous"/>
    </xf>
    <xf numFmtId="174" fontId="47" fillId="0" borderId="0" xfId="0" applyFont="1" applyBorder="1" applyAlignment="1">
      <alignment horizontal="center"/>
    </xf>
    <xf numFmtId="174" fontId="47" fillId="0" borderId="0" xfId="0" applyFont="1" applyBorder="1" applyAlignment="1">
      <alignment horizontal="centerContinuous"/>
    </xf>
    <xf numFmtId="174" fontId="47" fillId="0" borderId="0" xfId="0" applyFont="1" applyAlignment="1">
      <alignment horizontal="center"/>
    </xf>
    <xf numFmtId="174" fontId="124" fillId="0" borderId="0" xfId="0" applyFont="1" applyAlignment="1">
      <alignment horizontal="center"/>
    </xf>
    <xf numFmtId="174" fontId="124" fillId="0" borderId="0" xfId="0" applyFont="1" applyAlignment="1"/>
    <xf numFmtId="37" fontId="47" fillId="0" borderId="0" xfId="0" applyNumberFormat="1" applyFont="1" applyAlignment="1">
      <alignment horizontal="center" vertical="top"/>
    </xf>
    <xf numFmtId="174" fontId="47" fillId="0" borderId="0" xfId="0" quotePrefix="1" applyFont="1" applyAlignment="1"/>
    <xf numFmtId="175" fontId="125" fillId="15" borderId="0" xfId="59" applyNumberFormat="1" applyFont="1" applyFill="1" applyAlignment="1"/>
    <xf numFmtId="175" fontId="47" fillId="0" borderId="0" xfId="59" applyNumberFormat="1" applyFont="1" applyFill="1" applyAlignment="1"/>
    <xf numFmtId="174" fontId="47" fillId="0" borderId="0" xfId="0" applyFont="1" applyAlignment="1">
      <alignment vertical="center"/>
    </xf>
    <xf numFmtId="175" fontId="47" fillId="15" borderId="0" xfId="59" applyNumberFormat="1" applyFont="1" applyFill="1" applyAlignment="1"/>
    <xf numFmtId="175" fontId="47" fillId="0" borderId="3" xfId="59" applyNumberFormat="1" applyFont="1" applyBorder="1" applyAlignment="1"/>
    <xf numFmtId="174" fontId="123" fillId="0" borderId="0" xfId="0" applyFont="1" applyFill="1" applyAlignment="1"/>
    <xf numFmtId="174" fontId="47" fillId="0" borderId="0" xfId="0" applyFont="1" applyFill="1" applyAlignment="1"/>
    <xf numFmtId="174" fontId="47" fillId="0" borderId="0" xfId="0" applyFont="1" applyFill="1" applyBorder="1" applyAlignment="1"/>
    <xf numFmtId="0" fontId="126" fillId="0" borderId="0" xfId="182" applyFont="1"/>
    <xf numFmtId="174" fontId="47" fillId="0" borderId="0" xfId="0" applyFont="1" applyBorder="1" applyAlignment="1"/>
    <xf numFmtId="174" fontId="127" fillId="0" borderId="0" xfId="0" applyFont="1" applyAlignment="1"/>
    <xf numFmtId="174" fontId="128" fillId="0" borderId="0" xfId="201" applyFont="1" applyAlignment="1">
      <alignment horizontal="center"/>
    </xf>
    <xf numFmtId="49" fontId="57" fillId="0" borderId="0" xfId="187" applyNumberFormat="1" applyFont="1" applyFill="1" applyBorder="1" applyAlignment="1">
      <alignment horizontal="center"/>
    </xf>
    <xf numFmtId="0" fontId="64" fillId="0" borderId="0" xfId="185" applyFont="1" applyFill="1" applyBorder="1" applyAlignment="1">
      <alignment horizontal="center"/>
    </xf>
    <xf numFmtId="174" fontId="129" fillId="0" borderId="0" xfId="0" applyFont="1" applyFill="1" applyAlignment="1"/>
    <xf numFmtId="174" fontId="57" fillId="0" borderId="0" xfId="201" applyFont="1" applyAlignment="1">
      <alignment horizontal="center"/>
    </xf>
    <xf numFmtId="0" fontId="64" fillId="0" borderId="1" xfId="185" applyFont="1" applyBorder="1" applyAlignment="1">
      <alignment horizontal="center"/>
    </xf>
    <xf numFmtId="175" fontId="57" fillId="0" borderId="3" xfId="59" applyNumberFormat="1" applyFont="1" applyBorder="1" applyAlignment="1"/>
    <xf numFmtId="0" fontId="57" fillId="0" borderId="0" xfId="0" applyNumberFormat="1" applyFont="1" applyAlignment="1">
      <alignment horizontal="center" vertical="top"/>
    </xf>
    <xf numFmtId="2" fontId="57" fillId="0" borderId="0" xfId="0" applyNumberFormat="1" applyFont="1" applyAlignment="1">
      <alignment wrapText="1"/>
    </xf>
    <xf numFmtId="0" fontId="123" fillId="0" borderId="0" xfId="555" applyFont="1" applyAlignment="1">
      <alignment horizontal="center"/>
    </xf>
    <xf numFmtId="174" fontId="47" fillId="0" borderId="0" xfId="0" applyFont="1" applyAlignment="1">
      <alignment vertical="top"/>
    </xf>
    <xf numFmtId="174" fontId="47" fillId="0" borderId="1" xfId="0" applyFont="1" applyBorder="1" applyAlignment="1">
      <alignment horizontal="center"/>
    </xf>
    <xf numFmtId="174" fontId="47" fillId="0" borderId="0" xfId="0" applyFont="1" applyAlignment="1">
      <alignment horizontal="center" vertical="top"/>
    </xf>
    <xf numFmtId="0" fontId="57" fillId="0" borderId="0" xfId="187" applyFont="1" applyFill="1" applyAlignment="1">
      <alignment horizontal="left" wrapText="1"/>
    </xf>
    <xf numFmtId="0" fontId="57" fillId="0" borderId="0" xfId="187" applyFont="1" applyFill="1" applyBorder="1" applyAlignment="1">
      <alignment horizontal="left" wrapText="1"/>
    </xf>
    <xf numFmtId="174" fontId="57" fillId="0" borderId="1" xfId="0" applyFont="1" applyBorder="1" applyAlignment="1">
      <alignment horizontal="center"/>
    </xf>
    <xf numFmtId="0" fontId="57" fillId="0" borderId="0" xfId="187" applyFont="1" applyFill="1" applyAlignment="1">
      <alignment horizontal="center"/>
    </xf>
    <xf numFmtId="10" fontId="57" fillId="0" borderId="0" xfId="265" applyNumberFormat="1" applyFont="1" applyFill="1" applyAlignment="1">
      <alignment horizontal="center"/>
    </xf>
    <xf numFmtId="0" fontId="57" fillId="0" borderId="0" xfId="0" applyNumberFormat="1" applyFont="1" applyAlignment="1"/>
    <xf numFmtId="174" fontId="64" fillId="0" borderId="0" xfId="201" quotePrefix="1" applyFont="1" applyAlignment="1">
      <alignment horizontal="left"/>
    </xf>
    <xf numFmtId="174" fontId="57" fillId="0" borderId="0" xfId="201" applyFont="1" applyBorder="1" applyAlignment="1"/>
    <xf numFmtId="174" fontId="57" fillId="0" borderId="0" xfId="201" quotePrefix="1" applyFont="1" applyBorder="1" applyAlignment="1">
      <alignment horizontal="left"/>
    </xf>
    <xf numFmtId="176" fontId="57" fillId="0" borderId="0" xfId="105" applyNumberFormat="1" applyFont="1" applyFill="1" applyBorder="1" applyAlignment="1"/>
    <xf numFmtId="176" fontId="57" fillId="0" borderId="0" xfId="105" applyNumberFormat="1" applyFont="1" applyBorder="1" applyAlignment="1"/>
    <xf numFmtId="1" fontId="57" fillId="0" borderId="0" xfId="201" applyNumberFormat="1" applyFont="1" applyAlignment="1">
      <alignment horizontal="left"/>
    </xf>
    <xf numFmtId="174" fontId="57" fillId="0" borderId="0" xfId="201" quotePrefix="1" applyFont="1" applyAlignment="1">
      <alignment horizontal="left"/>
    </xf>
    <xf numFmtId="10" fontId="57" fillId="14" borderId="0" xfId="265" applyNumberFormat="1" applyFont="1" applyFill="1" applyAlignment="1"/>
    <xf numFmtId="43" fontId="57" fillId="0" borderId="0" xfId="59" applyFont="1" applyBorder="1" applyAlignment="1"/>
    <xf numFmtId="174" fontId="57" fillId="0" borderId="0" xfId="201" applyFont="1" applyAlignment="1">
      <alignment horizontal="left"/>
    </xf>
    <xf numFmtId="10" fontId="57" fillId="0" borderId="0" xfId="265" applyNumberFormat="1" applyFont="1" applyBorder="1" applyAlignment="1"/>
    <xf numFmtId="164" fontId="57" fillId="0" borderId="0" xfId="265" applyNumberFormat="1" applyFont="1" applyAlignment="1"/>
    <xf numFmtId="0" fontId="57" fillId="0" borderId="0" xfId="365" applyFont="1" applyAlignment="1"/>
    <xf numFmtId="0" fontId="57" fillId="0" borderId="0" xfId="365" applyFont="1" applyAlignment="1">
      <alignment horizontal="right"/>
    </xf>
    <xf numFmtId="0" fontId="57" fillId="0" borderId="0" xfId="365" applyFont="1"/>
    <xf numFmtId="0" fontId="57" fillId="0" borderId="0" xfId="365" applyFont="1" applyAlignment="1">
      <alignment horizontal="center" wrapText="1"/>
    </xf>
    <xf numFmtId="0" fontId="90" fillId="0" borderId="0" xfId="365" applyFont="1" applyAlignment="1"/>
    <xf numFmtId="0" fontId="57" fillId="0" borderId="0" xfId="365" quotePrefix="1" applyFont="1" applyAlignment="1">
      <alignment horizontal="left"/>
    </xf>
    <xf numFmtId="1" fontId="57" fillId="0" borderId="0" xfId="365" applyNumberFormat="1" applyFont="1" applyAlignment="1">
      <alignment horizontal="center"/>
    </xf>
    <xf numFmtId="0" fontId="57" fillId="0" borderId="0" xfId="365" applyFont="1" applyAlignment="1">
      <alignment horizontal="center"/>
    </xf>
    <xf numFmtId="9" fontId="57" fillId="0" borderId="0" xfId="365" applyNumberFormat="1" applyFont="1" applyAlignment="1">
      <alignment horizontal="center"/>
    </xf>
    <xf numFmtId="10" fontId="57" fillId="0" borderId="0" xfId="365" applyNumberFormat="1" applyFont="1" applyAlignment="1">
      <alignment horizontal="center"/>
    </xf>
    <xf numFmtId="3" fontId="57" fillId="0" borderId="0" xfId="365" applyNumberFormat="1" applyFont="1"/>
    <xf numFmtId="10" fontId="57" fillId="0" borderId="0" xfId="365" applyNumberFormat="1" applyFont="1"/>
    <xf numFmtId="3" fontId="57" fillId="0" borderId="0" xfId="365" applyNumberFormat="1" applyFont="1" applyAlignment="1">
      <alignment horizontal="center"/>
    </xf>
    <xf numFmtId="0" fontId="57" fillId="0" borderId="0" xfId="365" quotePrefix="1" applyFont="1" applyAlignment="1"/>
    <xf numFmtId="275" fontId="57" fillId="0" borderId="0" xfId="365" applyNumberFormat="1" applyFont="1" applyAlignment="1">
      <alignment horizontal="left"/>
    </xf>
    <xf numFmtId="10" fontId="57" fillId="0" borderId="0" xfId="365" applyNumberFormat="1" applyFont="1" applyAlignment="1">
      <alignment horizontal="right"/>
    </xf>
    <xf numFmtId="0" fontId="76" fillId="0" borderId="0" xfId="365" applyFont="1" applyAlignment="1"/>
    <xf numFmtId="1" fontId="76" fillId="0" borderId="0" xfId="365" applyNumberFormat="1" applyFont="1" applyAlignment="1">
      <alignment horizontal="center"/>
    </xf>
    <xf numFmtId="10" fontId="76" fillId="0" borderId="0" xfId="365" applyNumberFormat="1" applyFont="1" applyAlignment="1">
      <alignment horizontal="center"/>
    </xf>
    <xf numFmtId="9" fontId="76" fillId="0" borderId="0" xfId="365" applyNumberFormat="1" applyFont="1" applyAlignment="1">
      <alignment horizontal="center"/>
    </xf>
    <xf numFmtId="0" fontId="76" fillId="0" borderId="0" xfId="365" applyFont="1" applyAlignment="1">
      <alignment horizontal="center"/>
    </xf>
    <xf numFmtId="49" fontId="57" fillId="0" borderId="0" xfId="365" applyNumberFormat="1" applyFont="1" applyAlignment="1"/>
    <xf numFmtId="1" fontId="57" fillId="0" borderId="0" xfId="365" applyNumberFormat="1" applyFont="1" applyAlignment="1"/>
    <xf numFmtId="9" fontId="57" fillId="0" borderId="0" xfId="365" applyNumberFormat="1" applyFont="1" applyAlignment="1"/>
    <xf numFmtId="2" fontId="130" fillId="0" borderId="0" xfId="0" applyNumberFormat="1" applyFont="1" applyFill="1" applyBorder="1" applyAlignment="1">
      <alignment horizontal="center"/>
    </xf>
    <xf numFmtId="0" fontId="57" fillId="0" borderId="1" xfId="365" applyFont="1" applyBorder="1" applyAlignment="1">
      <alignment horizontal="center"/>
    </xf>
    <xf numFmtId="0" fontId="57" fillId="0" borderId="0" xfId="365" applyFont="1" applyAlignment="1">
      <alignment horizontal="center" vertical="top"/>
    </xf>
    <xf numFmtId="2" fontId="57" fillId="0" borderId="0" xfId="0" applyNumberFormat="1" applyFont="1" applyAlignment="1">
      <alignment horizontal="center" wrapText="1"/>
    </xf>
    <xf numFmtId="2" fontId="57" fillId="0" borderId="0" xfId="0" applyNumberFormat="1" applyFont="1" applyAlignment="1">
      <alignment horizontal="left"/>
    </xf>
    <xf numFmtId="10" fontId="57" fillId="0" borderId="0" xfId="365" applyNumberFormat="1" applyFont="1" applyAlignment="1"/>
    <xf numFmtId="174" fontId="47" fillId="15" borderId="0" xfId="0" quotePrefix="1" applyFont="1" applyFill="1" applyAlignment="1">
      <alignment horizontal="center"/>
    </xf>
    <xf numFmtId="1" fontId="57" fillId="0" borderId="0" xfId="201" applyNumberFormat="1" applyFont="1" applyAlignment="1">
      <alignment horizontal="center"/>
    </xf>
    <xf numFmtId="0" fontId="47" fillId="0" borderId="0" xfId="187" applyFont="1" applyFill="1"/>
    <xf numFmtId="170" fontId="57" fillId="0" borderId="0" xfId="0" applyNumberFormat="1" applyFont="1"/>
    <xf numFmtId="175" fontId="47" fillId="0" borderId="0" xfId="79" applyNumberFormat="1" applyFont="1" applyFill="1" applyBorder="1" applyAlignment="1">
      <alignment wrapText="1"/>
    </xf>
    <xf numFmtId="0" fontId="57" fillId="0" borderId="0" xfId="187" applyFont="1" applyAlignment="1"/>
    <xf numFmtId="174" fontId="57" fillId="0" borderId="0" xfId="0" applyFont="1" applyBorder="1" applyAlignment="1">
      <alignment horizontal="centerContinuous"/>
    </xf>
    <xf numFmtId="0" fontId="64" fillId="0" borderId="0" xfId="187" applyFont="1" applyAlignment="1"/>
    <xf numFmtId="0" fontId="76" fillId="0" borderId="0" xfId="187" applyFont="1" applyFill="1"/>
    <xf numFmtId="175" fontId="57" fillId="0" borderId="0" xfId="79" applyNumberFormat="1" applyFont="1" applyFill="1" applyAlignment="1">
      <alignment horizontal="right"/>
    </xf>
    <xf numFmtId="175" fontId="57" fillId="14" borderId="0" xfId="79" applyNumberFormat="1" applyFont="1" applyFill="1" applyAlignment="1"/>
    <xf numFmtId="175" fontId="57" fillId="15" borderId="0" xfId="79" applyNumberFormat="1" applyFont="1" applyFill="1" applyAlignment="1"/>
    <xf numFmtId="175" fontId="57" fillId="0" borderId="3" xfId="79" applyNumberFormat="1" applyFont="1" applyFill="1" applyBorder="1" applyAlignment="1"/>
    <xf numFmtId="0" fontId="64" fillId="0" borderId="0" xfId="187" applyFont="1" applyFill="1"/>
    <xf numFmtId="175" fontId="57" fillId="15" borderId="0" xfId="79" applyNumberFormat="1" applyFont="1" applyFill="1" applyBorder="1" applyAlignment="1"/>
    <xf numFmtId="175" fontId="57" fillId="0" borderId="0" xfId="79" applyNumberFormat="1" applyFont="1" applyFill="1" applyBorder="1" applyAlignment="1"/>
    <xf numFmtId="0" fontId="47" fillId="0" borderId="0" xfId="187" applyFont="1"/>
    <xf numFmtId="175" fontId="57" fillId="0" borderId="0" xfId="187" applyNumberFormat="1" applyFont="1" applyFill="1"/>
    <xf numFmtId="0" fontId="88" fillId="0" borderId="0" xfId="187" applyFont="1"/>
    <xf numFmtId="0" fontId="57" fillId="0" borderId="0" xfId="187" applyFont="1" applyFill="1" applyAlignment="1">
      <alignment horizontal="center" vertical="top"/>
    </xf>
    <xf numFmtId="175" fontId="57" fillId="0" borderId="0" xfId="79" applyNumberFormat="1" applyFont="1" applyFill="1" applyAlignment="1"/>
    <xf numFmtId="175" fontId="47" fillId="0" borderId="0" xfId="79" applyNumberFormat="1" applyFont="1" applyAlignment="1"/>
    <xf numFmtId="175" fontId="57" fillId="0" borderId="0" xfId="79" applyNumberFormat="1" applyFont="1" applyBorder="1" applyAlignment="1"/>
    <xf numFmtId="175" fontId="57" fillId="0" borderId="0" xfId="187" applyNumberFormat="1" applyFont="1"/>
    <xf numFmtId="175" fontId="57" fillId="0" borderId="1" xfId="79" applyNumberFormat="1" applyFont="1" applyFill="1" applyBorder="1" applyAlignment="1">
      <alignment horizontal="center"/>
    </xf>
    <xf numFmtId="175" fontId="57" fillId="0" borderId="3" xfId="187" applyNumberFormat="1" applyFont="1" applyBorder="1"/>
    <xf numFmtId="0" fontId="64" fillId="0" borderId="0" xfId="187" applyFont="1"/>
    <xf numFmtId="170" fontId="57" fillId="15" borderId="33" xfId="0" applyNumberFormat="1" applyFont="1" applyFill="1" applyBorder="1" applyAlignment="1" applyProtection="1">
      <alignment horizontal="center"/>
      <protection locked="0"/>
    </xf>
    <xf numFmtId="171" fontId="57" fillId="0" borderId="0" xfId="265" applyNumberFormat="1" applyFont="1" applyFill="1" applyAlignment="1">
      <alignment horizontal="right"/>
    </xf>
    <xf numFmtId="171" fontId="57" fillId="0" borderId="8" xfId="265" applyNumberFormat="1" applyFont="1" applyFill="1" applyBorder="1" applyAlignment="1">
      <alignment horizontal="right"/>
    </xf>
    <xf numFmtId="0" fontId="57" fillId="15" borderId="0" xfId="0" applyNumberFormat="1" applyFont="1" applyFill="1" applyAlignment="1" applyProtection="1">
      <alignment horizontal="center"/>
      <protection locked="0"/>
    </xf>
    <xf numFmtId="175" fontId="57" fillId="0" borderId="0" xfId="86" applyNumberFormat="1" applyFont="1" applyFill="1" applyBorder="1" applyAlignment="1">
      <alignment horizontal="right"/>
    </xf>
    <xf numFmtId="175" fontId="57" fillId="15" borderId="0" xfId="59" applyNumberFormat="1" applyFont="1" applyFill="1" applyBorder="1" applyAlignment="1"/>
    <xf numFmtId="10" fontId="57" fillId="0" borderId="0" xfId="187" applyNumberFormat="1" applyFont="1" applyFill="1"/>
    <xf numFmtId="10" fontId="57" fillId="15" borderId="0" xfId="187" applyNumberFormat="1" applyFont="1" applyFill="1"/>
    <xf numFmtId="174" fontId="64" fillId="0" borderId="0" xfId="201" applyFont="1" applyFill="1" applyAlignment="1">
      <alignment horizontal="center" wrapText="1"/>
    </xf>
    <xf numFmtId="0" fontId="64" fillId="0" borderId="0" xfId="185" applyFont="1" applyFill="1" applyAlignment="1">
      <alignment horizontal="center"/>
    </xf>
    <xf numFmtId="174" fontId="64" fillId="0" borderId="1" xfId="201" applyFont="1" applyFill="1" applyBorder="1" applyAlignment="1">
      <alignment horizontal="center" wrapText="1"/>
    </xf>
    <xf numFmtId="0" fontId="57" fillId="0" borderId="0" xfId="365" applyFont="1" applyAlignment="1">
      <alignment horizontal="left"/>
    </xf>
    <xf numFmtId="0" fontId="64" fillId="0" borderId="0" xfId="206" applyFont="1" applyFill="1" applyBorder="1" applyAlignment="1">
      <alignment horizontal="center" wrapText="1"/>
    </xf>
    <xf numFmtId="0" fontId="57" fillId="0" borderId="0" xfId="0" applyNumberFormat="1" applyFont="1" applyAlignment="1">
      <alignment horizontal="center" wrapText="1"/>
    </xf>
    <xf numFmtId="174" fontId="57" fillId="0" borderId="0" xfId="0" applyFont="1" applyAlignment="1">
      <alignment vertical="top"/>
    </xf>
    <xf numFmtId="174" fontId="57" fillId="0" borderId="0" xfId="0" applyFont="1" applyFill="1" applyAlignment="1">
      <alignment vertical="top"/>
    </xf>
    <xf numFmtId="0" fontId="57" fillId="0" borderId="1" xfId="187" applyFont="1" applyBorder="1" applyAlignment="1">
      <alignment horizontal="center" wrapText="1"/>
    </xf>
    <xf numFmtId="174" fontId="57" fillId="0" borderId="0" xfId="0" applyFont="1" applyFill="1" applyAlignment="1">
      <alignment vertical="top" wrapText="1"/>
    </xf>
    <xf numFmtId="0" fontId="57" fillId="0" borderId="0" xfId="188" applyNumberFormat="1" applyFont="1" applyFill="1" applyAlignment="1">
      <alignment vertical="top" wrapText="1"/>
    </xf>
    <xf numFmtId="10" fontId="57" fillId="14" borderId="0" xfId="265" applyNumberFormat="1" applyFont="1" applyFill="1" applyAlignment="1"/>
    <xf numFmtId="174" fontId="47" fillId="0" borderId="0" xfId="0" applyFont="1" applyAlignment="1">
      <alignment vertical="top" wrapText="1"/>
    </xf>
    <xf numFmtId="0" fontId="57" fillId="0" borderId="0" xfId="187" applyFont="1" applyFill="1" applyBorder="1" applyAlignment="1">
      <alignment horizontal="center" vertical="top"/>
    </xf>
    <xf numFmtId="174" fontId="57" fillId="0" borderId="0" xfId="201" applyFont="1" applyFill="1" applyAlignment="1">
      <alignment wrapText="1"/>
    </xf>
    <xf numFmtId="0" fontId="57" fillId="0" borderId="0" xfId="210" applyNumberFormat="1" applyFont="1" applyFill="1" applyAlignment="1" applyProtection="1">
      <alignment horizontal="center" vertical="top" wrapText="1"/>
      <protection locked="0"/>
    </xf>
    <xf numFmtId="0" fontId="57" fillId="0" borderId="0" xfId="188" applyFont="1" applyFill="1" applyAlignment="1">
      <alignment horizontal="center" vertical="top" wrapText="1"/>
    </xf>
    <xf numFmtId="0" fontId="57" fillId="0" borderId="0" xfId="210" applyNumberFormat="1" applyFont="1" applyFill="1" applyBorder="1" applyAlignment="1" applyProtection="1">
      <alignment horizontal="center" vertical="top" wrapText="1"/>
      <protection locked="0"/>
    </xf>
    <xf numFmtId="174" fontId="57" fillId="0" borderId="0" xfId="210" applyFont="1" applyFill="1" applyAlignment="1">
      <alignment horizontal="center" vertical="top" wrapText="1"/>
    </xf>
    <xf numFmtId="174" fontId="57" fillId="0" borderId="0" xfId="0" applyFont="1" applyAlignment="1">
      <alignment horizontal="center"/>
    </xf>
    <xf numFmtId="0" fontId="57" fillId="0" borderId="0" xfId="201" applyNumberFormat="1" applyFont="1" applyFill="1" applyBorder="1" applyAlignment="1" applyProtection="1">
      <alignment horizontal="center"/>
      <protection locked="0"/>
    </xf>
    <xf numFmtId="0" fontId="88" fillId="0" borderId="0" xfId="187" applyFont="1" applyFill="1" applyBorder="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0" fontId="57" fillId="0" borderId="0" xfId="59" applyNumberFormat="1" applyFont="1" applyAlignment="1">
      <alignment horizontal="center" vertical="top"/>
    </xf>
    <xf numFmtId="43" fontId="57" fillId="0" borderId="0" xfId="59" applyFont="1" applyAlignment="1">
      <alignment horizontal="left"/>
    </xf>
    <xf numFmtId="43" fontId="57" fillId="0" borderId="10" xfId="59" applyFont="1" applyFill="1" applyBorder="1" applyAlignment="1">
      <alignment horizontal="center"/>
    </xf>
    <xf numFmtId="43" fontId="57" fillId="0" borderId="0" xfId="59" applyFont="1" applyFill="1" applyProtection="1">
      <protection locked="0"/>
    </xf>
    <xf numFmtId="43" fontId="64" fillId="0" borderId="0" xfId="59" applyFont="1" applyFill="1" applyProtection="1">
      <protection locked="0"/>
    </xf>
    <xf numFmtId="43" fontId="57" fillId="0" borderId="1" xfId="59" applyFont="1" applyFill="1" applyBorder="1" applyProtection="1">
      <protection locked="0"/>
    </xf>
    <xf numFmtId="174" fontId="57" fillId="0" borderId="0" xfId="0" applyFont="1" applyAlignment="1">
      <alignment horizontal="center" vertical="top"/>
    </xf>
    <xf numFmtId="174" fontId="47" fillId="0" borderId="0" xfId="0" applyFont="1" applyFill="1" applyAlignment="1">
      <alignment vertical="top"/>
    </xf>
    <xf numFmtId="43" fontId="57" fillId="0" borderId="3" xfId="59" applyFont="1" applyFill="1" applyBorder="1"/>
    <xf numFmtId="0" fontId="57" fillId="0" borderId="0" xfId="59" applyNumberFormat="1" applyFont="1" applyFill="1"/>
    <xf numFmtId="0" fontId="57" fillId="0" borderId="0" xfId="59" applyNumberFormat="1" applyFont="1" applyFill="1" applyAlignment="1">
      <alignment horizontal="right"/>
    </xf>
    <xf numFmtId="0" fontId="57" fillId="0" borderId="0" xfId="59" applyNumberFormat="1" applyFont="1" applyFill="1" applyBorder="1"/>
    <xf numFmtId="43" fontId="57" fillId="0" borderId="0" xfId="59" applyFont="1" applyFill="1" applyBorder="1"/>
    <xf numFmtId="43" fontId="57" fillId="0" borderId="1" xfId="59" applyFont="1" applyFill="1" applyBorder="1"/>
    <xf numFmtId="175" fontId="57" fillId="0" borderId="1" xfId="59" applyNumberFormat="1" applyFont="1" applyFill="1" applyBorder="1"/>
    <xf numFmtId="175" fontId="0" fillId="0" borderId="0" xfId="59" applyNumberFormat="1" applyFont="1" applyAlignment="1"/>
    <xf numFmtId="175" fontId="64" fillId="0" borderId="0" xfId="59" applyNumberFormat="1" applyFont="1" applyFill="1" applyBorder="1"/>
    <xf numFmtId="175" fontId="57" fillId="0" borderId="1" xfId="59" applyNumberFormat="1" applyFont="1" applyBorder="1" applyAlignment="1">
      <alignment horizontal="center" wrapText="1"/>
    </xf>
    <xf numFmtId="175" fontId="64" fillId="0" borderId="0" xfId="59" applyNumberFormat="1" applyFont="1" applyBorder="1" applyAlignment="1">
      <alignment horizontal="center"/>
    </xf>
    <xf numFmtId="0" fontId="57" fillId="0" borderId="0" xfId="211" applyFont="1" applyFill="1" applyAlignment="1">
      <alignment horizontal="left"/>
    </xf>
    <xf numFmtId="0" fontId="57" fillId="0" borderId="0" xfId="210" applyNumberFormat="1" applyFont="1" applyFill="1" applyAlignment="1" applyProtection="1">
      <alignment vertical="top" wrapText="1"/>
      <protection locked="0"/>
    </xf>
    <xf numFmtId="3" fontId="57" fillId="0" borderId="0" xfId="210" applyNumberFormat="1" applyFont="1" applyFill="1" applyAlignment="1">
      <alignment wrapText="1"/>
    </xf>
    <xf numFmtId="3" fontId="57" fillId="0" borderId="0" xfId="210" quotePrefix="1" applyNumberFormat="1" applyFont="1" applyFill="1" applyAlignment="1">
      <alignment horizontal="left"/>
    </xf>
    <xf numFmtId="174" fontId="57" fillId="0" borderId="1" xfId="0" applyFont="1" applyBorder="1" applyAlignment="1">
      <alignment horizontal="center"/>
    </xf>
    <xf numFmtId="174" fontId="57" fillId="0" borderId="0" xfId="0" applyFont="1" applyAlignment="1">
      <alignment horizontal="center"/>
    </xf>
    <xf numFmtId="10" fontId="57" fillId="0" borderId="0" xfId="265" applyNumberFormat="1" applyFont="1" applyFill="1" applyAlignment="1">
      <alignment horizontal="center"/>
    </xf>
    <xf numFmtId="175" fontId="57" fillId="0" borderId="9" xfId="59" applyNumberFormat="1" applyFont="1" applyFill="1" applyBorder="1"/>
    <xf numFmtId="174" fontId="57" fillId="0" borderId="1" xfId="0" applyFont="1" applyBorder="1"/>
    <xf numFmtId="174" fontId="57" fillId="0" borderId="0" xfId="0" applyFont="1" applyAlignment="1">
      <alignment horizontal="center"/>
    </xf>
    <xf numFmtId="0" fontId="130" fillId="0" borderId="0" xfId="0" applyNumberFormat="1" applyFont="1" applyAlignment="1">
      <alignment horizontal="center"/>
    </xf>
    <xf numFmtId="43" fontId="47" fillId="0" borderId="0" xfId="59" applyFont="1" applyBorder="1" applyAlignment="1"/>
    <xf numFmtId="174" fontId="64" fillId="0" borderId="34" xfId="210" applyFont="1" applyBorder="1" applyAlignment="1">
      <alignment horizontal="center"/>
    </xf>
    <xf numFmtId="1" fontId="57" fillId="15" borderId="0" xfId="0" applyNumberFormat="1" applyFont="1" applyFill="1" applyAlignment="1">
      <alignment horizontal="center"/>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64" fillId="0" borderId="0" xfId="211" applyFont="1" applyAlignment="1">
      <alignment horizontal="center" wrapText="1"/>
    </xf>
    <xf numFmtId="175" fontId="57" fillId="0" borderId="0" xfId="187" applyNumberFormat="1" applyFont="1" applyBorder="1"/>
    <xf numFmtId="0" fontId="19" fillId="0" borderId="0" xfId="184" applyFont="1" applyFill="1" applyAlignment="1"/>
    <xf numFmtId="0" fontId="147" fillId="0" borderId="0" xfId="184" applyFont="1"/>
    <xf numFmtId="0" fontId="24" fillId="0" borderId="0" xfId="184" applyFont="1"/>
    <xf numFmtId="0" fontId="147" fillId="0" borderId="0" xfId="184" applyFont="1" applyFill="1"/>
    <xf numFmtId="0" fontId="24" fillId="0" borderId="0" xfId="184" applyFont="1" applyFill="1"/>
    <xf numFmtId="0" fontId="17" fillId="0" borderId="0" xfId="184" applyFont="1" applyFill="1" applyAlignment="1">
      <alignment horizontal="left"/>
    </xf>
    <xf numFmtId="0" fontId="17" fillId="0" borderId="0" xfId="184" applyFont="1" applyFill="1"/>
    <xf numFmtId="0" fontId="17" fillId="0" borderId="0" xfId="184" applyFont="1" applyFill="1" applyAlignment="1">
      <alignment horizontal="center"/>
    </xf>
    <xf numFmtId="43" fontId="17" fillId="0" borderId="0" xfId="184" applyNumberFormat="1" applyFont="1" applyFill="1"/>
    <xf numFmtId="0" fontId="24" fillId="0" borderId="0" xfId="184" applyFont="1" applyBorder="1"/>
    <xf numFmtId="0" fontId="17" fillId="0" borderId="0" xfId="184" applyFont="1" applyFill="1" applyBorder="1"/>
    <xf numFmtId="175" fontId="17" fillId="0" borderId="0" xfId="59" applyNumberFormat="1" applyFont="1" applyFill="1" applyBorder="1"/>
    <xf numFmtId="0" fontId="42" fillId="0" borderId="0" xfId="184" applyFont="1" applyFill="1" applyBorder="1"/>
    <xf numFmtId="37" fontId="17" fillId="0" borderId="0" xfId="184" applyNumberFormat="1" applyFont="1" applyFill="1" applyBorder="1"/>
    <xf numFmtId="37" fontId="17" fillId="0" borderId="0" xfId="184" applyNumberFormat="1" applyFont="1" applyFill="1" applyBorder="1" applyAlignment="1">
      <alignment horizontal="center"/>
    </xf>
    <xf numFmtId="0" fontId="17" fillId="0" borderId="0" xfId="184" applyFont="1" applyFill="1" applyBorder="1" applyAlignment="1">
      <alignment horizontal="center"/>
    </xf>
    <xf numFmtId="0" fontId="17" fillId="0" borderId="0" xfId="184" applyFont="1" applyBorder="1"/>
    <xf numFmtId="37" fontId="17" fillId="0" borderId="0" xfId="184" applyNumberFormat="1" applyFont="1" applyFill="1" applyBorder="1" applyAlignment="1">
      <alignment wrapText="1"/>
    </xf>
    <xf numFmtId="0" fontId="17" fillId="0" borderId="0" xfId="184" applyFont="1" applyFill="1" applyBorder="1" applyAlignment="1">
      <alignment horizontal="left"/>
    </xf>
    <xf numFmtId="0" fontId="17" fillId="0" borderId="0" xfId="184" applyFont="1" applyBorder="1" applyAlignment="1">
      <alignment wrapText="1"/>
    </xf>
    <xf numFmtId="0" fontId="147" fillId="0" borderId="0" xfId="184" applyFont="1" applyFill="1" applyBorder="1"/>
    <xf numFmtId="0" fontId="17" fillId="0" borderId="0" xfId="184" applyFont="1" applyFill="1" applyBorder="1" applyAlignment="1"/>
    <xf numFmtId="0" fontId="24" fillId="0" borderId="0" xfId="184" applyFont="1" applyFill="1" applyBorder="1"/>
    <xf numFmtId="37" fontId="17" fillId="14" borderId="9" xfId="184" applyNumberFormat="1" applyFont="1" applyFill="1" applyBorder="1"/>
    <xf numFmtId="0" fontId="17" fillId="14" borderId="42" xfId="184" applyFont="1" applyFill="1" applyBorder="1" applyAlignment="1">
      <alignment wrapText="1"/>
    </xf>
    <xf numFmtId="0" fontId="17" fillId="14" borderId="43" xfId="184" applyFont="1" applyFill="1" applyBorder="1" applyAlignment="1">
      <alignment horizontal="center"/>
    </xf>
    <xf numFmtId="0" fontId="17" fillId="0" borderId="41" xfId="184" applyFont="1" applyFill="1" applyBorder="1" applyAlignment="1"/>
    <xf numFmtId="175" fontId="17" fillId="0" borderId="9" xfId="59" applyNumberFormat="1" applyFont="1" applyFill="1" applyBorder="1"/>
    <xf numFmtId="37" fontId="17" fillId="0" borderId="42" xfId="184" applyNumberFormat="1" applyFont="1" applyFill="1" applyBorder="1" applyAlignment="1">
      <alignment wrapText="1"/>
    </xf>
    <xf numFmtId="0" fontId="17" fillId="0" borderId="41" xfId="184" applyFont="1" applyFill="1" applyBorder="1"/>
    <xf numFmtId="0" fontId="17" fillId="0" borderId="0" xfId="184" applyFont="1" applyBorder="1" applyAlignment="1">
      <alignment horizontal="left"/>
    </xf>
    <xf numFmtId="0" fontId="17" fillId="0" borderId="0" xfId="184" applyFont="1" applyFill="1" applyBorder="1" applyAlignment="1">
      <alignment wrapText="1"/>
    </xf>
    <xf numFmtId="0" fontId="24" fillId="0" borderId="0" xfId="184" applyFont="1" applyBorder="1" applyAlignment="1"/>
    <xf numFmtId="41" fontId="19" fillId="0" borderId="0" xfId="184" applyNumberFormat="1" applyFont="1" applyBorder="1" applyAlignment="1">
      <alignment horizontal="center"/>
    </xf>
    <xf numFmtId="0" fontId="24" fillId="0" borderId="0" xfId="184" applyFont="1" applyFill="1" applyBorder="1" applyAlignment="1">
      <alignment horizontal="left"/>
    </xf>
    <xf numFmtId="0" fontId="24" fillId="0" borderId="0" xfId="184" applyFont="1" applyAlignment="1">
      <alignment horizontal="left"/>
    </xf>
    <xf numFmtId="0" fontId="17" fillId="0" borderId="43" xfId="184" applyFont="1" applyBorder="1"/>
    <xf numFmtId="175" fontId="17" fillId="0" borderId="9" xfId="59" applyNumberFormat="1" applyFont="1" applyBorder="1"/>
    <xf numFmtId="0" fontId="17" fillId="0" borderId="0" xfId="184" applyFont="1" applyFill="1" applyBorder="1" applyAlignment="1">
      <alignment horizontal="center"/>
    </xf>
    <xf numFmtId="0" fontId="17" fillId="0" borderId="1" xfId="59" applyNumberFormat="1" applyFont="1" applyBorder="1" applyAlignment="1">
      <alignment horizontal="center"/>
    </xf>
    <xf numFmtId="3" fontId="17" fillId="0" borderId="0" xfId="9380"/>
    <xf numFmtId="3" fontId="17" fillId="0" borderId="0" xfId="9380" applyAlignment="1">
      <alignment wrapText="1"/>
    </xf>
    <xf numFmtId="3" fontId="17" fillId="0" borderId="0" xfId="9380" applyAlignment="1">
      <alignment horizontal="left" wrapText="1"/>
    </xf>
    <xf numFmtId="3" fontId="170" fillId="0" borderId="0" xfId="9380" applyFont="1" applyAlignment="1">
      <alignment horizontal="left"/>
    </xf>
    <xf numFmtId="3" fontId="17" fillId="0" borderId="0" xfId="9380" applyAlignment="1">
      <alignment horizontal="center"/>
    </xf>
    <xf numFmtId="3" fontId="17" fillId="0" borderId="0" xfId="9380" applyAlignment="1">
      <alignment horizontal="left"/>
    </xf>
    <xf numFmtId="3" fontId="17" fillId="0" borderId="0" xfId="9380" applyAlignment="1">
      <alignment horizontal="right" wrapText="1"/>
    </xf>
    <xf numFmtId="3" fontId="17" fillId="0" borderId="3" xfId="9380" applyBorder="1" applyAlignment="1">
      <alignment horizontal="right" wrapText="1"/>
    </xf>
    <xf numFmtId="3" fontId="17" fillId="0" borderId="0" xfId="9380" applyAlignment="1">
      <alignment horizontal="left" vertical="top" wrapText="1"/>
    </xf>
    <xf numFmtId="3" fontId="171" fillId="0" borderId="0" xfId="9380" applyFont="1" applyAlignment="1">
      <alignment horizontal="center" vertical="top" wrapText="1"/>
    </xf>
    <xf numFmtId="3" fontId="172" fillId="0" borderId="0" xfId="9380" applyFont="1" applyAlignment="1">
      <alignment horizontal="center" wrapText="1"/>
    </xf>
    <xf numFmtId="3" fontId="17" fillId="0" borderId="1" xfId="9380" applyFont="1" applyBorder="1" applyAlignment="1">
      <alignment horizontal="center" wrapText="1"/>
    </xf>
    <xf numFmtId="3" fontId="17" fillId="0" borderId="0" xfId="9380" applyAlignment="1">
      <alignment horizontal="center" wrapText="1"/>
    </xf>
    <xf numFmtId="176" fontId="0" fillId="0" borderId="0" xfId="1366" applyNumberFormat="1" applyFont="1" applyAlignment="1">
      <alignment wrapText="1"/>
    </xf>
    <xf numFmtId="10" fontId="0" fillId="0" borderId="0" xfId="9166" applyNumberFormat="1" applyFont="1" applyAlignment="1">
      <alignment wrapText="1"/>
    </xf>
    <xf numFmtId="280" fontId="17" fillId="0" borderId="0" xfId="9380" applyNumberFormat="1" applyBorder="1" applyAlignment="1">
      <alignment wrapText="1"/>
    </xf>
    <xf numFmtId="176" fontId="0" fillId="0" borderId="0" xfId="1366" applyNumberFormat="1" applyFont="1" applyBorder="1" applyAlignment="1">
      <alignment wrapText="1"/>
    </xf>
    <xf numFmtId="3" fontId="17" fillId="0" borderId="0" xfId="9380" applyAlignment="1">
      <alignment vertical="top"/>
    </xf>
    <xf numFmtId="3" fontId="17" fillId="0" borderId="14" xfId="9380" applyBorder="1" applyAlignment="1">
      <alignment vertical="top"/>
    </xf>
    <xf numFmtId="0" fontId="147" fillId="0" borderId="0" xfId="184" applyFont="1" applyFill="1" applyAlignment="1">
      <alignment horizontal="center"/>
    </xf>
    <xf numFmtId="0" fontId="147" fillId="0" borderId="0" xfId="184" applyFont="1" applyFill="1" applyBorder="1" applyAlignment="1">
      <alignment horizontal="centerContinuous"/>
    </xf>
    <xf numFmtId="41" fontId="147" fillId="0" borderId="0" xfId="184" applyNumberFormat="1" applyFont="1" applyFill="1" applyBorder="1" applyAlignment="1">
      <alignment horizontal="center"/>
    </xf>
    <xf numFmtId="0" fontId="147" fillId="0" borderId="0" xfId="184" applyFont="1" applyFill="1" applyBorder="1" applyAlignment="1">
      <alignment horizontal="left"/>
    </xf>
    <xf numFmtId="0" fontId="147" fillId="0" borderId="0" xfId="184" applyFont="1" applyFill="1" applyBorder="1" applyAlignment="1">
      <alignment horizontal="center"/>
    </xf>
    <xf numFmtId="175" fontId="147" fillId="0" borderId="0" xfId="59" applyNumberFormat="1" applyFont="1" applyFill="1" applyBorder="1"/>
    <xf numFmtId="0" fontId="17" fillId="0" borderId="0" xfId="184" applyFont="1"/>
    <xf numFmtId="0" fontId="17" fillId="14" borderId="41" xfId="184" applyFont="1" applyFill="1" applyBorder="1" applyAlignment="1">
      <alignment wrapText="1"/>
    </xf>
    <xf numFmtId="41" fontId="17" fillId="14" borderId="9" xfId="184" applyNumberFormat="1" applyFont="1" applyFill="1" applyBorder="1"/>
    <xf numFmtId="41" fontId="17" fillId="14" borderId="9" xfId="68" applyFont="1" applyFill="1" applyBorder="1"/>
    <xf numFmtId="0" fontId="17" fillId="15" borderId="42" xfId="184" applyFont="1" applyFill="1" applyBorder="1" applyAlignment="1">
      <alignment wrapText="1"/>
    </xf>
    <xf numFmtId="3" fontId="17" fillId="0" borderId="0" xfId="9380" applyFill="1" applyAlignment="1">
      <alignment wrapText="1"/>
    </xf>
    <xf numFmtId="1" fontId="17" fillId="14" borderId="0" xfId="59" applyNumberFormat="1" applyFont="1" applyFill="1"/>
    <xf numFmtId="0" fontId="17" fillId="0" borderId="42" xfId="184" applyFont="1" applyFill="1" applyBorder="1" applyAlignment="1">
      <alignment wrapText="1"/>
    </xf>
    <xf numFmtId="3" fontId="104" fillId="0" borderId="1" xfId="9380" applyFont="1" applyBorder="1" applyAlignment="1">
      <alignment horizontal="center" wrapText="1"/>
    </xf>
    <xf numFmtId="0" fontId="17" fillId="69" borderId="0" xfId="184" applyFont="1" applyFill="1"/>
    <xf numFmtId="176" fontId="0" fillId="0" borderId="14" xfId="1366" applyNumberFormat="1" applyFont="1" applyBorder="1" applyAlignment="1">
      <alignment wrapText="1"/>
    </xf>
    <xf numFmtId="0" fontId="57" fillId="0" borderId="0" xfId="206" applyFont="1" applyFill="1" applyBorder="1" applyAlignment="1">
      <alignment horizontal="center" wrapText="1"/>
    </xf>
    <xf numFmtId="175" fontId="17" fillId="14" borderId="0" xfId="59" applyNumberFormat="1" applyFont="1" applyFill="1"/>
    <xf numFmtId="3" fontId="17" fillId="0" borderId="0" xfId="9380" applyAlignment="1">
      <alignment horizontal="right"/>
    </xf>
    <xf numFmtId="0" fontId="24" fillId="0" borderId="0" xfId="184" applyFont="1" applyFill="1" applyAlignment="1">
      <alignment horizontal="right"/>
    </xf>
    <xf numFmtId="0" fontId="17" fillId="0" borderId="0" xfId="184" applyFont="1" applyFill="1" applyBorder="1" applyAlignment="1">
      <alignment wrapText="1"/>
    </xf>
    <xf numFmtId="175" fontId="17" fillId="0" borderId="0" xfId="59" applyNumberFormat="1" applyFont="1" applyBorder="1"/>
    <xf numFmtId="175" fontId="17" fillId="0" borderId="14" xfId="59" applyNumberFormat="1" applyFont="1" applyFill="1" applyBorder="1"/>
    <xf numFmtId="43" fontId="17" fillId="0" borderId="1" xfId="184" applyNumberFormat="1" applyFont="1" applyFill="1" applyBorder="1"/>
    <xf numFmtId="43" fontId="17" fillId="0" borderId="17" xfId="184" applyNumberFormat="1" applyFont="1" applyFill="1" applyBorder="1"/>
    <xf numFmtId="0" fontId="17" fillId="0" borderId="15" xfId="184" applyFont="1" applyFill="1" applyBorder="1"/>
    <xf numFmtId="0" fontId="17" fillId="0" borderId="11" xfId="184" applyFont="1" applyFill="1" applyBorder="1"/>
    <xf numFmtId="175" fontId="17" fillId="0" borderId="47" xfId="59" applyNumberFormat="1" applyFont="1" applyBorder="1"/>
    <xf numFmtId="175" fontId="17" fillId="0" borderId="47" xfId="59" applyNumberFormat="1" applyFont="1" applyFill="1" applyBorder="1"/>
    <xf numFmtId="0" fontId="17" fillId="0" borderId="48" xfId="184" applyFont="1" applyFill="1" applyBorder="1" applyAlignment="1"/>
    <xf numFmtId="0" fontId="17" fillId="0" borderId="9" xfId="184" applyFont="1" applyFill="1" applyBorder="1"/>
    <xf numFmtId="0" fontId="17" fillId="69" borderId="7" xfId="184" applyFont="1" applyFill="1" applyBorder="1"/>
    <xf numFmtId="0" fontId="17" fillId="0" borderId="16" xfId="184" applyFont="1" applyFill="1" applyBorder="1"/>
    <xf numFmtId="43" fontId="17" fillId="0" borderId="9" xfId="59" applyFont="1" applyFill="1" applyBorder="1"/>
    <xf numFmtId="0" fontId="17" fillId="0" borderId="49" xfId="184" applyFont="1" applyFill="1" applyBorder="1" applyAlignment="1"/>
    <xf numFmtId="0" fontId="17" fillId="69" borderId="9" xfId="184" applyFont="1" applyFill="1" applyBorder="1"/>
    <xf numFmtId="0" fontId="17" fillId="69" borderId="15" xfId="184" applyFont="1" applyFill="1" applyBorder="1"/>
    <xf numFmtId="0" fontId="17" fillId="69" borderId="47" xfId="184" applyFont="1" applyFill="1" applyBorder="1"/>
    <xf numFmtId="41" fontId="57" fillId="70" borderId="0" xfId="211" applyNumberFormat="1" applyFont="1" applyFill="1"/>
    <xf numFmtId="175" fontId="17" fillId="0" borderId="7" xfId="59" applyNumberFormat="1" applyFont="1" applyFill="1" applyBorder="1"/>
    <xf numFmtId="0" fontId="17" fillId="69" borderId="22" xfId="184" applyFont="1" applyFill="1" applyBorder="1"/>
    <xf numFmtId="183" fontId="57" fillId="0" borderId="0" xfId="59" applyNumberFormat="1" applyFont="1" applyAlignment="1">
      <alignment horizontal="right"/>
    </xf>
    <xf numFmtId="174" fontId="57" fillId="14"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0" fontId="57" fillId="14" borderId="0" xfId="59" applyNumberFormat="1" applyFont="1" applyFill="1" applyBorder="1" applyAlignment="1"/>
    <xf numFmtId="0" fontId="57" fillId="0" borderId="3" xfId="59" applyNumberFormat="1" applyFont="1" applyFill="1" applyBorder="1" applyAlignment="1"/>
    <xf numFmtId="174" fontId="57" fillId="15" borderId="11" xfId="0" applyFont="1" applyFill="1" applyBorder="1"/>
    <xf numFmtId="174" fontId="57" fillId="0" borderId="11" xfId="0" applyFont="1" applyFill="1" applyBorder="1" applyAlignment="1">
      <alignment horizontal="center"/>
    </xf>
    <xf numFmtId="174" fontId="57" fillId="0" borderId="22" xfId="0" applyFont="1" applyFill="1" applyBorder="1" applyAlignment="1">
      <alignment horizontal="center"/>
    </xf>
    <xf numFmtId="174" fontId="57" fillId="15" borderId="11" xfId="0" applyFont="1" applyFill="1" applyBorder="1" applyAlignment="1">
      <alignment horizontal="center"/>
    </xf>
    <xf numFmtId="174" fontId="57" fillId="0" borderId="11" xfId="0" applyFont="1" applyFill="1" applyBorder="1"/>
    <xf numFmtId="174" fontId="57" fillId="0" borderId="22" xfId="0" applyFont="1" applyFill="1" applyBorder="1"/>
    <xf numFmtId="0" fontId="57" fillId="14" borderId="0" xfId="187" applyFont="1" applyFill="1" applyBorder="1"/>
    <xf numFmtId="10" fontId="57" fillId="14" borderId="0" xfId="187" applyNumberFormat="1" applyFont="1" applyFill="1" applyBorder="1"/>
    <xf numFmtId="10" fontId="57" fillId="15" borderId="0" xfId="79" applyNumberFormat="1" applyFont="1" applyFill="1" applyBorder="1"/>
    <xf numFmtId="10" fontId="57" fillId="15" borderId="0" xfId="187" applyNumberFormat="1" applyFont="1" applyFill="1" applyBorder="1"/>
    <xf numFmtId="0" fontId="57" fillId="14" borderId="0" xfId="59" applyNumberFormat="1" applyFont="1" applyFill="1" applyBorder="1"/>
    <xf numFmtId="175" fontId="57" fillId="15" borderId="0" xfId="59" applyNumberFormat="1" applyFont="1" applyFill="1" applyBorder="1"/>
    <xf numFmtId="175" fontId="57" fillId="15" borderId="1" xfId="59" applyNumberFormat="1" applyFont="1" applyFill="1" applyBorder="1"/>
    <xf numFmtId="175" fontId="57" fillId="15" borderId="0" xfId="59" applyNumberFormat="1" applyFont="1" applyFill="1" applyBorder="1"/>
    <xf numFmtId="175" fontId="47" fillId="15" borderId="0" xfId="59" applyNumberFormat="1" applyFont="1" applyFill="1" applyAlignment="1"/>
    <xf numFmtId="10" fontId="47" fillId="15" borderId="0" xfId="0" applyNumberFormat="1" applyFont="1" applyFill="1" applyBorder="1" applyAlignment="1"/>
    <xf numFmtId="0" fontId="147" fillId="0" borderId="0" xfId="184" applyFont="1" applyFill="1" applyBorder="1" applyAlignment="1"/>
    <xf numFmtId="10" fontId="57" fillId="14" borderId="0" xfId="265" applyNumberFormat="1" applyFont="1" applyFill="1" applyAlignment="1" applyProtection="1">
      <alignment vertical="top"/>
      <protection locked="0"/>
    </xf>
    <xf numFmtId="10" fontId="57" fillId="14" borderId="0" xfId="265" applyNumberFormat="1" applyFont="1" applyFill="1" applyAlignment="1">
      <alignment horizontal="right"/>
    </xf>
    <xf numFmtId="175" fontId="57" fillId="14" borderId="0" xfId="59" applyNumberFormat="1" applyFont="1" applyFill="1" applyBorder="1"/>
    <xf numFmtId="10" fontId="57" fillId="15" borderId="1" xfId="187" applyNumberFormat="1" applyFont="1" applyFill="1" applyBorder="1"/>
    <xf numFmtId="41" fontId="57" fillId="15" borderId="0" xfId="211" applyNumberFormat="1" applyFont="1" applyFill="1"/>
    <xf numFmtId="175" fontId="57" fillId="15" borderId="0" xfId="86" applyNumberFormat="1" applyFont="1" applyFill="1" applyBorder="1" applyAlignment="1">
      <alignment horizontal="right"/>
    </xf>
    <xf numFmtId="0" fontId="17" fillId="14" borderId="9" xfId="184" applyNumberFormat="1" applyFont="1" applyFill="1" applyBorder="1"/>
    <xf numFmtId="0" fontId="57" fillId="0" borderId="0" xfId="210" applyNumberFormat="1" applyFont="1" applyFill="1" applyAlignment="1" applyProtection="1">
      <alignment vertical="top" wrapText="1"/>
      <protection locked="0"/>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57" fillId="0" borderId="0" xfId="0" applyNumberFormat="1" applyFont="1" applyFill="1" applyBorder="1" applyAlignment="1">
      <alignment horizontal="left" vertical="top" wrapText="1"/>
    </xf>
    <xf numFmtId="174" fontId="57" fillId="0" borderId="0" xfId="0" applyFont="1" applyAlignment="1">
      <alignment horizontal="left" vertical="top" wrapText="1"/>
    </xf>
    <xf numFmtId="174" fontId="57" fillId="0" borderId="0" xfId="0" applyFont="1" applyFill="1" applyAlignment="1">
      <alignment horizontal="left" vertical="top" wrapText="1"/>
    </xf>
    <xf numFmtId="174" fontId="57" fillId="0" borderId="0" xfId="210" applyFont="1" applyAlignment="1">
      <alignment horizontal="center"/>
    </xf>
    <xf numFmtId="49" fontId="57" fillId="0" borderId="0" xfId="210" applyNumberFormat="1" applyFont="1" applyAlignment="1" applyProtection="1">
      <alignment horizontal="center"/>
      <protection locked="0"/>
    </xf>
    <xf numFmtId="0" fontId="95" fillId="0" borderId="0" xfId="210" applyNumberFormat="1" applyFont="1" applyFill="1" applyAlignment="1" applyProtection="1">
      <alignment vertical="top" wrapText="1"/>
      <protection locked="0"/>
    </xf>
    <xf numFmtId="0" fontId="57" fillId="0" borderId="0" xfId="210" quotePrefix="1" applyNumberFormat="1" applyFont="1" applyFill="1" applyAlignment="1">
      <alignment vertical="top" wrapText="1"/>
    </xf>
    <xf numFmtId="0" fontId="57" fillId="0" borderId="0" xfId="210" applyNumberFormat="1" applyFont="1" applyFill="1" applyAlignment="1">
      <alignment vertical="top" wrapText="1"/>
    </xf>
    <xf numFmtId="0" fontId="57" fillId="0" borderId="0" xfId="206"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49" fontId="57" fillId="0" borderId="0" xfId="201" applyNumberFormat="1" applyFont="1" applyFill="1" applyBorder="1" applyAlignment="1">
      <alignment horizontal="left" vertical="top" wrapText="1"/>
    </xf>
    <xf numFmtId="0" fontId="57" fillId="0" borderId="0" xfId="187" applyFont="1" applyFill="1" applyBorder="1" applyAlignment="1">
      <alignment horizontal="left" wrapText="1"/>
    </xf>
    <xf numFmtId="0" fontId="47" fillId="0" borderId="0" xfId="210" applyNumberFormat="1" applyFont="1" applyFill="1" applyAlignment="1">
      <alignment horizontal="center"/>
    </xf>
    <xf numFmtId="174" fontId="57" fillId="0" borderId="0" xfId="0" applyNumberFormat="1" applyFont="1" applyFill="1" applyBorder="1" applyAlignment="1" applyProtection="1">
      <alignment horizontal="left" vertical="top" wrapText="1"/>
    </xf>
    <xf numFmtId="174" fontId="57" fillId="0" borderId="22" xfId="0" applyFont="1" applyBorder="1" applyAlignment="1">
      <alignment horizontal="center" wrapText="1"/>
    </xf>
    <xf numFmtId="174" fontId="57" fillId="0" borderId="15" xfId="0" applyFont="1" applyBorder="1" applyAlignment="1">
      <alignment horizontal="center" wrapText="1"/>
    </xf>
    <xf numFmtId="174" fontId="57" fillId="0" borderId="17" xfId="0" applyFont="1" applyBorder="1" applyAlignment="1">
      <alignment horizontal="center"/>
    </xf>
    <xf numFmtId="174" fontId="57" fillId="0" borderId="1" xfId="0" applyFont="1" applyBorder="1" applyAlignment="1">
      <alignment horizontal="center"/>
    </xf>
    <xf numFmtId="174" fontId="57" fillId="0" borderId="21" xfId="0" applyFont="1" applyBorder="1" applyAlignment="1">
      <alignment horizontal="center"/>
    </xf>
    <xf numFmtId="174" fontId="57" fillId="0" borderId="19" xfId="0" applyFont="1" applyFill="1" applyBorder="1" applyAlignment="1">
      <alignment horizontal="center"/>
    </xf>
    <xf numFmtId="174" fontId="57" fillId="0" borderId="20" xfId="0" applyFont="1" applyFill="1" applyBorder="1" applyAlignment="1">
      <alignment horizontal="center"/>
    </xf>
    <xf numFmtId="0" fontId="57" fillId="0" borderId="0" xfId="201" applyNumberFormat="1" applyFont="1" applyFill="1" applyBorder="1" applyAlignment="1" applyProtection="1">
      <alignment horizontal="center"/>
      <protection locked="0"/>
    </xf>
    <xf numFmtId="0" fontId="57" fillId="0" borderId="0" xfId="211" applyFont="1" applyAlignment="1">
      <alignment horizontal="center"/>
    </xf>
    <xf numFmtId="0" fontId="57" fillId="0" borderId="0" xfId="210" applyNumberFormat="1" applyFont="1" applyFill="1" applyAlignment="1">
      <alignment horizontal="center"/>
    </xf>
    <xf numFmtId="0" fontId="57" fillId="0" borderId="0" xfId="188" applyNumberFormat="1" applyFont="1" applyFill="1" applyAlignment="1">
      <alignment horizontal="left" vertical="top" wrapText="1"/>
    </xf>
    <xf numFmtId="174" fontId="64" fillId="0" borderId="0" xfId="0" applyFont="1" applyAlignment="1">
      <alignment horizontal="center"/>
    </xf>
    <xf numFmtId="0" fontId="64" fillId="0" borderId="0" xfId="211" applyFont="1" applyAlignment="1">
      <alignment horizontal="center"/>
    </xf>
    <xf numFmtId="0" fontId="64" fillId="0" borderId="0" xfId="211" applyFont="1" applyAlignment="1">
      <alignment horizontal="center" wrapText="1"/>
    </xf>
    <xf numFmtId="0" fontId="42" fillId="0" borderId="0" xfId="184" applyFont="1" applyFill="1" applyAlignment="1">
      <alignment horizontal="center"/>
    </xf>
    <xf numFmtId="0" fontId="42" fillId="0" borderId="0" xfId="184" applyFont="1" applyFill="1" applyAlignment="1"/>
    <xf numFmtId="0" fontId="17" fillId="0" borderId="0" xfId="184" applyFont="1" applyFill="1" applyBorder="1" applyAlignment="1">
      <alignment wrapText="1"/>
    </xf>
    <xf numFmtId="0" fontId="17" fillId="0" borderId="0" xfId="184" applyFont="1" applyBorder="1" applyAlignment="1">
      <alignment wrapText="1"/>
    </xf>
    <xf numFmtId="0" fontId="19" fillId="0" borderId="0" xfId="184" applyFont="1" applyFill="1" applyAlignment="1">
      <alignment horizontal="center"/>
    </xf>
    <xf numFmtId="0" fontId="19" fillId="0" borderId="0" xfId="184" applyFont="1" applyFill="1" applyAlignment="1">
      <alignment horizontal="center" wrapText="1"/>
    </xf>
    <xf numFmtId="0" fontId="147" fillId="0" borderId="0" xfId="184" applyFont="1" applyFill="1" applyBorder="1" applyAlignment="1">
      <alignment horizontal="center"/>
    </xf>
    <xf numFmtId="3" fontId="17" fillId="0" borderId="0" xfId="9380" applyFont="1" applyAlignment="1">
      <alignment horizontal="center" wrapText="1"/>
    </xf>
    <xf numFmtId="3" fontId="169" fillId="0" borderId="0" xfId="9380" applyFont="1" applyAlignment="1">
      <alignment horizontal="left" wrapText="1"/>
    </xf>
    <xf numFmtId="3" fontId="17" fillId="0" borderId="0" xfId="9380" applyAlignment="1">
      <alignment horizontal="left" wrapText="1"/>
    </xf>
    <xf numFmtId="3" fontId="17" fillId="0" borderId="1" xfId="9380" applyBorder="1" applyAlignment="1">
      <alignment horizontal="center" wrapText="1"/>
    </xf>
    <xf numFmtId="0" fontId="19" fillId="0" borderId="0" xfId="184" applyFont="1" applyFill="1" applyAlignment="1"/>
    <xf numFmtId="174" fontId="57" fillId="0" borderId="0" xfId="0" applyFont="1" applyAlignment="1">
      <alignment horizontal="center"/>
    </xf>
    <xf numFmtId="174" fontId="57" fillId="0" borderId="0" xfId="201" quotePrefix="1" applyFont="1" applyBorder="1" applyAlignment="1">
      <alignment horizontal="left" wrapText="1"/>
    </xf>
    <xf numFmtId="174" fontId="57" fillId="0" borderId="0" xfId="201" applyFont="1" applyFill="1" applyAlignment="1">
      <alignment horizontal="left" wrapText="1"/>
    </xf>
    <xf numFmtId="174" fontId="57" fillId="0" borderId="0" xfId="201" applyFont="1" applyAlignment="1">
      <alignment horizontal="center"/>
    </xf>
    <xf numFmtId="0" fontId="57" fillId="0" borderId="0" xfId="187" applyFont="1" applyFill="1" applyAlignment="1">
      <alignment horizontal="left" vertical="top" wrapText="1"/>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187" applyFont="1" applyFill="1" applyBorder="1" applyAlignment="1">
      <alignment horizontal="left"/>
    </xf>
    <xf numFmtId="2" fontId="57" fillId="0" borderId="0" xfId="0" applyNumberFormat="1" applyFont="1" applyAlignment="1">
      <alignment horizontal="left" vertical="top" wrapText="1"/>
    </xf>
    <xf numFmtId="0" fontId="64" fillId="0" borderId="0" xfId="365" applyFont="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174" fontId="47" fillId="0" borderId="0" xfId="0" applyFont="1" applyAlignment="1">
      <alignment horizontal="left" vertical="top" wrapText="1"/>
    </xf>
  </cellXfs>
  <cellStyles count="9819">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1 2 2" xfId="1062"/>
    <cellStyle name="20% - Accent1 3" xfId="1063"/>
    <cellStyle name="20% - Accent1 4" xfId="1064"/>
    <cellStyle name="20% - Accent1 5" xfId="1065"/>
    <cellStyle name="20% - Accent1 5 2" xfId="1066"/>
    <cellStyle name="20% - Accent1 5 2 2" xfId="1067"/>
    <cellStyle name="20% - Accent1 5 2 3" xfId="1068"/>
    <cellStyle name="20% - Accent1 5 3" xfId="1069"/>
    <cellStyle name="20% - Accent1 5 4" xfId="1070"/>
    <cellStyle name="20% - Accent1 5 5" xfId="1071"/>
    <cellStyle name="20% - Accent1 6" xfId="1072"/>
    <cellStyle name="20% - Accent1 7" xfId="1073"/>
    <cellStyle name="20% - Accent1 8" xfId="1074"/>
    <cellStyle name="20% - Accent1 9" xfId="1075"/>
    <cellStyle name="20% - Accent2 2" xfId="558"/>
    <cellStyle name="20% - Accent2 2 2" xfId="1076"/>
    <cellStyle name="20% - Accent2 3" xfId="1077"/>
    <cellStyle name="20% - Accent2 4" xfId="1078"/>
    <cellStyle name="20% - Accent2 5" xfId="1079"/>
    <cellStyle name="20% - Accent2 5 2" xfId="1080"/>
    <cellStyle name="20% - Accent2 5 2 2" xfId="1081"/>
    <cellStyle name="20% - Accent2 5 2 3" xfId="1082"/>
    <cellStyle name="20% - Accent2 5 3" xfId="1083"/>
    <cellStyle name="20% - Accent2 5 4" xfId="1084"/>
    <cellStyle name="20% - Accent2 5 5" xfId="1085"/>
    <cellStyle name="20% - Accent2 6" xfId="1086"/>
    <cellStyle name="20% - Accent2 7" xfId="1087"/>
    <cellStyle name="20% - Accent2 8" xfId="1088"/>
    <cellStyle name="20% - Accent2 9" xfId="1089"/>
    <cellStyle name="20% - Accent3 2" xfId="559"/>
    <cellStyle name="20% - Accent3 2 2" xfId="1090"/>
    <cellStyle name="20% - Accent3 3" xfId="1091"/>
    <cellStyle name="20% - Accent3 4" xfId="1092"/>
    <cellStyle name="20% - Accent3 5" xfId="1093"/>
    <cellStyle name="20% - Accent3 5 2" xfId="1094"/>
    <cellStyle name="20% - Accent3 5 2 2" xfId="1095"/>
    <cellStyle name="20% - Accent3 5 2 3" xfId="1096"/>
    <cellStyle name="20% - Accent3 5 3" xfId="1097"/>
    <cellStyle name="20% - Accent3 5 4" xfId="1098"/>
    <cellStyle name="20% - Accent3 5 5" xfId="1099"/>
    <cellStyle name="20% - Accent3 6" xfId="1100"/>
    <cellStyle name="20% - Accent3 7" xfId="1101"/>
    <cellStyle name="20% - Accent3 8" xfId="1102"/>
    <cellStyle name="20% - Accent3 9" xfId="1103"/>
    <cellStyle name="20% - Accent4 2" xfId="560"/>
    <cellStyle name="20% - Accent4 2 2" xfId="1104"/>
    <cellStyle name="20% - Accent4 3" xfId="1105"/>
    <cellStyle name="20% - Accent4 4" xfId="1106"/>
    <cellStyle name="20% - Accent4 5" xfId="1107"/>
    <cellStyle name="20% - Accent4 5 2" xfId="1108"/>
    <cellStyle name="20% - Accent4 5 2 2" xfId="1109"/>
    <cellStyle name="20% - Accent4 5 2 3" xfId="1110"/>
    <cellStyle name="20% - Accent4 5 3" xfId="1111"/>
    <cellStyle name="20% - Accent4 5 4" xfId="1112"/>
    <cellStyle name="20% - Accent4 5 5" xfId="1113"/>
    <cellStyle name="20% - Accent4 6" xfId="1114"/>
    <cellStyle name="20% - Accent4 7" xfId="1115"/>
    <cellStyle name="20% - Accent4 8" xfId="1116"/>
    <cellStyle name="20% - Accent4 9" xfId="1117"/>
    <cellStyle name="20% - Accent5 2" xfId="561"/>
    <cellStyle name="20% - Accent5 2 2" xfId="1118"/>
    <cellStyle name="20% - Accent5 3" xfId="1119"/>
    <cellStyle name="20% - Accent5 4" xfId="1120"/>
    <cellStyle name="20% - Accent5 5" xfId="1121"/>
    <cellStyle name="20% - Accent5 5 2" xfId="1122"/>
    <cellStyle name="20% - Accent5 5 2 2" xfId="1123"/>
    <cellStyle name="20% - Accent5 5 2 3" xfId="1124"/>
    <cellStyle name="20% - Accent5 5 3" xfId="1125"/>
    <cellStyle name="20% - Accent5 5 4" xfId="1126"/>
    <cellStyle name="20% - Accent5 5 5" xfId="1127"/>
    <cellStyle name="20% - Accent5 6" xfId="1128"/>
    <cellStyle name="20% - Accent5 7" xfId="1129"/>
    <cellStyle name="20% - Accent5 8" xfId="1130"/>
    <cellStyle name="20% - Accent5 9" xfId="1131"/>
    <cellStyle name="20% - Accent6 2" xfId="562"/>
    <cellStyle name="20% - Accent6 2 2" xfId="1132"/>
    <cellStyle name="20% - Accent6 3" xfId="1133"/>
    <cellStyle name="20% - Accent6 4" xfId="1134"/>
    <cellStyle name="20% - Accent6 5" xfId="1135"/>
    <cellStyle name="20% - Accent6 5 2" xfId="1136"/>
    <cellStyle name="20% - Accent6 5 2 2" xfId="1137"/>
    <cellStyle name="20% - Accent6 5 2 3" xfId="1138"/>
    <cellStyle name="20% - Accent6 5 3" xfId="1139"/>
    <cellStyle name="20% - Accent6 5 4" xfId="1140"/>
    <cellStyle name="20% - Accent6 5 5" xfId="1141"/>
    <cellStyle name="20% - Accent6 6" xfId="1142"/>
    <cellStyle name="20% - Accent6 7" xfId="1143"/>
    <cellStyle name="20% - Accent6 8" xfId="1144"/>
    <cellStyle name="20% - Accent6 9" xfId="1145"/>
    <cellStyle name="40% - Accent1 2" xfId="563"/>
    <cellStyle name="40% - Accent1 2 2" xfId="1146"/>
    <cellStyle name="40% - Accent1 3" xfId="1147"/>
    <cellStyle name="40% - Accent1 4" xfId="1148"/>
    <cellStyle name="40% - Accent1 5" xfId="1149"/>
    <cellStyle name="40% - Accent1 5 2" xfId="1150"/>
    <cellStyle name="40% - Accent1 5 2 2" xfId="1151"/>
    <cellStyle name="40% - Accent1 5 2 3" xfId="1152"/>
    <cellStyle name="40% - Accent1 5 3" xfId="1153"/>
    <cellStyle name="40% - Accent1 5 4" xfId="1154"/>
    <cellStyle name="40% - Accent1 5 5" xfId="1155"/>
    <cellStyle name="40% - Accent1 6" xfId="1156"/>
    <cellStyle name="40% - Accent1 7" xfId="1157"/>
    <cellStyle name="40% - Accent1 8" xfId="1158"/>
    <cellStyle name="40% - Accent1 9" xfId="1159"/>
    <cellStyle name="40% - Accent2 2" xfId="564"/>
    <cellStyle name="40% - Accent2 2 2" xfId="1160"/>
    <cellStyle name="40% - Accent2 3" xfId="1161"/>
    <cellStyle name="40% - Accent2 4" xfId="1162"/>
    <cellStyle name="40% - Accent2 5" xfId="1163"/>
    <cellStyle name="40% - Accent2 5 2" xfId="1164"/>
    <cellStyle name="40% - Accent2 5 2 2" xfId="1165"/>
    <cellStyle name="40% - Accent2 5 2 3" xfId="1166"/>
    <cellStyle name="40% - Accent2 5 3" xfId="1167"/>
    <cellStyle name="40% - Accent2 5 4" xfId="1168"/>
    <cellStyle name="40% - Accent2 5 5" xfId="1169"/>
    <cellStyle name="40% - Accent2 6" xfId="1170"/>
    <cellStyle name="40% - Accent2 7" xfId="1171"/>
    <cellStyle name="40% - Accent2 8" xfId="1172"/>
    <cellStyle name="40% - Accent2 9" xfId="1173"/>
    <cellStyle name="40% - Accent3 2" xfId="565"/>
    <cellStyle name="40% - Accent3 2 2" xfId="1174"/>
    <cellStyle name="40% - Accent3 3" xfId="1175"/>
    <cellStyle name="40% - Accent3 4" xfId="1176"/>
    <cellStyle name="40% - Accent3 5" xfId="1177"/>
    <cellStyle name="40% - Accent3 5 2" xfId="1178"/>
    <cellStyle name="40% - Accent3 5 2 2" xfId="1179"/>
    <cellStyle name="40% - Accent3 5 2 3" xfId="1180"/>
    <cellStyle name="40% - Accent3 5 3" xfId="1181"/>
    <cellStyle name="40% - Accent3 5 4" xfId="1182"/>
    <cellStyle name="40% - Accent3 5 5" xfId="1183"/>
    <cellStyle name="40% - Accent3 6" xfId="1184"/>
    <cellStyle name="40% - Accent3 7" xfId="1185"/>
    <cellStyle name="40% - Accent3 8" xfId="1186"/>
    <cellStyle name="40% - Accent3 9" xfId="1187"/>
    <cellStyle name="40% - Accent4 2" xfId="566"/>
    <cellStyle name="40% - Accent4 2 2" xfId="1188"/>
    <cellStyle name="40% - Accent4 3" xfId="1189"/>
    <cellStyle name="40% - Accent4 4" xfId="1190"/>
    <cellStyle name="40% - Accent4 5" xfId="1191"/>
    <cellStyle name="40% - Accent4 5 2" xfId="1192"/>
    <cellStyle name="40% - Accent4 5 2 2" xfId="1193"/>
    <cellStyle name="40% - Accent4 5 2 3" xfId="1194"/>
    <cellStyle name="40% - Accent4 5 3" xfId="1195"/>
    <cellStyle name="40% - Accent4 5 4" xfId="1196"/>
    <cellStyle name="40% - Accent4 5 5" xfId="1197"/>
    <cellStyle name="40% - Accent4 6" xfId="1198"/>
    <cellStyle name="40% - Accent4 7" xfId="1199"/>
    <cellStyle name="40% - Accent4 8" xfId="1200"/>
    <cellStyle name="40% - Accent4 9" xfId="1201"/>
    <cellStyle name="40% - Accent5 2" xfId="567"/>
    <cellStyle name="40% - Accent5 2 2" xfId="1202"/>
    <cellStyle name="40% - Accent5 3" xfId="1203"/>
    <cellStyle name="40% - Accent5 4" xfId="1204"/>
    <cellStyle name="40% - Accent5 5" xfId="1205"/>
    <cellStyle name="40% - Accent5 5 2" xfId="1206"/>
    <cellStyle name="40% - Accent5 5 2 2" xfId="1207"/>
    <cellStyle name="40% - Accent5 5 2 3" xfId="1208"/>
    <cellStyle name="40% - Accent5 5 3" xfId="1209"/>
    <cellStyle name="40% - Accent5 5 4" xfId="1210"/>
    <cellStyle name="40% - Accent5 5 5" xfId="1211"/>
    <cellStyle name="40% - Accent5 6" xfId="1212"/>
    <cellStyle name="40% - Accent5 7" xfId="1213"/>
    <cellStyle name="40% - Accent5 8" xfId="1214"/>
    <cellStyle name="40% - Accent5 9" xfId="1215"/>
    <cellStyle name="40% - Accent6 2" xfId="568"/>
    <cellStyle name="40% - Accent6 2 2" xfId="1216"/>
    <cellStyle name="40% - Accent6 3" xfId="1217"/>
    <cellStyle name="40% - Accent6 4" xfId="1218"/>
    <cellStyle name="40% - Accent6 5" xfId="1219"/>
    <cellStyle name="40% - Accent6 5 2" xfId="1220"/>
    <cellStyle name="40% - Accent6 5 2 2" xfId="1221"/>
    <cellStyle name="40% - Accent6 5 2 3" xfId="1222"/>
    <cellStyle name="40% - Accent6 5 3" xfId="1223"/>
    <cellStyle name="40% - Accent6 5 4" xfId="1224"/>
    <cellStyle name="40% - Accent6 5 5" xfId="1225"/>
    <cellStyle name="40% - Accent6 6" xfId="1226"/>
    <cellStyle name="40% - Accent6 7" xfId="1227"/>
    <cellStyle name="40% - Accent6 8" xfId="1228"/>
    <cellStyle name="40% - Accent6 9" xfId="1229"/>
    <cellStyle name="60% - Accent1 2" xfId="569"/>
    <cellStyle name="60% - Accent1 2 2" xfId="1230"/>
    <cellStyle name="60% - Accent1 3" xfId="1231"/>
    <cellStyle name="60% - Accent1 4" xfId="1232"/>
    <cellStyle name="60% - Accent1 5" xfId="1233"/>
    <cellStyle name="60% - Accent1 6" xfId="1234"/>
    <cellStyle name="60% - Accent1 7" xfId="1235"/>
    <cellStyle name="60% - Accent1 8" xfId="1236"/>
    <cellStyle name="60% - Accent1 9" xfId="1237"/>
    <cellStyle name="60% - Accent2 2" xfId="570"/>
    <cellStyle name="60% - Accent2 2 2" xfId="1238"/>
    <cellStyle name="60% - Accent2 3" xfId="1239"/>
    <cellStyle name="60% - Accent2 4" xfId="1240"/>
    <cellStyle name="60% - Accent2 5" xfId="1241"/>
    <cellStyle name="60% - Accent2 6" xfId="1242"/>
    <cellStyle name="60% - Accent2 7" xfId="1243"/>
    <cellStyle name="60% - Accent2 8" xfId="1244"/>
    <cellStyle name="60% - Accent2 9" xfId="1245"/>
    <cellStyle name="60% - Accent3 2" xfId="571"/>
    <cellStyle name="60% - Accent3 2 2" xfId="1246"/>
    <cellStyle name="60% - Accent3 3" xfId="1247"/>
    <cellStyle name="60% - Accent3 4" xfId="1248"/>
    <cellStyle name="60% - Accent3 5" xfId="1249"/>
    <cellStyle name="60% - Accent3 6" xfId="1250"/>
    <cellStyle name="60% - Accent3 7" xfId="1251"/>
    <cellStyle name="60% - Accent3 8" xfId="1252"/>
    <cellStyle name="60% - Accent3 9" xfId="1253"/>
    <cellStyle name="60% - Accent4 2" xfId="572"/>
    <cellStyle name="60% - Accent4 2 2" xfId="1254"/>
    <cellStyle name="60% - Accent4 3" xfId="1255"/>
    <cellStyle name="60% - Accent4 4" xfId="1256"/>
    <cellStyle name="60% - Accent4 5" xfId="1257"/>
    <cellStyle name="60% - Accent4 6" xfId="1258"/>
    <cellStyle name="60% - Accent4 7" xfId="1259"/>
    <cellStyle name="60% - Accent4 8" xfId="1260"/>
    <cellStyle name="60% - Accent4 9" xfId="1261"/>
    <cellStyle name="60% - Accent5 2" xfId="573"/>
    <cellStyle name="60% - Accent5 2 2" xfId="1262"/>
    <cellStyle name="60% - Accent5 3" xfId="1263"/>
    <cellStyle name="60% - Accent5 4" xfId="1264"/>
    <cellStyle name="60% - Accent5 5" xfId="1265"/>
    <cellStyle name="60% - Accent5 6" xfId="1266"/>
    <cellStyle name="60% - Accent5 7" xfId="1267"/>
    <cellStyle name="60% - Accent5 8" xfId="1268"/>
    <cellStyle name="60% - Accent5 9" xfId="1269"/>
    <cellStyle name="60% - Accent6 2" xfId="574"/>
    <cellStyle name="60% - Accent6 2 2" xfId="1270"/>
    <cellStyle name="60% - Accent6 3" xfId="1271"/>
    <cellStyle name="60% - Accent6 4" xfId="1272"/>
    <cellStyle name="60% - Accent6 5" xfId="1273"/>
    <cellStyle name="60% - Accent6 6" xfId="1274"/>
    <cellStyle name="60% - Accent6 7" xfId="1275"/>
    <cellStyle name="60% - Accent6 8" xfId="1276"/>
    <cellStyle name="60% - Accent6 9" xfId="1277"/>
    <cellStyle name="Accent1 2" xfId="575"/>
    <cellStyle name="Accent1 2 2" xfId="1278"/>
    <cellStyle name="Accent1 3" xfId="1279"/>
    <cellStyle name="Accent1 4" xfId="1280"/>
    <cellStyle name="Accent1 5" xfId="1281"/>
    <cellStyle name="Accent1 6" xfId="1282"/>
    <cellStyle name="Accent1 7" xfId="1283"/>
    <cellStyle name="Accent1 8" xfId="1284"/>
    <cellStyle name="Accent1 9" xfId="1285"/>
    <cellStyle name="Accent2 2" xfId="576"/>
    <cellStyle name="Accent2 2 2" xfId="1286"/>
    <cellStyle name="Accent2 3" xfId="1287"/>
    <cellStyle name="Accent2 4" xfId="1288"/>
    <cellStyle name="Accent2 5" xfId="1289"/>
    <cellStyle name="Accent2 6" xfId="1290"/>
    <cellStyle name="Accent2 7" xfId="1291"/>
    <cellStyle name="Accent2 8" xfId="1292"/>
    <cellStyle name="Accent2 9" xfId="1293"/>
    <cellStyle name="Accent3 2" xfId="577"/>
    <cellStyle name="Accent3 2 2" xfId="1294"/>
    <cellStyle name="Accent3 3" xfId="1295"/>
    <cellStyle name="Accent3 4" xfId="1296"/>
    <cellStyle name="Accent3 5" xfId="1297"/>
    <cellStyle name="Accent3 6" xfId="1298"/>
    <cellStyle name="Accent3 7" xfId="1299"/>
    <cellStyle name="Accent3 8" xfId="1300"/>
    <cellStyle name="Accent3 9" xfId="1301"/>
    <cellStyle name="Accent4 2" xfId="578"/>
    <cellStyle name="Accent4 2 2" xfId="1302"/>
    <cellStyle name="Accent4 3" xfId="1303"/>
    <cellStyle name="Accent4 4" xfId="1304"/>
    <cellStyle name="Accent4 5" xfId="1305"/>
    <cellStyle name="Accent4 6" xfId="1306"/>
    <cellStyle name="Accent4 7" xfId="1307"/>
    <cellStyle name="Accent4 8" xfId="1308"/>
    <cellStyle name="Accent4 9" xfId="1309"/>
    <cellStyle name="Accent5 2" xfId="579"/>
    <cellStyle name="Accent5 2 2" xfId="1310"/>
    <cellStyle name="Accent5 3" xfId="1311"/>
    <cellStyle name="Accent5 4" xfId="1312"/>
    <cellStyle name="Accent5 5" xfId="1313"/>
    <cellStyle name="Accent5 6" xfId="1314"/>
    <cellStyle name="Accent5 7" xfId="1315"/>
    <cellStyle name="Accent5 8" xfId="1316"/>
    <cellStyle name="Accent5 9" xfId="1317"/>
    <cellStyle name="Accent6 2" xfId="580"/>
    <cellStyle name="Accent6 2 2" xfId="1318"/>
    <cellStyle name="Accent6 3" xfId="1319"/>
    <cellStyle name="Accent6 4" xfId="1320"/>
    <cellStyle name="Accent6 5" xfId="1321"/>
    <cellStyle name="Accent6 6" xfId="1322"/>
    <cellStyle name="Accent6 7" xfId="1323"/>
    <cellStyle name="Accent6 8" xfId="1324"/>
    <cellStyle name="Accent6 9" xfId="1325"/>
    <cellStyle name="Bad 2" xfId="581"/>
    <cellStyle name="Bad 2 2" xfId="1326"/>
    <cellStyle name="Bad 3" xfId="1327"/>
    <cellStyle name="Bad 4" xfId="1328"/>
    <cellStyle name="Bad 5" xfId="1329"/>
    <cellStyle name="Bad 6" xfId="1330"/>
    <cellStyle name="Bad 7" xfId="1331"/>
    <cellStyle name="Bad 8" xfId="1332"/>
    <cellStyle name="Bad 9" xfId="1333"/>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lculation 2 2" xfId="1334"/>
    <cellStyle name="Calculation 3" xfId="1335"/>
    <cellStyle name="Calculation 4" xfId="1336"/>
    <cellStyle name="Calculation 5" xfId="1337"/>
    <cellStyle name="Calculation 6" xfId="1338"/>
    <cellStyle name="Calculation 7" xfId="1339"/>
    <cellStyle name="Calculation 8" xfId="1340"/>
    <cellStyle name="Calculation 9" xfId="1341"/>
    <cellStyle name="cas" xfId="57"/>
    <cellStyle name="Centered Heading" xfId="58"/>
    <cellStyle name="Check Cell 2" xfId="583"/>
    <cellStyle name="Check Cell 2 2" xfId="1342"/>
    <cellStyle name="Check Cell 3" xfId="1343"/>
    <cellStyle name="Check Cell 4" xfId="1344"/>
    <cellStyle name="Check Cell 5" xfId="1345"/>
    <cellStyle name="Check Cell 6" xfId="1346"/>
    <cellStyle name="Check Cell 7" xfId="1347"/>
    <cellStyle name="Check Cell 8" xfId="1348"/>
    <cellStyle name="Check Cell 9" xfId="1349"/>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0 2 2" xfId="1350"/>
    <cellStyle name="Comma 10 3" xfId="1351"/>
    <cellStyle name="Comma 11" xfId="77"/>
    <cellStyle name="Comma 11 2" xfId="588"/>
    <cellStyle name="Comma 12" xfId="553"/>
    <cellStyle name="Comma 12 2" xfId="1061"/>
    <cellStyle name="Comma 12 2 2" xfId="9818"/>
    <cellStyle name="Comma 13" xfId="552"/>
    <cellStyle name="Comma 13 2" xfId="1352"/>
    <cellStyle name="Comma 13 2 2" xfId="1353"/>
    <cellStyle name="Comma 13 2 3" xfId="1354"/>
    <cellStyle name="Comma 13 3" xfId="1355"/>
    <cellStyle name="Comma 13 4" xfId="1356"/>
    <cellStyle name="Comma 13 5" xfId="1357"/>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29"/>
    <cellStyle name="Comma 3 2 2 2 2 2" xfId="957"/>
    <cellStyle name="Comma 3 2 2 2 2 2 2" xfId="9714"/>
    <cellStyle name="Comma 3 2 2 2 2 3" xfId="9498"/>
    <cellStyle name="Comma 3 2 2 2 3" xfId="813"/>
    <cellStyle name="Comma 3 2 2 2 3 2" xfId="1029"/>
    <cellStyle name="Comma 3 2 2 2 3 2 2" xfId="9786"/>
    <cellStyle name="Comma 3 2 2 2 3 3" xfId="9570"/>
    <cellStyle name="Comma 3 2 2 2 4" xfId="885"/>
    <cellStyle name="Comma 3 2 2 2 4 2" xfId="9642"/>
    <cellStyle name="Comma 3 2 2 2 5" xfId="9426"/>
    <cellStyle name="Comma 3 2 2 3" xfId="626"/>
    <cellStyle name="Comma 3 2 2 3 2" xfId="735"/>
    <cellStyle name="Comma 3 2 2 3 2 2" xfId="963"/>
    <cellStyle name="Comma 3 2 2 3 2 2 2" xfId="9720"/>
    <cellStyle name="Comma 3 2 2 3 2 3" xfId="9504"/>
    <cellStyle name="Comma 3 2 2 3 3" xfId="819"/>
    <cellStyle name="Comma 3 2 2 3 3 2" xfId="1035"/>
    <cellStyle name="Comma 3 2 2 3 3 2 2" xfId="9792"/>
    <cellStyle name="Comma 3 2 2 3 3 3" xfId="9576"/>
    <cellStyle name="Comma 3 2 2 3 4" xfId="891"/>
    <cellStyle name="Comma 3 2 2 3 4 2" xfId="9648"/>
    <cellStyle name="Comma 3 2 2 3 5" xfId="9432"/>
    <cellStyle name="Comma 3 2 2 4" xfId="664"/>
    <cellStyle name="Comma 3 2 2 4 2" xfId="766"/>
    <cellStyle name="Comma 3 2 2 4 2 2" xfId="982"/>
    <cellStyle name="Comma 3 2 2 4 2 2 2" xfId="9739"/>
    <cellStyle name="Comma 3 2 2 4 2 3" xfId="9523"/>
    <cellStyle name="Comma 3 2 2 4 3" xfId="838"/>
    <cellStyle name="Comma 3 2 2 4 3 2" xfId="1054"/>
    <cellStyle name="Comma 3 2 2 4 3 2 2" xfId="9811"/>
    <cellStyle name="Comma 3 2 2 4 3 3" xfId="9595"/>
    <cellStyle name="Comma 3 2 2 4 4" xfId="910"/>
    <cellStyle name="Comma 3 2 2 4 4 2" xfId="9667"/>
    <cellStyle name="Comma 3 2 2 4 5" xfId="9451"/>
    <cellStyle name="Comma 3 2 2 5" xfId="728"/>
    <cellStyle name="Comma 3 2 2 5 2" xfId="956"/>
    <cellStyle name="Comma 3 2 2 5 2 2" xfId="9713"/>
    <cellStyle name="Comma 3 2 2 5 3" xfId="9497"/>
    <cellStyle name="Comma 3 2 2 6" xfId="812"/>
    <cellStyle name="Comma 3 2 2 6 2" xfId="1028"/>
    <cellStyle name="Comma 3 2 2 6 2 2" xfId="9785"/>
    <cellStyle name="Comma 3 2 2 6 3" xfId="9569"/>
    <cellStyle name="Comma 3 2 2 7" xfId="884"/>
    <cellStyle name="Comma 3 2 2 7 2" xfId="9641"/>
    <cellStyle name="Comma 3 2 2 8" xfId="9425"/>
    <cellStyle name="Comma 3 3" xfId="585"/>
    <cellStyle name="Comma 3 4" xfId="586"/>
    <cellStyle name="Comma 3 5" xfId="638"/>
    <cellStyle name="Comma 3 5 2" xfId="744"/>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0"/>
    <cellStyle name="Comma 4 3 2 2 2" xfId="958"/>
    <cellStyle name="Comma 4 3 2 2 2 2" xfId="9715"/>
    <cellStyle name="Comma 4 3 2 2 3" xfId="9499"/>
    <cellStyle name="Comma 4 3 2 3" xfId="814"/>
    <cellStyle name="Comma 4 3 2 3 2" xfId="1030"/>
    <cellStyle name="Comma 4 3 2 3 2 2" xfId="9787"/>
    <cellStyle name="Comma 4 3 2 3 3" xfId="9571"/>
    <cellStyle name="Comma 4 3 2 4" xfId="886"/>
    <cellStyle name="Comma 4 3 2 4 2" xfId="9643"/>
    <cellStyle name="Comma 4 3 2 5" xfId="9427"/>
    <cellStyle name="Comma 4 3 3" xfId="627"/>
    <cellStyle name="Comma 4 3 3 2" xfId="736"/>
    <cellStyle name="Comma 4 3 3 2 2" xfId="964"/>
    <cellStyle name="Comma 4 3 3 2 2 2" xfId="9721"/>
    <cellStyle name="Comma 4 3 3 2 3" xfId="9505"/>
    <cellStyle name="Comma 4 3 3 3" xfId="820"/>
    <cellStyle name="Comma 4 3 3 3 2" xfId="1036"/>
    <cellStyle name="Comma 4 3 3 3 2 2" xfId="9793"/>
    <cellStyle name="Comma 4 3 3 3 3" xfId="9577"/>
    <cellStyle name="Comma 4 3 3 4" xfId="892"/>
    <cellStyle name="Comma 4 3 3 4 2" xfId="9649"/>
    <cellStyle name="Comma 4 3 3 5" xfId="9433"/>
    <cellStyle name="Comma 4 3 4" xfId="667"/>
    <cellStyle name="Comma 4 3 4 2" xfId="767"/>
    <cellStyle name="Comma 4 3 4 2 2" xfId="983"/>
    <cellStyle name="Comma 4 3 4 2 2 2" xfId="9740"/>
    <cellStyle name="Comma 4 3 4 2 3" xfId="9524"/>
    <cellStyle name="Comma 4 3 4 3" xfId="839"/>
    <cellStyle name="Comma 4 3 4 3 2" xfId="1055"/>
    <cellStyle name="Comma 4 3 4 3 2 2" xfId="9812"/>
    <cellStyle name="Comma 4 3 4 3 3" xfId="9596"/>
    <cellStyle name="Comma 4 3 4 4" xfId="911"/>
    <cellStyle name="Comma 4 3 4 4 2" xfId="9668"/>
    <cellStyle name="Comma 4 3 4 5" xfId="9452"/>
    <cellStyle name="Comma 4 3 5" xfId="727"/>
    <cellStyle name="Comma 4 3 5 2" xfId="955"/>
    <cellStyle name="Comma 4 3 5 2 2" xfId="9712"/>
    <cellStyle name="Comma 4 3 5 3" xfId="9496"/>
    <cellStyle name="Comma 4 3 6" xfId="811"/>
    <cellStyle name="Comma 4 3 6 2" xfId="1027"/>
    <cellStyle name="Comma 4 3 6 2 2" xfId="9784"/>
    <cellStyle name="Comma 4 3 6 3" xfId="9568"/>
    <cellStyle name="Comma 4 3 7" xfId="883"/>
    <cellStyle name="Comma 4 3 7 2" xfId="9640"/>
    <cellStyle name="Comma 4 3 8" xfId="9424"/>
    <cellStyle name="Comma 4 4" xfId="1358"/>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 2" xfId="1359"/>
    <cellStyle name="Comma 5 3" xfId="1360"/>
    <cellStyle name="Comma 5 4" xfId="1361"/>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 2" xfId="1362"/>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7"/>
    <cellStyle name="Comma 84 2" xfId="743"/>
    <cellStyle name="Comma 85" xfId="642"/>
    <cellStyle name="Comma 85 2" xfId="748"/>
    <cellStyle name="Comma 9" xfId="88"/>
    <cellStyle name="Comma 9 2" xfId="366"/>
    <cellStyle name="Comma 9 3" xfId="611"/>
    <cellStyle name="Comma Input" xfId="89"/>
    <cellStyle name="Comma0" xfId="90"/>
    <cellStyle name="Comma0 2" xfId="1363"/>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00" xfId="1364"/>
    <cellStyle name="Currency 100 2" xfId="1365"/>
    <cellStyle name="Currency 11" xfId="475"/>
    <cellStyle name="Currency 12" xfId="474"/>
    <cellStyle name="Currency 13" xfId="612"/>
    <cellStyle name="Currency 14" xfId="623"/>
    <cellStyle name="Currency 15" xfId="628"/>
    <cellStyle name="Currency 16" xfId="640"/>
    <cellStyle name="Currency 16 2" xfId="746"/>
    <cellStyle name="Currency 17" xfId="639"/>
    <cellStyle name="Currency 17 2" xfId="745"/>
    <cellStyle name="Currency 18" xfId="668"/>
    <cellStyle name="Currency 19" xfId="676"/>
    <cellStyle name="Currency 2" xfId="101"/>
    <cellStyle name="Currency 2 2" xfId="102"/>
    <cellStyle name="Currency 2 3" xfId="473"/>
    <cellStyle name="Currency 20" xfId="669"/>
    <cellStyle name="Currency 21" xfId="681"/>
    <cellStyle name="Currency 22" xfId="670"/>
    <cellStyle name="Currency 23" xfId="680"/>
    <cellStyle name="Currency 24" xfId="671"/>
    <cellStyle name="Currency 25" xfId="679"/>
    <cellStyle name="Currency 26" xfId="672"/>
    <cellStyle name="Currency 27" xfId="678"/>
    <cellStyle name="Currency 3" xfId="103"/>
    <cellStyle name="Currency 3 2" xfId="104"/>
    <cellStyle name="Currency 3 3" xfId="589"/>
    <cellStyle name="Currency 3 4" xfId="590"/>
    <cellStyle name="Currency 3 5" xfId="641"/>
    <cellStyle name="Currency 3 5 2" xfId="747"/>
    <cellStyle name="Currency 4" xfId="105"/>
    <cellStyle name="Currency 4 10" xfId="1366"/>
    <cellStyle name="Currency 4 10 2" xfId="1367"/>
    <cellStyle name="Currency 4 10 2 2" xfId="1368"/>
    <cellStyle name="Currency 4 10 2 3" xfId="1369"/>
    <cellStyle name="Currency 4 10 3" xfId="1370"/>
    <cellStyle name="Currency 4 10 4" xfId="1371"/>
    <cellStyle name="Currency 4 10 5" xfId="1372"/>
    <cellStyle name="Currency 4 11" xfId="1373"/>
    <cellStyle name="Currency 4 2" xfId="1374"/>
    <cellStyle name="Currency 4 2 10" xfId="1375"/>
    <cellStyle name="Currency 4 2 10 2" xfId="1376"/>
    <cellStyle name="Currency 4 2 10 3" xfId="1377"/>
    <cellStyle name="Currency 4 2 11" xfId="1378"/>
    <cellStyle name="Currency 4 2 12" xfId="1379"/>
    <cellStyle name="Currency 4 2 13" xfId="1380"/>
    <cellStyle name="Currency 4 2 2" xfId="1381"/>
    <cellStyle name="Currency 4 2 2 2" xfId="1382"/>
    <cellStyle name="Currency 4 2 2 2 2" xfId="1383"/>
    <cellStyle name="Currency 4 2 2 2 2 2" xfId="1384"/>
    <cellStyle name="Currency 4 2 2 2 2 2 2" xfId="1385"/>
    <cellStyle name="Currency 4 2 2 2 2 2 2 2" xfId="1386"/>
    <cellStyle name="Currency 4 2 2 2 2 2 2 3" xfId="1387"/>
    <cellStyle name="Currency 4 2 2 2 2 2 3" xfId="1388"/>
    <cellStyle name="Currency 4 2 2 2 2 2 4" xfId="1389"/>
    <cellStyle name="Currency 4 2 2 2 2 2 5" xfId="1390"/>
    <cellStyle name="Currency 4 2 2 2 2 3" xfId="1391"/>
    <cellStyle name="Currency 4 2 2 2 2 3 2" xfId="1392"/>
    <cellStyle name="Currency 4 2 2 2 2 3 2 2" xfId="1393"/>
    <cellStyle name="Currency 4 2 2 2 2 3 2 3" xfId="1394"/>
    <cellStyle name="Currency 4 2 2 2 2 3 3" xfId="1395"/>
    <cellStyle name="Currency 4 2 2 2 2 3 4" xfId="1396"/>
    <cellStyle name="Currency 4 2 2 2 2 3 5" xfId="1397"/>
    <cellStyle name="Currency 4 2 2 2 2 4" xfId="1398"/>
    <cellStyle name="Currency 4 2 2 2 2 4 2" xfId="1399"/>
    <cellStyle name="Currency 4 2 2 2 2 4 3" xfId="1400"/>
    <cellStyle name="Currency 4 2 2 2 2 5" xfId="1401"/>
    <cellStyle name="Currency 4 2 2 2 2 6" xfId="1402"/>
    <cellStyle name="Currency 4 2 2 2 2 7" xfId="1403"/>
    <cellStyle name="Currency 4 2 2 2 3" xfId="1404"/>
    <cellStyle name="Currency 4 2 2 2 3 2" xfId="1405"/>
    <cellStyle name="Currency 4 2 2 2 3 2 2" xfId="1406"/>
    <cellStyle name="Currency 4 2 2 2 3 2 3" xfId="1407"/>
    <cellStyle name="Currency 4 2 2 2 3 3" xfId="1408"/>
    <cellStyle name="Currency 4 2 2 2 3 4" xfId="1409"/>
    <cellStyle name="Currency 4 2 2 2 3 5" xfId="1410"/>
    <cellStyle name="Currency 4 2 2 2 4" xfId="1411"/>
    <cellStyle name="Currency 4 2 2 2 4 2" xfId="1412"/>
    <cellStyle name="Currency 4 2 2 2 4 2 2" xfId="1413"/>
    <cellStyle name="Currency 4 2 2 2 4 2 3" xfId="1414"/>
    <cellStyle name="Currency 4 2 2 2 4 3" xfId="1415"/>
    <cellStyle name="Currency 4 2 2 2 4 4" xfId="1416"/>
    <cellStyle name="Currency 4 2 2 2 4 5" xfId="1417"/>
    <cellStyle name="Currency 4 2 2 2 5" xfId="1418"/>
    <cellStyle name="Currency 4 2 2 2 5 2" xfId="1419"/>
    <cellStyle name="Currency 4 2 2 2 5 3" xfId="1420"/>
    <cellStyle name="Currency 4 2 2 2 6" xfId="1421"/>
    <cellStyle name="Currency 4 2 2 2 7" xfId="1422"/>
    <cellStyle name="Currency 4 2 2 2 8" xfId="1423"/>
    <cellStyle name="Currency 4 2 2 3" xfId="1424"/>
    <cellStyle name="Currency 4 2 2 3 2" xfId="1425"/>
    <cellStyle name="Currency 4 2 2 3 2 2" xfId="1426"/>
    <cellStyle name="Currency 4 2 2 3 2 2 2" xfId="1427"/>
    <cellStyle name="Currency 4 2 2 3 2 2 3" xfId="1428"/>
    <cellStyle name="Currency 4 2 2 3 2 3" xfId="1429"/>
    <cellStyle name="Currency 4 2 2 3 2 4" xfId="1430"/>
    <cellStyle name="Currency 4 2 2 3 2 5" xfId="1431"/>
    <cellStyle name="Currency 4 2 2 3 3" xfId="1432"/>
    <cellStyle name="Currency 4 2 2 3 3 2" xfId="1433"/>
    <cellStyle name="Currency 4 2 2 3 3 2 2" xfId="1434"/>
    <cellStyle name="Currency 4 2 2 3 3 2 3" xfId="1435"/>
    <cellStyle name="Currency 4 2 2 3 3 3" xfId="1436"/>
    <cellStyle name="Currency 4 2 2 3 3 4" xfId="1437"/>
    <cellStyle name="Currency 4 2 2 3 3 5" xfId="1438"/>
    <cellStyle name="Currency 4 2 2 3 4" xfId="1439"/>
    <cellStyle name="Currency 4 2 2 3 4 2" xfId="1440"/>
    <cellStyle name="Currency 4 2 2 3 4 3" xfId="1441"/>
    <cellStyle name="Currency 4 2 2 3 5" xfId="1442"/>
    <cellStyle name="Currency 4 2 2 3 6" xfId="1443"/>
    <cellStyle name="Currency 4 2 2 3 7" xfId="1444"/>
    <cellStyle name="Currency 4 2 2 4" xfId="1445"/>
    <cellStyle name="Currency 4 2 2 4 2" xfId="1446"/>
    <cellStyle name="Currency 4 2 2 4 2 2" xfId="1447"/>
    <cellStyle name="Currency 4 2 2 4 2 3" xfId="1448"/>
    <cellStyle name="Currency 4 2 2 4 3" xfId="1449"/>
    <cellStyle name="Currency 4 2 2 4 4" xfId="1450"/>
    <cellStyle name="Currency 4 2 2 4 5" xfId="1451"/>
    <cellStyle name="Currency 4 2 2 5" xfId="1452"/>
    <cellStyle name="Currency 4 2 2 5 2" xfId="1453"/>
    <cellStyle name="Currency 4 2 2 5 2 2" xfId="1454"/>
    <cellStyle name="Currency 4 2 2 5 2 3" xfId="1455"/>
    <cellStyle name="Currency 4 2 2 5 3" xfId="1456"/>
    <cellStyle name="Currency 4 2 2 5 4" xfId="1457"/>
    <cellStyle name="Currency 4 2 2 5 5" xfId="1458"/>
    <cellStyle name="Currency 4 2 2 6" xfId="1459"/>
    <cellStyle name="Currency 4 2 2 6 2" xfId="1460"/>
    <cellStyle name="Currency 4 2 2 6 3" xfId="1461"/>
    <cellStyle name="Currency 4 2 2 7" xfId="1462"/>
    <cellStyle name="Currency 4 2 2 8" xfId="1463"/>
    <cellStyle name="Currency 4 2 2 9" xfId="1464"/>
    <cellStyle name="Currency 4 2 3" xfId="1465"/>
    <cellStyle name="Currency 4 2 3 2" xfId="1466"/>
    <cellStyle name="Currency 4 2 3 2 2" xfId="1467"/>
    <cellStyle name="Currency 4 2 3 2 2 2" xfId="1468"/>
    <cellStyle name="Currency 4 2 3 2 2 2 2" xfId="1469"/>
    <cellStyle name="Currency 4 2 3 2 2 2 2 2" xfId="1470"/>
    <cellStyle name="Currency 4 2 3 2 2 2 2 3" xfId="1471"/>
    <cellStyle name="Currency 4 2 3 2 2 2 3" xfId="1472"/>
    <cellStyle name="Currency 4 2 3 2 2 2 4" xfId="1473"/>
    <cellStyle name="Currency 4 2 3 2 2 2 5" xfId="1474"/>
    <cellStyle name="Currency 4 2 3 2 2 3" xfId="1475"/>
    <cellStyle name="Currency 4 2 3 2 2 3 2" xfId="1476"/>
    <cellStyle name="Currency 4 2 3 2 2 3 2 2" xfId="1477"/>
    <cellStyle name="Currency 4 2 3 2 2 3 2 3" xfId="1478"/>
    <cellStyle name="Currency 4 2 3 2 2 3 3" xfId="1479"/>
    <cellStyle name="Currency 4 2 3 2 2 3 4" xfId="1480"/>
    <cellStyle name="Currency 4 2 3 2 2 3 5" xfId="1481"/>
    <cellStyle name="Currency 4 2 3 2 2 4" xfId="1482"/>
    <cellStyle name="Currency 4 2 3 2 2 4 2" xfId="1483"/>
    <cellStyle name="Currency 4 2 3 2 2 4 3" xfId="1484"/>
    <cellStyle name="Currency 4 2 3 2 2 5" xfId="1485"/>
    <cellStyle name="Currency 4 2 3 2 2 6" xfId="1486"/>
    <cellStyle name="Currency 4 2 3 2 2 7" xfId="1487"/>
    <cellStyle name="Currency 4 2 3 2 3" xfId="1488"/>
    <cellStyle name="Currency 4 2 3 2 3 2" xfId="1489"/>
    <cellStyle name="Currency 4 2 3 2 3 2 2" xfId="1490"/>
    <cellStyle name="Currency 4 2 3 2 3 2 3" xfId="1491"/>
    <cellStyle name="Currency 4 2 3 2 3 3" xfId="1492"/>
    <cellStyle name="Currency 4 2 3 2 3 4" xfId="1493"/>
    <cellStyle name="Currency 4 2 3 2 3 5" xfId="1494"/>
    <cellStyle name="Currency 4 2 3 2 4" xfId="1495"/>
    <cellStyle name="Currency 4 2 3 2 4 2" xfId="1496"/>
    <cellStyle name="Currency 4 2 3 2 4 2 2" xfId="1497"/>
    <cellStyle name="Currency 4 2 3 2 4 2 3" xfId="1498"/>
    <cellStyle name="Currency 4 2 3 2 4 3" xfId="1499"/>
    <cellStyle name="Currency 4 2 3 2 4 4" xfId="1500"/>
    <cellStyle name="Currency 4 2 3 2 4 5" xfId="1501"/>
    <cellStyle name="Currency 4 2 3 2 5" xfId="1502"/>
    <cellStyle name="Currency 4 2 3 2 5 2" xfId="1503"/>
    <cellStyle name="Currency 4 2 3 2 5 3" xfId="1504"/>
    <cellStyle name="Currency 4 2 3 2 6" xfId="1505"/>
    <cellStyle name="Currency 4 2 3 2 7" xfId="1506"/>
    <cellStyle name="Currency 4 2 3 2 8" xfId="1507"/>
    <cellStyle name="Currency 4 2 3 3" xfId="1508"/>
    <cellStyle name="Currency 4 2 3 3 2" xfId="1509"/>
    <cellStyle name="Currency 4 2 3 3 2 2" xfId="1510"/>
    <cellStyle name="Currency 4 2 3 3 2 2 2" xfId="1511"/>
    <cellStyle name="Currency 4 2 3 3 2 2 3" xfId="1512"/>
    <cellStyle name="Currency 4 2 3 3 2 3" xfId="1513"/>
    <cellStyle name="Currency 4 2 3 3 2 4" xfId="1514"/>
    <cellStyle name="Currency 4 2 3 3 2 5" xfId="1515"/>
    <cellStyle name="Currency 4 2 3 3 3" xfId="1516"/>
    <cellStyle name="Currency 4 2 3 3 3 2" xfId="1517"/>
    <cellStyle name="Currency 4 2 3 3 3 2 2" xfId="1518"/>
    <cellStyle name="Currency 4 2 3 3 3 2 3" xfId="1519"/>
    <cellStyle name="Currency 4 2 3 3 3 3" xfId="1520"/>
    <cellStyle name="Currency 4 2 3 3 3 4" xfId="1521"/>
    <cellStyle name="Currency 4 2 3 3 3 5" xfId="1522"/>
    <cellStyle name="Currency 4 2 3 3 4" xfId="1523"/>
    <cellStyle name="Currency 4 2 3 3 4 2" xfId="1524"/>
    <cellStyle name="Currency 4 2 3 3 4 3" xfId="1525"/>
    <cellStyle name="Currency 4 2 3 3 5" xfId="1526"/>
    <cellStyle name="Currency 4 2 3 3 6" xfId="1527"/>
    <cellStyle name="Currency 4 2 3 3 7" xfId="1528"/>
    <cellStyle name="Currency 4 2 3 4" xfId="1529"/>
    <cellStyle name="Currency 4 2 3 4 2" xfId="1530"/>
    <cellStyle name="Currency 4 2 3 4 2 2" xfId="1531"/>
    <cellStyle name="Currency 4 2 3 4 2 3" xfId="1532"/>
    <cellStyle name="Currency 4 2 3 4 3" xfId="1533"/>
    <cellStyle name="Currency 4 2 3 4 4" xfId="1534"/>
    <cellStyle name="Currency 4 2 3 4 5" xfId="1535"/>
    <cellStyle name="Currency 4 2 3 5" xfId="1536"/>
    <cellStyle name="Currency 4 2 3 5 2" xfId="1537"/>
    <cellStyle name="Currency 4 2 3 5 2 2" xfId="1538"/>
    <cellStyle name="Currency 4 2 3 5 2 3" xfId="1539"/>
    <cellStyle name="Currency 4 2 3 5 3" xfId="1540"/>
    <cellStyle name="Currency 4 2 3 5 4" xfId="1541"/>
    <cellStyle name="Currency 4 2 3 5 5" xfId="1542"/>
    <cellStyle name="Currency 4 2 3 6" xfId="1543"/>
    <cellStyle name="Currency 4 2 3 6 2" xfId="1544"/>
    <cellStyle name="Currency 4 2 3 6 3" xfId="1545"/>
    <cellStyle name="Currency 4 2 3 7" xfId="1546"/>
    <cellStyle name="Currency 4 2 3 8" xfId="1547"/>
    <cellStyle name="Currency 4 2 3 9" xfId="1548"/>
    <cellStyle name="Currency 4 2 4" xfId="1549"/>
    <cellStyle name="Currency 4 2 4 2" xfId="1550"/>
    <cellStyle name="Currency 4 2 4 2 2" xfId="1551"/>
    <cellStyle name="Currency 4 2 4 2 2 2" xfId="1552"/>
    <cellStyle name="Currency 4 2 4 2 2 2 2" xfId="1553"/>
    <cellStyle name="Currency 4 2 4 2 2 2 2 2" xfId="1554"/>
    <cellStyle name="Currency 4 2 4 2 2 2 2 3" xfId="1555"/>
    <cellStyle name="Currency 4 2 4 2 2 2 3" xfId="1556"/>
    <cellStyle name="Currency 4 2 4 2 2 2 4" xfId="1557"/>
    <cellStyle name="Currency 4 2 4 2 2 2 5" xfId="1558"/>
    <cellStyle name="Currency 4 2 4 2 2 3" xfId="1559"/>
    <cellStyle name="Currency 4 2 4 2 2 3 2" xfId="1560"/>
    <cellStyle name="Currency 4 2 4 2 2 3 2 2" xfId="1561"/>
    <cellStyle name="Currency 4 2 4 2 2 3 2 3" xfId="1562"/>
    <cellStyle name="Currency 4 2 4 2 2 3 3" xfId="1563"/>
    <cellStyle name="Currency 4 2 4 2 2 3 4" xfId="1564"/>
    <cellStyle name="Currency 4 2 4 2 2 3 5" xfId="1565"/>
    <cellStyle name="Currency 4 2 4 2 2 4" xfId="1566"/>
    <cellStyle name="Currency 4 2 4 2 2 4 2" xfId="1567"/>
    <cellStyle name="Currency 4 2 4 2 2 4 3" xfId="1568"/>
    <cellStyle name="Currency 4 2 4 2 2 5" xfId="1569"/>
    <cellStyle name="Currency 4 2 4 2 2 6" xfId="1570"/>
    <cellStyle name="Currency 4 2 4 2 2 7" xfId="1571"/>
    <cellStyle name="Currency 4 2 4 2 3" xfId="1572"/>
    <cellStyle name="Currency 4 2 4 2 3 2" xfId="1573"/>
    <cellStyle name="Currency 4 2 4 2 3 2 2" xfId="1574"/>
    <cellStyle name="Currency 4 2 4 2 3 2 3" xfId="1575"/>
    <cellStyle name="Currency 4 2 4 2 3 3" xfId="1576"/>
    <cellStyle name="Currency 4 2 4 2 3 4" xfId="1577"/>
    <cellStyle name="Currency 4 2 4 2 3 5" xfId="1578"/>
    <cellStyle name="Currency 4 2 4 2 4" xfId="1579"/>
    <cellStyle name="Currency 4 2 4 2 4 2" xfId="1580"/>
    <cellStyle name="Currency 4 2 4 2 4 2 2" xfId="1581"/>
    <cellStyle name="Currency 4 2 4 2 4 2 3" xfId="1582"/>
    <cellStyle name="Currency 4 2 4 2 4 3" xfId="1583"/>
    <cellStyle name="Currency 4 2 4 2 4 4" xfId="1584"/>
    <cellStyle name="Currency 4 2 4 2 4 5" xfId="1585"/>
    <cellStyle name="Currency 4 2 4 2 5" xfId="1586"/>
    <cellStyle name="Currency 4 2 4 2 5 2" xfId="1587"/>
    <cellStyle name="Currency 4 2 4 2 5 3" xfId="1588"/>
    <cellStyle name="Currency 4 2 4 2 6" xfId="1589"/>
    <cellStyle name="Currency 4 2 4 2 7" xfId="1590"/>
    <cellStyle name="Currency 4 2 4 2 8" xfId="1591"/>
    <cellStyle name="Currency 4 2 4 3" xfId="1592"/>
    <cellStyle name="Currency 4 2 4 3 2" xfId="1593"/>
    <cellStyle name="Currency 4 2 4 3 2 2" xfId="1594"/>
    <cellStyle name="Currency 4 2 4 3 2 2 2" xfId="1595"/>
    <cellStyle name="Currency 4 2 4 3 2 2 3" xfId="1596"/>
    <cellStyle name="Currency 4 2 4 3 2 3" xfId="1597"/>
    <cellStyle name="Currency 4 2 4 3 2 4" xfId="1598"/>
    <cellStyle name="Currency 4 2 4 3 2 5" xfId="1599"/>
    <cellStyle name="Currency 4 2 4 3 3" xfId="1600"/>
    <cellStyle name="Currency 4 2 4 3 3 2" xfId="1601"/>
    <cellStyle name="Currency 4 2 4 3 3 2 2" xfId="1602"/>
    <cellStyle name="Currency 4 2 4 3 3 2 3" xfId="1603"/>
    <cellStyle name="Currency 4 2 4 3 3 3" xfId="1604"/>
    <cellStyle name="Currency 4 2 4 3 3 4" xfId="1605"/>
    <cellStyle name="Currency 4 2 4 3 3 5" xfId="1606"/>
    <cellStyle name="Currency 4 2 4 3 4" xfId="1607"/>
    <cellStyle name="Currency 4 2 4 3 4 2" xfId="1608"/>
    <cellStyle name="Currency 4 2 4 3 4 3" xfId="1609"/>
    <cellStyle name="Currency 4 2 4 3 5" xfId="1610"/>
    <cellStyle name="Currency 4 2 4 3 6" xfId="1611"/>
    <cellStyle name="Currency 4 2 4 3 7" xfId="1612"/>
    <cellStyle name="Currency 4 2 4 4" xfId="1613"/>
    <cellStyle name="Currency 4 2 4 4 2" xfId="1614"/>
    <cellStyle name="Currency 4 2 4 4 2 2" xfId="1615"/>
    <cellStyle name="Currency 4 2 4 4 2 3" xfId="1616"/>
    <cellStyle name="Currency 4 2 4 4 3" xfId="1617"/>
    <cellStyle name="Currency 4 2 4 4 4" xfId="1618"/>
    <cellStyle name="Currency 4 2 4 4 5" xfId="1619"/>
    <cellStyle name="Currency 4 2 4 5" xfId="1620"/>
    <cellStyle name="Currency 4 2 4 5 2" xfId="1621"/>
    <cellStyle name="Currency 4 2 4 5 2 2" xfId="1622"/>
    <cellStyle name="Currency 4 2 4 5 2 3" xfId="1623"/>
    <cellStyle name="Currency 4 2 4 5 3" xfId="1624"/>
    <cellStyle name="Currency 4 2 4 5 4" xfId="1625"/>
    <cellStyle name="Currency 4 2 4 5 5" xfId="1626"/>
    <cellStyle name="Currency 4 2 4 6" xfId="1627"/>
    <cellStyle name="Currency 4 2 4 6 2" xfId="1628"/>
    <cellStyle name="Currency 4 2 4 6 3" xfId="1629"/>
    <cellStyle name="Currency 4 2 4 7" xfId="1630"/>
    <cellStyle name="Currency 4 2 4 8" xfId="1631"/>
    <cellStyle name="Currency 4 2 4 9" xfId="1632"/>
    <cellStyle name="Currency 4 2 5" xfId="1633"/>
    <cellStyle name="Currency 4 2 5 2" xfId="1634"/>
    <cellStyle name="Currency 4 2 5 2 2" xfId="1635"/>
    <cellStyle name="Currency 4 2 5 2 2 2" xfId="1636"/>
    <cellStyle name="Currency 4 2 5 2 2 2 2" xfId="1637"/>
    <cellStyle name="Currency 4 2 5 2 2 2 3" xfId="1638"/>
    <cellStyle name="Currency 4 2 5 2 2 3" xfId="1639"/>
    <cellStyle name="Currency 4 2 5 2 2 4" xfId="1640"/>
    <cellStyle name="Currency 4 2 5 2 2 5" xfId="1641"/>
    <cellStyle name="Currency 4 2 5 2 3" xfId="1642"/>
    <cellStyle name="Currency 4 2 5 2 3 2" xfId="1643"/>
    <cellStyle name="Currency 4 2 5 2 3 2 2" xfId="1644"/>
    <cellStyle name="Currency 4 2 5 2 3 2 3" xfId="1645"/>
    <cellStyle name="Currency 4 2 5 2 3 3" xfId="1646"/>
    <cellStyle name="Currency 4 2 5 2 3 4" xfId="1647"/>
    <cellStyle name="Currency 4 2 5 2 3 5" xfId="1648"/>
    <cellStyle name="Currency 4 2 5 2 4" xfId="1649"/>
    <cellStyle name="Currency 4 2 5 2 4 2" xfId="1650"/>
    <cellStyle name="Currency 4 2 5 2 4 3" xfId="1651"/>
    <cellStyle name="Currency 4 2 5 2 5" xfId="1652"/>
    <cellStyle name="Currency 4 2 5 2 6" xfId="1653"/>
    <cellStyle name="Currency 4 2 5 2 7" xfId="1654"/>
    <cellStyle name="Currency 4 2 5 3" xfId="1655"/>
    <cellStyle name="Currency 4 2 5 3 2" xfId="1656"/>
    <cellStyle name="Currency 4 2 5 3 2 2" xfId="1657"/>
    <cellStyle name="Currency 4 2 5 3 2 3" xfId="1658"/>
    <cellStyle name="Currency 4 2 5 3 3" xfId="1659"/>
    <cellStyle name="Currency 4 2 5 3 4" xfId="1660"/>
    <cellStyle name="Currency 4 2 5 3 5" xfId="1661"/>
    <cellStyle name="Currency 4 2 5 4" xfId="1662"/>
    <cellStyle name="Currency 4 2 5 4 2" xfId="1663"/>
    <cellStyle name="Currency 4 2 5 4 2 2" xfId="1664"/>
    <cellStyle name="Currency 4 2 5 4 2 3" xfId="1665"/>
    <cellStyle name="Currency 4 2 5 4 3" xfId="1666"/>
    <cellStyle name="Currency 4 2 5 4 4" xfId="1667"/>
    <cellStyle name="Currency 4 2 5 4 5" xfId="1668"/>
    <cellStyle name="Currency 4 2 5 5" xfId="1669"/>
    <cellStyle name="Currency 4 2 5 5 2" xfId="1670"/>
    <cellStyle name="Currency 4 2 5 5 3" xfId="1671"/>
    <cellStyle name="Currency 4 2 5 6" xfId="1672"/>
    <cellStyle name="Currency 4 2 5 7" xfId="1673"/>
    <cellStyle name="Currency 4 2 5 8" xfId="1674"/>
    <cellStyle name="Currency 4 2 6" xfId="1675"/>
    <cellStyle name="Currency 4 2 7" xfId="1676"/>
    <cellStyle name="Currency 4 2 7 2" xfId="1677"/>
    <cellStyle name="Currency 4 2 7 2 2" xfId="1678"/>
    <cellStyle name="Currency 4 2 7 2 2 2" xfId="1679"/>
    <cellStyle name="Currency 4 2 7 2 2 3" xfId="1680"/>
    <cellStyle name="Currency 4 2 7 2 3" xfId="1681"/>
    <cellStyle name="Currency 4 2 7 2 4" xfId="1682"/>
    <cellStyle name="Currency 4 2 7 2 5" xfId="1683"/>
    <cellStyle name="Currency 4 2 7 3" xfId="1684"/>
    <cellStyle name="Currency 4 2 7 3 2" xfId="1685"/>
    <cellStyle name="Currency 4 2 7 3 2 2" xfId="1686"/>
    <cellStyle name="Currency 4 2 7 3 2 3" xfId="1687"/>
    <cellStyle name="Currency 4 2 7 3 3" xfId="1688"/>
    <cellStyle name="Currency 4 2 7 3 4" xfId="1689"/>
    <cellStyle name="Currency 4 2 7 3 5" xfId="1690"/>
    <cellStyle name="Currency 4 2 7 4" xfId="1691"/>
    <cellStyle name="Currency 4 2 7 4 2" xfId="1692"/>
    <cellStyle name="Currency 4 2 7 4 3" xfId="1693"/>
    <cellStyle name="Currency 4 2 7 5" xfId="1694"/>
    <cellStyle name="Currency 4 2 7 6" xfId="1695"/>
    <cellStyle name="Currency 4 2 7 7" xfId="1696"/>
    <cellStyle name="Currency 4 2 8" xfId="1697"/>
    <cellStyle name="Currency 4 2 8 2" xfId="1698"/>
    <cellStyle name="Currency 4 2 8 2 2" xfId="1699"/>
    <cellStyle name="Currency 4 2 8 2 3" xfId="1700"/>
    <cellStyle name="Currency 4 2 8 3" xfId="1701"/>
    <cellStyle name="Currency 4 2 8 4" xfId="1702"/>
    <cellStyle name="Currency 4 2 8 5" xfId="1703"/>
    <cellStyle name="Currency 4 2 9" xfId="1704"/>
    <cellStyle name="Currency 4 2 9 2" xfId="1705"/>
    <cellStyle name="Currency 4 2 9 2 2" xfId="1706"/>
    <cellStyle name="Currency 4 2 9 2 3" xfId="1707"/>
    <cellStyle name="Currency 4 2 9 3" xfId="1708"/>
    <cellStyle name="Currency 4 2 9 4" xfId="1709"/>
    <cellStyle name="Currency 4 2 9 5" xfId="1710"/>
    <cellStyle name="Currency 4 3" xfId="1711"/>
    <cellStyle name="Currency 4 3 2" xfId="1712"/>
    <cellStyle name="Currency 4 3 2 2" xfId="1713"/>
    <cellStyle name="Currency 4 3 2 2 2" xfId="1714"/>
    <cellStyle name="Currency 4 3 2 2 2 2" xfId="1715"/>
    <cellStyle name="Currency 4 3 2 2 2 2 2" xfId="1716"/>
    <cellStyle name="Currency 4 3 2 2 2 2 3" xfId="1717"/>
    <cellStyle name="Currency 4 3 2 2 2 3" xfId="1718"/>
    <cellStyle name="Currency 4 3 2 2 2 4" xfId="1719"/>
    <cellStyle name="Currency 4 3 2 2 2 5" xfId="1720"/>
    <cellStyle name="Currency 4 3 2 2 3" xfId="1721"/>
    <cellStyle name="Currency 4 3 2 2 3 2" xfId="1722"/>
    <cellStyle name="Currency 4 3 2 2 3 2 2" xfId="1723"/>
    <cellStyle name="Currency 4 3 2 2 3 2 3" xfId="1724"/>
    <cellStyle name="Currency 4 3 2 2 3 3" xfId="1725"/>
    <cellStyle name="Currency 4 3 2 2 3 4" xfId="1726"/>
    <cellStyle name="Currency 4 3 2 2 3 5" xfId="1727"/>
    <cellStyle name="Currency 4 3 2 2 4" xfId="1728"/>
    <cellStyle name="Currency 4 3 2 2 4 2" xfId="1729"/>
    <cellStyle name="Currency 4 3 2 2 4 3" xfId="1730"/>
    <cellStyle name="Currency 4 3 2 2 5" xfId="1731"/>
    <cellStyle name="Currency 4 3 2 2 6" xfId="1732"/>
    <cellStyle name="Currency 4 3 2 2 7" xfId="1733"/>
    <cellStyle name="Currency 4 3 2 3" xfId="1734"/>
    <cellStyle name="Currency 4 3 2 3 2" xfId="1735"/>
    <cellStyle name="Currency 4 3 2 3 2 2" xfId="1736"/>
    <cellStyle name="Currency 4 3 2 3 2 3" xfId="1737"/>
    <cellStyle name="Currency 4 3 2 3 3" xfId="1738"/>
    <cellStyle name="Currency 4 3 2 3 4" xfId="1739"/>
    <cellStyle name="Currency 4 3 2 3 5" xfId="1740"/>
    <cellStyle name="Currency 4 3 2 4" xfId="1741"/>
    <cellStyle name="Currency 4 3 2 4 2" xfId="1742"/>
    <cellStyle name="Currency 4 3 2 4 2 2" xfId="1743"/>
    <cellStyle name="Currency 4 3 2 4 2 3" xfId="1744"/>
    <cellStyle name="Currency 4 3 2 4 3" xfId="1745"/>
    <cellStyle name="Currency 4 3 2 4 4" xfId="1746"/>
    <cellStyle name="Currency 4 3 2 4 5" xfId="1747"/>
    <cellStyle name="Currency 4 3 2 5" xfId="1748"/>
    <cellStyle name="Currency 4 3 2 5 2" xfId="1749"/>
    <cellStyle name="Currency 4 3 2 5 3" xfId="1750"/>
    <cellStyle name="Currency 4 3 2 6" xfId="1751"/>
    <cellStyle name="Currency 4 3 2 7" xfId="1752"/>
    <cellStyle name="Currency 4 3 2 8" xfId="1753"/>
    <cellStyle name="Currency 4 3 3" xfId="1754"/>
    <cellStyle name="Currency 4 3 3 2" xfId="1755"/>
    <cellStyle name="Currency 4 3 3 2 2" xfId="1756"/>
    <cellStyle name="Currency 4 3 3 2 2 2" xfId="1757"/>
    <cellStyle name="Currency 4 3 3 2 2 3" xfId="1758"/>
    <cellStyle name="Currency 4 3 3 2 3" xfId="1759"/>
    <cellStyle name="Currency 4 3 3 2 4" xfId="1760"/>
    <cellStyle name="Currency 4 3 3 2 5" xfId="1761"/>
    <cellStyle name="Currency 4 3 3 3" xfId="1762"/>
    <cellStyle name="Currency 4 3 3 3 2" xfId="1763"/>
    <cellStyle name="Currency 4 3 3 3 2 2" xfId="1764"/>
    <cellStyle name="Currency 4 3 3 3 2 3" xfId="1765"/>
    <cellStyle name="Currency 4 3 3 3 3" xfId="1766"/>
    <cellStyle name="Currency 4 3 3 3 4" xfId="1767"/>
    <cellStyle name="Currency 4 3 3 3 5" xfId="1768"/>
    <cellStyle name="Currency 4 3 3 4" xfId="1769"/>
    <cellStyle name="Currency 4 3 3 4 2" xfId="1770"/>
    <cellStyle name="Currency 4 3 3 4 3" xfId="1771"/>
    <cellStyle name="Currency 4 3 3 5" xfId="1772"/>
    <cellStyle name="Currency 4 3 3 6" xfId="1773"/>
    <cellStyle name="Currency 4 3 3 7" xfId="1774"/>
    <cellStyle name="Currency 4 3 4" xfId="1775"/>
    <cellStyle name="Currency 4 3 4 2" xfId="1776"/>
    <cellStyle name="Currency 4 3 4 2 2" xfId="1777"/>
    <cellStyle name="Currency 4 3 4 2 3" xfId="1778"/>
    <cellStyle name="Currency 4 3 4 3" xfId="1779"/>
    <cellStyle name="Currency 4 3 4 4" xfId="1780"/>
    <cellStyle name="Currency 4 3 4 5" xfId="1781"/>
    <cellStyle name="Currency 4 3 5" xfId="1782"/>
    <cellStyle name="Currency 4 3 5 2" xfId="1783"/>
    <cellStyle name="Currency 4 3 5 2 2" xfId="1784"/>
    <cellStyle name="Currency 4 3 5 2 3" xfId="1785"/>
    <cellStyle name="Currency 4 3 5 3" xfId="1786"/>
    <cellStyle name="Currency 4 3 5 4" xfId="1787"/>
    <cellStyle name="Currency 4 3 5 5" xfId="1788"/>
    <cellStyle name="Currency 4 3 6" xfId="1789"/>
    <cellStyle name="Currency 4 3 6 2" xfId="1790"/>
    <cellStyle name="Currency 4 3 6 3" xfId="1791"/>
    <cellStyle name="Currency 4 3 7" xfId="1792"/>
    <cellStyle name="Currency 4 3 8" xfId="1793"/>
    <cellStyle name="Currency 4 3 9" xfId="1794"/>
    <cellStyle name="Currency 4 4" xfId="1795"/>
    <cellStyle name="Currency 4 4 2" xfId="1796"/>
    <cellStyle name="Currency 4 4 2 2" xfId="1797"/>
    <cellStyle name="Currency 4 4 2 2 2" xfId="1798"/>
    <cellStyle name="Currency 4 4 2 2 2 2" xfId="1799"/>
    <cellStyle name="Currency 4 4 2 2 2 2 2" xfId="1800"/>
    <cellStyle name="Currency 4 4 2 2 2 2 3" xfId="1801"/>
    <cellStyle name="Currency 4 4 2 2 2 3" xfId="1802"/>
    <cellStyle name="Currency 4 4 2 2 2 4" xfId="1803"/>
    <cellStyle name="Currency 4 4 2 2 2 5" xfId="1804"/>
    <cellStyle name="Currency 4 4 2 2 3" xfId="1805"/>
    <cellStyle name="Currency 4 4 2 2 3 2" xfId="1806"/>
    <cellStyle name="Currency 4 4 2 2 3 2 2" xfId="1807"/>
    <cellStyle name="Currency 4 4 2 2 3 2 3" xfId="1808"/>
    <cellStyle name="Currency 4 4 2 2 3 3" xfId="1809"/>
    <cellStyle name="Currency 4 4 2 2 3 4" xfId="1810"/>
    <cellStyle name="Currency 4 4 2 2 3 5" xfId="1811"/>
    <cellStyle name="Currency 4 4 2 2 4" xfId="1812"/>
    <cellStyle name="Currency 4 4 2 2 4 2" xfId="1813"/>
    <cellStyle name="Currency 4 4 2 2 4 3" xfId="1814"/>
    <cellStyle name="Currency 4 4 2 2 5" xfId="1815"/>
    <cellStyle name="Currency 4 4 2 2 6" xfId="1816"/>
    <cellStyle name="Currency 4 4 2 2 7" xfId="1817"/>
    <cellStyle name="Currency 4 4 2 3" xfId="1818"/>
    <cellStyle name="Currency 4 4 2 3 2" xfId="1819"/>
    <cellStyle name="Currency 4 4 2 3 2 2" xfId="1820"/>
    <cellStyle name="Currency 4 4 2 3 2 3" xfId="1821"/>
    <cellStyle name="Currency 4 4 2 3 3" xfId="1822"/>
    <cellStyle name="Currency 4 4 2 3 4" xfId="1823"/>
    <cellStyle name="Currency 4 4 2 3 5" xfId="1824"/>
    <cellStyle name="Currency 4 4 2 4" xfId="1825"/>
    <cellStyle name="Currency 4 4 2 4 2" xfId="1826"/>
    <cellStyle name="Currency 4 4 2 4 2 2" xfId="1827"/>
    <cellStyle name="Currency 4 4 2 4 2 3" xfId="1828"/>
    <cellStyle name="Currency 4 4 2 4 3" xfId="1829"/>
    <cellStyle name="Currency 4 4 2 4 4" xfId="1830"/>
    <cellStyle name="Currency 4 4 2 4 5" xfId="1831"/>
    <cellStyle name="Currency 4 4 2 5" xfId="1832"/>
    <cellStyle name="Currency 4 4 2 5 2" xfId="1833"/>
    <cellStyle name="Currency 4 4 2 5 3" xfId="1834"/>
    <cellStyle name="Currency 4 4 2 6" xfId="1835"/>
    <cellStyle name="Currency 4 4 2 7" xfId="1836"/>
    <cellStyle name="Currency 4 4 2 8" xfId="1837"/>
    <cellStyle name="Currency 4 4 3" xfId="1838"/>
    <cellStyle name="Currency 4 4 3 2" xfId="1839"/>
    <cellStyle name="Currency 4 4 3 2 2" xfId="1840"/>
    <cellStyle name="Currency 4 4 3 2 2 2" xfId="1841"/>
    <cellStyle name="Currency 4 4 3 2 2 3" xfId="1842"/>
    <cellStyle name="Currency 4 4 3 2 3" xfId="1843"/>
    <cellStyle name="Currency 4 4 3 2 4" xfId="1844"/>
    <cellStyle name="Currency 4 4 3 2 5" xfId="1845"/>
    <cellStyle name="Currency 4 4 3 3" xfId="1846"/>
    <cellStyle name="Currency 4 4 3 3 2" xfId="1847"/>
    <cellStyle name="Currency 4 4 3 3 2 2" xfId="1848"/>
    <cellStyle name="Currency 4 4 3 3 2 3" xfId="1849"/>
    <cellStyle name="Currency 4 4 3 3 3" xfId="1850"/>
    <cellStyle name="Currency 4 4 3 3 4" xfId="1851"/>
    <cellStyle name="Currency 4 4 3 3 5" xfId="1852"/>
    <cellStyle name="Currency 4 4 3 4" xfId="1853"/>
    <cellStyle name="Currency 4 4 3 4 2" xfId="1854"/>
    <cellStyle name="Currency 4 4 3 4 3" xfId="1855"/>
    <cellStyle name="Currency 4 4 3 5" xfId="1856"/>
    <cellStyle name="Currency 4 4 3 6" xfId="1857"/>
    <cellStyle name="Currency 4 4 3 7" xfId="1858"/>
    <cellStyle name="Currency 4 4 4" xfId="1859"/>
    <cellStyle name="Currency 4 4 4 2" xfId="1860"/>
    <cellStyle name="Currency 4 4 4 2 2" xfId="1861"/>
    <cellStyle name="Currency 4 4 4 2 3" xfId="1862"/>
    <cellStyle name="Currency 4 4 4 3" xfId="1863"/>
    <cellStyle name="Currency 4 4 4 4" xfId="1864"/>
    <cellStyle name="Currency 4 4 4 5" xfId="1865"/>
    <cellStyle name="Currency 4 4 5" xfId="1866"/>
    <cellStyle name="Currency 4 4 5 2" xfId="1867"/>
    <cellStyle name="Currency 4 4 5 2 2" xfId="1868"/>
    <cellStyle name="Currency 4 4 5 2 3" xfId="1869"/>
    <cellStyle name="Currency 4 4 5 3" xfId="1870"/>
    <cellStyle name="Currency 4 4 5 4" xfId="1871"/>
    <cellStyle name="Currency 4 4 5 5" xfId="1872"/>
    <cellStyle name="Currency 4 4 6" xfId="1873"/>
    <cellStyle name="Currency 4 4 6 2" xfId="1874"/>
    <cellStyle name="Currency 4 4 6 3" xfId="1875"/>
    <cellStyle name="Currency 4 4 7" xfId="1876"/>
    <cellStyle name="Currency 4 4 8" xfId="1877"/>
    <cellStyle name="Currency 4 4 9" xfId="1878"/>
    <cellStyle name="Currency 4 5" xfId="1879"/>
    <cellStyle name="Currency 4 5 2" xfId="1880"/>
    <cellStyle name="Currency 4 5 2 2" xfId="1881"/>
    <cellStyle name="Currency 4 5 2 2 2" xfId="1882"/>
    <cellStyle name="Currency 4 5 2 2 2 2" xfId="1883"/>
    <cellStyle name="Currency 4 5 2 2 2 2 2" xfId="1884"/>
    <cellStyle name="Currency 4 5 2 2 2 2 3" xfId="1885"/>
    <cellStyle name="Currency 4 5 2 2 2 3" xfId="1886"/>
    <cellStyle name="Currency 4 5 2 2 2 4" xfId="1887"/>
    <cellStyle name="Currency 4 5 2 2 2 5" xfId="1888"/>
    <cellStyle name="Currency 4 5 2 2 3" xfId="1889"/>
    <cellStyle name="Currency 4 5 2 2 3 2" xfId="1890"/>
    <cellStyle name="Currency 4 5 2 2 3 2 2" xfId="1891"/>
    <cellStyle name="Currency 4 5 2 2 3 2 3" xfId="1892"/>
    <cellStyle name="Currency 4 5 2 2 3 3" xfId="1893"/>
    <cellStyle name="Currency 4 5 2 2 3 4" xfId="1894"/>
    <cellStyle name="Currency 4 5 2 2 3 5" xfId="1895"/>
    <cellStyle name="Currency 4 5 2 2 4" xfId="1896"/>
    <cellStyle name="Currency 4 5 2 2 4 2" xfId="1897"/>
    <cellStyle name="Currency 4 5 2 2 4 3" xfId="1898"/>
    <cellStyle name="Currency 4 5 2 2 5" xfId="1899"/>
    <cellStyle name="Currency 4 5 2 2 6" xfId="1900"/>
    <cellStyle name="Currency 4 5 2 2 7" xfId="1901"/>
    <cellStyle name="Currency 4 5 2 3" xfId="1902"/>
    <cellStyle name="Currency 4 5 2 3 2" xfId="1903"/>
    <cellStyle name="Currency 4 5 2 3 2 2" xfId="1904"/>
    <cellStyle name="Currency 4 5 2 3 2 3" xfId="1905"/>
    <cellStyle name="Currency 4 5 2 3 3" xfId="1906"/>
    <cellStyle name="Currency 4 5 2 3 4" xfId="1907"/>
    <cellStyle name="Currency 4 5 2 3 5" xfId="1908"/>
    <cellStyle name="Currency 4 5 2 4" xfId="1909"/>
    <cellStyle name="Currency 4 5 2 4 2" xfId="1910"/>
    <cellStyle name="Currency 4 5 2 4 2 2" xfId="1911"/>
    <cellStyle name="Currency 4 5 2 4 2 3" xfId="1912"/>
    <cellStyle name="Currency 4 5 2 4 3" xfId="1913"/>
    <cellStyle name="Currency 4 5 2 4 4" xfId="1914"/>
    <cellStyle name="Currency 4 5 2 4 5" xfId="1915"/>
    <cellStyle name="Currency 4 5 2 5" xfId="1916"/>
    <cellStyle name="Currency 4 5 2 5 2" xfId="1917"/>
    <cellStyle name="Currency 4 5 2 5 3" xfId="1918"/>
    <cellStyle name="Currency 4 5 2 6" xfId="1919"/>
    <cellStyle name="Currency 4 5 2 7" xfId="1920"/>
    <cellStyle name="Currency 4 5 2 8" xfId="1921"/>
    <cellStyle name="Currency 4 5 3" xfId="1922"/>
    <cellStyle name="Currency 4 5 3 2" xfId="1923"/>
    <cellStyle name="Currency 4 5 3 2 2" xfId="1924"/>
    <cellStyle name="Currency 4 5 3 2 2 2" xfId="1925"/>
    <cellStyle name="Currency 4 5 3 2 2 3" xfId="1926"/>
    <cellStyle name="Currency 4 5 3 2 3" xfId="1927"/>
    <cellStyle name="Currency 4 5 3 2 4" xfId="1928"/>
    <cellStyle name="Currency 4 5 3 2 5" xfId="1929"/>
    <cellStyle name="Currency 4 5 3 3" xfId="1930"/>
    <cellStyle name="Currency 4 5 3 3 2" xfId="1931"/>
    <cellStyle name="Currency 4 5 3 3 2 2" xfId="1932"/>
    <cellStyle name="Currency 4 5 3 3 2 3" xfId="1933"/>
    <cellStyle name="Currency 4 5 3 3 3" xfId="1934"/>
    <cellStyle name="Currency 4 5 3 3 4" xfId="1935"/>
    <cellStyle name="Currency 4 5 3 3 5" xfId="1936"/>
    <cellStyle name="Currency 4 5 3 4" xfId="1937"/>
    <cellStyle name="Currency 4 5 3 4 2" xfId="1938"/>
    <cellStyle name="Currency 4 5 3 4 3" xfId="1939"/>
    <cellStyle name="Currency 4 5 3 5" xfId="1940"/>
    <cellStyle name="Currency 4 5 3 6" xfId="1941"/>
    <cellStyle name="Currency 4 5 3 7" xfId="1942"/>
    <cellStyle name="Currency 4 5 4" xfId="1943"/>
    <cellStyle name="Currency 4 5 4 2" xfId="1944"/>
    <cellStyle name="Currency 4 5 4 2 2" xfId="1945"/>
    <cellStyle name="Currency 4 5 4 2 3" xfId="1946"/>
    <cellStyle name="Currency 4 5 4 3" xfId="1947"/>
    <cellStyle name="Currency 4 5 4 4" xfId="1948"/>
    <cellStyle name="Currency 4 5 4 5" xfId="1949"/>
    <cellStyle name="Currency 4 5 5" xfId="1950"/>
    <cellStyle name="Currency 4 5 5 2" xfId="1951"/>
    <cellStyle name="Currency 4 5 5 2 2" xfId="1952"/>
    <cellStyle name="Currency 4 5 5 2 3" xfId="1953"/>
    <cellStyle name="Currency 4 5 5 3" xfId="1954"/>
    <cellStyle name="Currency 4 5 5 4" xfId="1955"/>
    <cellStyle name="Currency 4 5 5 5" xfId="1956"/>
    <cellStyle name="Currency 4 5 6" xfId="1957"/>
    <cellStyle name="Currency 4 5 6 2" xfId="1958"/>
    <cellStyle name="Currency 4 5 6 3" xfId="1959"/>
    <cellStyle name="Currency 4 5 7" xfId="1960"/>
    <cellStyle name="Currency 4 5 8" xfId="1961"/>
    <cellStyle name="Currency 4 5 9" xfId="1962"/>
    <cellStyle name="Currency 4 6" xfId="1963"/>
    <cellStyle name="Currency 4 6 2" xfId="1964"/>
    <cellStyle name="Currency 4 6 2 2" xfId="1965"/>
    <cellStyle name="Currency 4 6 2 2 2" xfId="1966"/>
    <cellStyle name="Currency 4 6 2 2 2 2" xfId="1967"/>
    <cellStyle name="Currency 4 6 2 2 2 3" xfId="1968"/>
    <cellStyle name="Currency 4 6 2 2 3" xfId="1969"/>
    <cellStyle name="Currency 4 6 2 2 4" xfId="1970"/>
    <cellStyle name="Currency 4 6 2 2 5" xfId="1971"/>
    <cellStyle name="Currency 4 6 2 3" xfId="1972"/>
    <cellStyle name="Currency 4 6 2 3 2" xfId="1973"/>
    <cellStyle name="Currency 4 6 2 3 2 2" xfId="1974"/>
    <cellStyle name="Currency 4 6 2 3 2 3" xfId="1975"/>
    <cellStyle name="Currency 4 6 2 3 3" xfId="1976"/>
    <cellStyle name="Currency 4 6 2 3 4" xfId="1977"/>
    <cellStyle name="Currency 4 6 2 3 5" xfId="1978"/>
    <cellStyle name="Currency 4 6 2 4" xfId="1979"/>
    <cellStyle name="Currency 4 6 2 4 2" xfId="1980"/>
    <cellStyle name="Currency 4 6 2 4 3" xfId="1981"/>
    <cellStyle name="Currency 4 6 2 5" xfId="1982"/>
    <cellStyle name="Currency 4 6 2 6" xfId="1983"/>
    <cellStyle name="Currency 4 6 2 7" xfId="1984"/>
    <cellStyle name="Currency 4 6 3" xfId="1985"/>
    <cellStyle name="Currency 4 6 3 2" xfId="1986"/>
    <cellStyle name="Currency 4 6 3 2 2" xfId="1987"/>
    <cellStyle name="Currency 4 6 3 2 3" xfId="1988"/>
    <cellStyle name="Currency 4 6 3 3" xfId="1989"/>
    <cellStyle name="Currency 4 6 3 4" xfId="1990"/>
    <cellStyle name="Currency 4 6 3 5" xfId="1991"/>
    <cellStyle name="Currency 4 6 4" xfId="1992"/>
    <cellStyle name="Currency 4 6 4 2" xfId="1993"/>
    <cellStyle name="Currency 4 6 4 2 2" xfId="1994"/>
    <cellStyle name="Currency 4 6 4 2 3" xfId="1995"/>
    <cellStyle name="Currency 4 6 4 3" xfId="1996"/>
    <cellStyle name="Currency 4 6 4 4" xfId="1997"/>
    <cellStyle name="Currency 4 6 4 5" xfId="1998"/>
    <cellStyle name="Currency 4 6 5" xfId="1999"/>
    <cellStyle name="Currency 4 6 5 2" xfId="2000"/>
    <cellStyle name="Currency 4 6 5 3" xfId="2001"/>
    <cellStyle name="Currency 4 6 6" xfId="2002"/>
    <cellStyle name="Currency 4 6 7" xfId="2003"/>
    <cellStyle name="Currency 4 6 8" xfId="2004"/>
    <cellStyle name="Currency 4 7" xfId="2005"/>
    <cellStyle name="Currency 4 7 2" xfId="2006"/>
    <cellStyle name="Currency 4 7 2 2" xfId="2007"/>
    <cellStyle name="Currency 4 7 2 2 2" xfId="2008"/>
    <cellStyle name="Currency 4 7 2 2 3" xfId="2009"/>
    <cellStyle name="Currency 4 7 2 3" xfId="2010"/>
    <cellStyle name="Currency 4 7 2 4" xfId="2011"/>
    <cellStyle name="Currency 4 7 2 5" xfId="2012"/>
    <cellStyle name="Currency 4 7 3" xfId="2013"/>
    <cellStyle name="Currency 4 7 3 2" xfId="2014"/>
    <cellStyle name="Currency 4 7 3 2 2" xfId="2015"/>
    <cellStyle name="Currency 4 7 3 2 3" xfId="2016"/>
    <cellStyle name="Currency 4 7 3 3" xfId="2017"/>
    <cellStyle name="Currency 4 7 3 4" xfId="2018"/>
    <cellStyle name="Currency 4 7 3 5" xfId="2019"/>
    <cellStyle name="Currency 4 8" xfId="2020"/>
    <cellStyle name="Currency 4 8 2" xfId="2021"/>
    <cellStyle name="Currency 4 8 2 2" xfId="2022"/>
    <cellStyle name="Currency 4 8 2 2 2" xfId="2023"/>
    <cellStyle name="Currency 4 8 2 2 3" xfId="2024"/>
    <cellStyle name="Currency 4 8 2 3" xfId="2025"/>
    <cellStyle name="Currency 4 8 2 4" xfId="2026"/>
    <cellStyle name="Currency 4 8 2 5" xfId="2027"/>
    <cellStyle name="Currency 4 8 3" xfId="2028"/>
    <cellStyle name="Currency 4 8 3 2" xfId="2029"/>
    <cellStyle name="Currency 4 8 3 2 2" xfId="2030"/>
    <cellStyle name="Currency 4 8 3 2 3" xfId="2031"/>
    <cellStyle name="Currency 4 8 3 3" xfId="2032"/>
    <cellStyle name="Currency 4 8 3 4" xfId="2033"/>
    <cellStyle name="Currency 4 8 3 5" xfId="2034"/>
    <cellStyle name="Currency 4 8 4" xfId="2035"/>
    <cellStyle name="Currency 4 8 4 2" xfId="2036"/>
    <cellStyle name="Currency 4 8 4 3" xfId="2037"/>
    <cellStyle name="Currency 4 8 5" xfId="2038"/>
    <cellStyle name="Currency 4 8 6" xfId="2039"/>
    <cellStyle name="Currency 4 8 7" xfId="2040"/>
    <cellStyle name="Currency 4 9" xfId="2041"/>
    <cellStyle name="Currency 4 9 2" xfId="2042"/>
    <cellStyle name="Currency 4 9 2 2" xfId="2043"/>
    <cellStyle name="Currency 4 9 2 3" xfId="2044"/>
    <cellStyle name="Currency 4 9 3" xfId="2045"/>
    <cellStyle name="Currency 4 9 4" xfId="2046"/>
    <cellStyle name="Currency 4 9 5" xfId="2047"/>
    <cellStyle name="Currency 5" xfId="472"/>
    <cellStyle name="Currency 6" xfId="471"/>
    <cellStyle name="Currency 7" xfId="470"/>
    <cellStyle name="Currency 8" xfId="469"/>
    <cellStyle name="Currency 9" xfId="468"/>
    <cellStyle name="Currency Input" xfId="106"/>
    <cellStyle name="Currency0" xfId="107"/>
    <cellStyle name="Currency0 2" xfId="2048"/>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 2" xfId="2049"/>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Explanatory Text 2 2" xfId="2050"/>
    <cellStyle name="Explanatory Text 3" xfId="2051"/>
    <cellStyle name="Explanatory Text 4" xfId="2052"/>
    <cellStyle name="Explanatory Text 5" xfId="2053"/>
    <cellStyle name="Explanatory Text 6" xfId="2054"/>
    <cellStyle name="Explanatory Text 7" xfId="2055"/>
    <cellStyle name="Explanatory Text 8" xfId="2056"/>
    <cellStyle name="Explanatory Text 9" xfId="2057"/>
    <cellStyle name="Fixed" xfId="136"/>
    <cellStyle name="Fixed 2" xfId="2058"/>
    <cellStyle name="FOOTER - Style1" xfId="137"/>
    <cellStyle name="g" xfId="138"/>
    <cellStyle name="general" xfId="139"/>
    <cellStyle name="General [C]" xfId="140"/>
    <cellStyle name="General [R]" xfId="141"/>
    <cellStyle name="Good 2" xfId="592"/>
    <cellStyle name="Good 2 2" xfId="2059"/>
    <cellStyle name="Good 3" xfId="2060"/>
    <cellStyle name="Good 4" xfId="2061"/>
    <cellStyle name="Good 5" xfId="2062"/>
    <cellStyle name="Good 6" xfId="2063"/>
    <cellStyle name="Good 7" xfId="2064"/>
    <cellStyle name="Good 8" xfId="2065"/>
    <cellStyle name="Good 9" xfId="2066"/>
    <cellStyle name="Green" xfId="142"/>
    <cellStyle name="grey" xfId="143"/>
    <cellStyle name="Header1" xfId="144"/>
    <cellStyle name="Header2" xfId="145"/>
    <cellStyle name="Heading" xfId="146"/>
    <cellStyle name="Heading 1" xfId="147" builtinId="16" customBuiltin="1"/>
    <cellStyle name="Heading 1 2" xfId="2067"/>
    <cellStyle name="Heading 1 2 2" xfId="2068"/>
    <cellStyle name="Heading 1 3" xfId="2069"/>
    <cellStyle name="Heading 1 4" xfId="2070"/>
    <cellStyle name="Heading 1 5" xfId="2071"/>
    <cellStyle name="Heading 1 6" xfId="2072"/>
    <cellStyle name="Heading 1 7" xfId="2073"/>
    <cellStyle name="Heading 1 8" xfId="2074"/>
    <cellStyle name="Heading 2" xfId="148" builtinId="17" customBuiltin="1"/>
    <cellStyle name="Heading 2 2" xfId="149"/>
    <cellStyle name="Heading 2 2 2" xfId="2075"/>
    <cellStyle name="Heading 2 3" xfId="2076"/>
    <cellStyle name="Heading 2 4" xfId="2077"/>
    <cellStyle name="Heading 2 5" xfId="2078"/>
    <cellStyle name="Heading 2 6" xfId="2079"/>
    <cellStyle name="Heading 2 7" xfId="2080"/>
    <cellStyle name="Heading 2 8" xfId="2081"/>
    <cellStyle name="Heading 3 2" xfId="594"/>
    <cellStyle name="Heading 3 2 2" xfId="2082"/>
    <cellStyle name="Heading 3 3" xfId="2083"/>
    <cellStyle name="Heading 3 4" xfId="2084"/>
    <cellStyle name="Heading 3 5" xfId="2085"/>
    <cellStyle name="Heading 3 6" xfId="2086"/>
    <cellStyle name="Heading 3 7" xfId="2087"/>
    <cellStyle name="Heading 3 8" xfId="2088"/>
    <cellStyle name="Heading 3 9" xfId="2089"/>
    <cellStyle name="Heading 4 2" xfId="595"/>
    <cellStyle name="Heading 4 2 2" xfId="2090"/>
    <cellStyle name="Heading 4 3" xfId="2091"/>
    <cellStyle name="Heading 4 4" xfId="2092"/>
    <cellStyle name="Heading 4 5" xfId="2093"/>
    <cellStyle name="Heading 4 6" xfId="2094"/>
    <cellStyle name="Heading 4 7" xfId="2095"/>
    <cellStyle name="Heading 4 8" xfId="2096"/>
    <cellStyle name="Heading 4 9" xfId="2097"/>
    <cellStyle name="Heading 5" xfId="9381"/>
    <cellStyle name="Heading No Underline" xfId="150"/>
    <cellStyle name="Heading With Underline" xfId="151"/>
    <cellStyle name="Heading1" xfId="152"/>
    <cellStyle name="Heading1 2" xfId="938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2 2" xfId="2098"/>
    <cellStyle name="Input 3" xfId="643"/>
    <cellStyle name="Input 4" xfId="636"/>
    <cellStyle name="Input 5" xfId="2099"/>
    <cellStyle name="Input 6" xfId="2100"/>
    <cellStyle name="Input 7" xfId="2101"/>
    <cellStyle name="Input 8" xfId="2102"/>
    <cellStyle name="Input 9" xfId="2103"/>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Linked Cell 2 2" xfId="2104"/>
    <cellStyle name="Linked Cell 3" xfId="2105"/>
    <cellStyle name="Linked Cell 4" xfId="2106"/>
    <cellStyle name="Linked Cell 5" xfId="2107"/>
    <cellStyle name="Linked Cell 6" xfId="2108"/>
    <cellStyle name="Linked Cell 7" xfId="2109"/>
    <cellStyle name="Linked Cell 8" xfId="2110"/>
    <cellStyle name="Linked Cell 9" xfId="2111"/>
    <cellStyle name="m" xfId="174"/>
    <cellStyle name="m1" xfId="175"/>
    <cellStyle name="m2" xfId="176"/>
    <cellStyle name="m3" xfId="177"/>
    <cellStyle name="Multiple" xfId="178"/>
    <cellStyle name="Negative" xfId="179"/>
    <cellStyle name="Neutral 2" xfId="598"/>
    <cellStyle name="Neutral 2 2" xfId="2112"/>
    <cellStyle name="Neutral 3" xfId="2113"/>
    <cellStyle name="Neutral 4" xfId="2114"/>
    <cellStyle name="Neutral 5" xfId="2115"/>
    <cellStyle name="Neutral 6" xfId="2116"/>
    <cellStyle name="Neutral 7" xfId="2117"/>
    <cellStyle name="Neutral 8" xfId="2118"/>
    <cellStyle name="Neutral 9" xfId="2119"/>
    <cellStyle name="no dec" xfId="180"/>
    <cellStyle name="Normal" xfId="0" builtinId="0"/>
    <cellStyle name="Normal - Style1" xfId="181"/>
    <cellStyle name="Normal 10" xfId="182"/>
    <cellStyle name="Normal 10 10" xfId="844"/>
    <cellStyle name="Normal 10 10 2" xfId="9601"/>
    <cellStyle name="Normal 10 11" xfId="9383"/>
    <cellStyle name="Normal 10 2" xfId="367"/>
    <cellStyle name="Normal 10 2 2" xfId="701"/>
    <cellStyle name="Normal 10 2 2 2" xfId="929"/>
    <cellStyle name="Normal 10 2 2 2 2" xfId="9686"/>
    <cellStyle name="Normal 10 2 2 3" xfId="9470"/>
    <cellStyle name="Normal 10 2 3" xfId="785"/>
    <cellStyle name="Normal 10 2 3 2" xfId="1001"/>
    <cellStyle name="Normal 10 2 3 2 2" xfId="9758"/>
    <cellStyle name="Normal 10 2 3 3" xfId="9542"/>
    <cellStyle name="Normal 10 2 4" xfId="857"/>
    <cellStyle name="Normal 10 2 4 2" xfId="9614"/>
    <cellStyle name="Normal 10 2 5" xfId="9398"/>
    <cellStyle name="Normal 10 3" xfId="399"/>
    <cellStyle name="Normal 10 3 2" xfId="714"/>
    <cellStyle name="Normal 10 3 2 2" xfId="942"/>
    <cellStyle name="Normal 10 3 2 2 2" xfId="9699"/>
    <cellStyle name="Normal 10 3 2 3" xfId="9483"/>
    <cellStyle name="Normal 10 3 3" xfId="798"/>
    <cellStyle name="Normal 10 3 3 2" xfId="1014"/>
    <cellStyle name="Normal 10 3 3 2 2" xfId="9771"/>
    <cellStyle name="Normal 10 3 3 3" xfId="9555"/>
    <cellStyle name="Normal 10 3 4" xfId="870"/>
    <cellStyle name="Normal 10 3 4 2" xfId="9627"/>
    <cellStyle name="Normal 10 3 5" xfId="9411"/>
    <cellStyle name="Normal 10 4" xfId="615"/>
    <cellStyle name="Normal 10 4 2" xfId="731"/>
    <cellStyle name="Normal 10 4 2 2" xfId="959"/>
    <cellStyle name="Normal 10 4 2 2 2" xfId="9716"/>
    <cellStyle name="Normal 10 4 2 3" xfId="9500"/>
    <cellStyle name="Normal 10 4 3" xfId="815"/>
    <cellStyle name="Normal 10 4 3 2" xfId="1031"/>
    <cellStyle name="Normal 10 4 3 2 2" xfId="9788"/>
    <cellStyle name="Normal 10 4 3 3" xfId="9572"/>
    <cellStyle name="Normal 10 4 4" xfId="887"/>
    <cellStyle name="Normal 10 4 4 2" xfId="9644"/>
    <cellStyle name="Normal 10 4 5" xfId="9428"/>
    <cellStyle name="Normal 10 5" xfId="629"/>
    <cellStyle name="Normal 10 5 2" xfId="737"/>
    <cellStyle name="Normal 10 5 2 2" xfId="965"/>
    <cellStyle name="Normal 10 5 2 2 2" xfId="9722"/>
    <cellStyle name="Normal 10 5 2 3" xfId="9506"/>
    <cellStyle name="Normal 10 5 3" xfId="821"/>
    <cellStyle name="Normal 10 5 3 2" xfId="1037"/>
    <cellStyle name="Normal 10 5 3 2 2" xfId="9794"/>
    <cellStyle name="Normal 10 5 3 3" xfId="9578"/>
    <cellStyle name="Normal 10 5 4" xfId="893"/>
    <cellStyle name="Normal 10 5 4 2" xfId="9650"/>
    <cellStyle name="Normal 10 5 5" xfId="9434"/>
    <cellStyle name="Normal 10 6" xfId="648"/>
    <cellStyle name="Normal 10 6 2" xfId="753"/>
    <cellStyle name="Normal 10 6 2 2" xfId="969"/>
    <cellStyle name="Normal 10 6 2 2 2" xfId="9726"/>
    <cellStyle name="Normal 10 6 2 3" xfId="9510"/>
    <cellStyle name="Normal 10 6 3" xfId="825"/>
    <cellStyle name="Normal 10 6 3 2" xfId="1041"/>
    <cellStyle name="Normal 10 6 3 2 2" xfId="9798"/>
    <cellStyle name="Normal 10 6 3 3" xfId="9582"/>
    <cellStyle name="Normal 10 6 4" xfId="897"/>
    <cellStyle name="Normal 10 6 4 2" xfId="9654"/>
    <cellStyle name="Normal 10 6 5" xfId="9438"/>
    <cellStyle name="Normal 10 7" xfId="673"/>
    <cellStyle name="Normal 10 7 2" xfId="768"/>
    <cellStyle name="Normal 10 7 2 2" xfId="984"/>
    <cellStyle name="Normal 10 7 2 2 2" xfId="9741"/>
    <cellStyle name="Normal 10 7 2 3" xfId="9525"/>
    <cellStyle name="Normal 10 7 3" xfId="840"/>
    <cellStyle name="Normal 10 7 3 2" xfId="1056"/>
    <cellStyle name="Normal 10 7 3 2 2" xfId="9813"/>
    <cellStyle name="Normal 10 7 3 3" xfId="9597"/>
    <cellStyle name="Normal 10 7 4" xfId="912"/>
    <cellStyle name="Normal 10 7 4 2" xfId="9669"/>
    <cellStyle name="Normal 10 7 5" xfId="9453"/>
    <cellStyle name="Normal 10 8" xfId="687"/>
    <cellStyle name="Normal 10 8 2" xfId="916"/>
    <cellStyle name="Normal 10 8 2 2" xfId="9673"/>
    <cellStyle name="Normal 10 8 3" xfId="9457"/>
    <cellStyle name="Normal 10 9" xfId="772"/>
    <cellStyle name="Normal 10 9 2" xfId="988"/>
    <cellStyle name="Normal 10 9 2 2" xfId="9745"/>
    <cellStyle name="Normal 10 9 3" xfId="9529"/>
    <cellStyle name="Normal 11" xfId="183"/>
    <cellStyle name="Normal 11 2" xfId="616"/>
    <cellStyle name="Normal 11 2 2" xfId="732"/>
    <cellStyle name="Normal 11 2 2 2" xfId="960"/>
    <cellStyle name="Normal 11 2 2 2 2" xfId="9717"/>
    <cellStyle name="Normal 11 2 2 3" xfId="9501"/>
    <cellStyle name="Normal 11 2 3" xfId="816"/>
    <cellStyle name="Normal 11 2 3 2" xfId="1032"/>
    <cellStyle name="Normal 11 2 3 2 2" xfId="9789"/>
    <cellStyle name="Normal 11 2 3 3" xfId="9573"/>
    <cellStyle name="Normal 11 2 4" xfId="888"/>
    <cellStyle name="Normal 11 2 4 2" xfId="9645"/>
    <cellStyle name="Normal 11 2 5" xfId="9429"/>
    <cellStyle name="Normal 11 3" xfId="630"/>
    <cellStyle name="Normal 11 3 2" xfId="738"/>
    <cellStyle name="Normal 11 3 2 2" xfId="966"/>
    <cellStyle name="Normal 11 3 2 2 2" xfId="9723"/>
    <cellStyle name="Normal 11 3 2 3" xfId="9507"/>
    <cellStyle name="Normal 11 3 3" xfId="822"/>
    <cellStyle name="Normal 11 3 3 2" xfId="1038"/>
    <cellStyle name="Normal 11 3 3 2 2" xfId="9795"/>
    <cellStyle name="Normal 11 3 3 3" xfId="9579"/>
    <cellStyle name="Normal 11 3 4" xfId="894"/>
    <cellStyle name="Normal 11 3 4 2" xfId="9651"/>
    <cellStyle name="Normal 11 3 5" xfId="9435"/>
    <cellStyle name="Normal 11 4" xfId="674"/>
    <cellStyle name="Normal 11 4 2" xfId="769"/>
    <cellStyle name="Normal 11 4 2 2" xfId="985"/>
    <cellStyle name="Normal 11 4 2 2 2" xfId="9742"/>
    <cellStyle name="Normal 11 4 2 3" xfId="9526"/>
    <cellStyle name="Normal 11 4 3" xfId="841"/>
    <cellStyle name="Normal 11 4 3 2" xfId="1057"/>
    <cellStyle name="Normal 11 4 3 2 2" xfId="9814"/>
    <cellStyle name="Normal 11 4 3 3" xfId="9598"/>
    <cellStyle name="Normal 11 4 4" xfId="913"/>
    <cellStyle name="Normal 11 4 4 2" xfId="9670"/>
    <cellStyle name="Normal 11 4 5" xfId="9454"/>
    <cellStyle name="Normal 12" xfId="365"/>
    <cellStyle name="Normal 12 2" xfId="617"/>
    <cellStyle name="Normal 12 3" xfId="700"/>
    <cellStyle name="Normal 12 4" xfId="1060"/>
    <cellStyle name="Normal 12 4 2" xfId="9817"/>
    <cellStyle name="Normal 13" xfId="467"/>
    <cellStyle name="Normal 13 2" xfId="2120"/>
    <cellStyle name="Normal 13 2 2" xfId="2121"/>
    <cellStyle name="Normal 13 2 3" xfId="2122"/>
    <cellStyle name="Normal 13 3" xfId="2123"/>
    <cellStyle name="Normal 13 4" xfId="2124"/>
    <cellStyle name="Normal 13 5" xfId="2125"/>
    <cellStyle name="Normal 14" xfId="466"/>
    <cellStyle name="Normal 14 2" xfId="2126"/>
    <cellStyle name="Normal 15" xfId="465"/>
    <cellStyle name="Normal 16" xfId="464"/>
    <cellStyle name="Normal 16 2" xfId="2127"/>
    <cellStyle name="Normal 17" xfId="463"/>
    <cellStyle name="Normal 17 2" xfId="2128"/>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19 2 2" xfId="2129"/>
    <cellStyle name="Normal 19 3" xfId="2130"/>
    <cellStyle name="Normal 2" xfId="184"/>
    <cellStyle name="Normal 2 2" xfId="185"/>
    <cellStyle name="Normal 2 2 2" xfId="451"/>
    <cellStyle name="Normal 2 2 3" xfId="619"/>
    <cellStyle name="Normal 2 2 3 2" xfId="733"/>
    <cellStyle name="Normal 2 2 3 2 2" xfId="961"/>
    <cellStyle name="Normal 2 2 3 2 2 2" xfId="9718"/>
    <cellStyle name="Normal 2 2 3 2 3" xfId="9502"/>
    <cellStyle name="Normal 2 2 3 3" xfId="817"/>
    <cellStyle name="Normal 2 2 3 3 2" xfId="1033"/>
    <cellStyle name="Normal 2 2 3 3 2 2" xfId="9790"/>
    <cellStyle name="Normal 2 2 3 3 3" xfId="9574"/>
    <cellStyle name="Normal 2 2 3 4" xfId="889"/>
    <cellStyle name="Normal 2 2 3 4 2" xfId="9646"/>
    <cellStyle name="Normal 2 2 3 5" xfId="9430"/>
    <cellStyle name="Normal 2 2 4" xfId="631"/>
    <cellStyle name="Normal 2 2 4 2" xfId="739"/>
    <cellStyle name="Normal 2 2 4 2 2" xfId="967"/>
    <cellStyle name="Normal 2 2 4 2 2 2" xfId="9724"/>
    <cellStyle name="Normal 2 2 4 2 3" xfId="9508"/>
    <cellStyle name="Normal 2 2 4 3" xfId="823"/>
    <cellStyle name="Normal 2 2 4 3 2" xfId="1039"/>
    <cellStyle name="Normal 2 2 4 3 2 2" xfId="9796"/>
    <cellStyle name="Normal 2 2 4 3 3" xfId="9580"/>
    <cellStyle name="Normal 2 2 4 4" xfId="895"/>
    <cellStyle name="Normal 2 2 4 4 2" xfId="9652"/>
    <cellStyle name="Normal 2 2 4 5" xfId="9436"/>
    <cellStyle name="Normal 2 2 5" xfId="675"/>
    <cellStyle name="Normal 2 2 5 2" xfId="770"/>
    <cellStyle name="Normal 2 2 5 2 2" xfId="986"/>
    <cellStyle name="Normal 2 2 5 2 2 2" xfId="9743"/>
    <cellStyle name="Normal 2 2 5 2 3" xfId="9527"/>
    <cellStyle name="Normal 2 2 5 3" xfId="842"/>
    <cellStyle name="Normal 2 2 5 3 2" xfId="1058"/>
    <cellStyle name="Normal 2 2 5 3 2 2" xfId="9815"/>
    <cellStyle name="Normal 2 2 5 3 3" xfId="9599"/>
    <cellStyle name="Normal 2 2 5 4" xfId="914"/>
    <cellStyle name="Normal 2 2 5 4 2" xfId="9671"/>
    <cellStyle name="Normal 2 2 5 5" xfId="9455"/>
    <cellStyle name="Normal 2 3" xfId="450"/>
    <cellStyle name="Normal 2 4" xfId="618"/>
    <cellStyle name="Normal 20" xfId="449"/>
    <cellStyle name="Normal 20 2" xfId="448"/>
    <cellStyle name="Normal 21" xfId="447"/>
    <cellStyle name="Normal 21 2" xfId="446"/>
    <cellStyle name="Normal 22" xfId="556"/>
    <cellStyle name="Normal 23" xfId="634"/>
    <cellStyle name="Normal 23 2" xfId="741"/>
    <cellStyle name="Normal 24" xfId="647"/>
    <cellStyle name="Normal 24 2" xfId="752"/>
    <cellStyle name="Normal 25" xfId="2131"/>
    <cellStyle name="Normal 26" xfId="2132"/>
    <cellStyle name="Normal 26 2" xfId="2133"/>
    <cellStyle name="Normal 27" xfId="2134"/>
    <cellStyle name="Normal 28" xfId="2135"/>
    <cellStyle name="Normal 29" xfId="2136"/>
    <cellStyle name="Normal 29 2" xfId="2137"/>
    <cellStyle name="Normal 29 3" xfId="2138"/>
    <cellStyle name="Normal 3" xfId="186"/>
    <cellStyle name="Normal 3 2" xfId="187"/>
    <cellStyle name="Normal 3 3" xfId="620"/>
    <cellStyle name="Normal 3_Attach O, GG, Support -New Method 2-14-11" xfId="188"/>
    <cellStyle name="Normal 30" xfId="2139"/>
    <cellStyle name="Normal 30 2" xfId="2140"/>
    <cellStyle name="Normal 31" xfId="2141"/>
    <cellStyle name="Normal 31 2" xfId="2142"/>
    <cellStyle name="Normal 32" xfId="2143"/>
    <cellStyle name="Normal 32 2" xfId="2144"/>
    <cellStyle name="Normal 33" xfId="2145"/>
    <cellStyle name="Normal 33 2" xfId="2146"/>
    <cellStyle name="Normal 34" xfId="2147"/>
    <cellStyle name="Normal 34 2" xfId="2148"/>
    <cellStyle name="Normal 35" xfId="9380"/>
    <cellStyle name="Normal 4" xfId="189"/>
    <cellStyle name="Normal 4 10" xfId="2149"/>
    <cellStyle name="Normal 4 10 2" xfId="2150"/>
    <cellStyle name="Normal 4 10 2 2" xfId="2151"/>
    <cellStyle name="Normal 4 10 2 2 2" xfId="2152"/>
    <cellStyle name="Normal 4 10 2 2 2 2" xfId="2153"/>
    <cellStyle name="Normal 4 10 2 2 2 3" xfId="2154"/>
    <cellStyle name="Normal 4 10 2 2 3" xfId="2155"/>
    <cellStyle name="Normal 4 10 2 2 4" xfId="2156"/>
    <cellStyle name="Normal 4 10 2 2 5" xfId="2157"/>
    <cellStyle name="Normal 4 10 2 3" xfId="2158"/>
    <cellStyle name="Normal 4 10 2 3 2" xfId="2159"/>
    <cellStyle name="Normal 4 10 2 3 2 2" xfId="2160"/>
    <cellStyle name="Normal 4 10 2 3 2 3" xfId="2161"/>
    <cellStyle name="Normal 4 10 2 3 3" xfId="2162"/>
    <cellStyle name="Normal 4 10 2 3 4" xfId="2163"/>
    <cellStyle name="Normal 4 10 2 3 5" xfId="2164"/>
    <cellStyle name="Normal 4 10 2 4" xfId="2165"/>
    <cellStyle name="Normal 4 10 2 4 2" xfId="2166"/>
    <cellStyle name="Normal 4 10 2 4 3" xfId="2167"/>
    <cellStyle name="Normal 4 10 2 5" xfId="2168"/>
    <cellStyle name="Normal 4 10 2 6" xfId="2169"/>
    <cellStyle name="Normal 4 10 2 7" xfId="2170"/>
    <cellStyle name="Normal 4 10 3" xfId="2171"/>
    <cellStyle name="Normal 4 10 3 2" xfId="2172"/>
    <cellStyle name="Normal 4 10 3 2 2" xfId="2173"/>
    <cellStyle name="Normal 4 10 3 2 3" xfId="2174"/>
    <cellStyle name="Normal 4 10 3 3" xfId="2175"/>
    <cellStyle name="Normal 4 10 3 4" xfId="2176"/>
    <cellStyle name="Normal 4 10 3 5" xfId="2177"/>
    <cellStyle name="Normal 4 10 4" xfId="2178"/>
    <cellStyle name="Normal 4 10 4 2" xfId="2179"/>
    <cellStyle name="Normal 4 10 4 2 2" xfId="2180"/>
    <cellStyle name="Normal 4 10 4 2 3" xfId="2181"/>
    <cellStyle name="Normal 4 10 4 3" xfId="2182"/>
    <cellStyle name="Normal 4 10 4 4" xfId="2183"/>
    <cellStyle name="Normal 4 10 4 5" xfId="2184"/>
    <cellStyle name="Normal 4 10 5" xfId="2185"/>
    <cellStyle name="Normal 4 10 5 2" xfId="2186"/>
    <cellStyle name="Normal 4 10 5 3" xfId="2187"/>
    <cellStyle name="Normal 4 10 6" xfId="2188"/>
    <cellStyle name="Normal 4 10 7" xfId="2189"/>
    <cellStyle name="Normal 4 10 8" xfId="2190"/>
    <cellStyle name="Normal 4 11" xfId="2191"/>
    <cellStyle name="Normal 4 11 2" xfId="2192"/>
    <cellStyle name="Normal 4 11 2 2" xfId="2193"/>
    <cellStyle name="Normal 4 11 2 2 2" xfId="2194"/>
    <cellStyle name="Normal 4 11 2 2 3" xfId="2195"/>
    <cellStyle name="Normal 4 11 2 3" xfId="2196"/>
    <cellStyle name="Normal 4 11 2 4" xfId="2197"/>
    <cellStyle name="Normal 4 11 2 5" xfId="2198"/>
    <cellStyle name="Normal 4 11 3" xfId="2199"/>
    <cellStyle name="Normal 4 11 3 2" xfId="2200"/>
    <cellStyle name="Normal 4 11 3 2 2" xfId="2201"/>
    <cellStyle name="Normal 4 11 3 2 3" xfId="2202"/>
    <cellStyle name="Normal 4 11 3 3" xfId="2203"/>
    <cellStyle name="Normal 4 11 3 4" xfId="2204"/>
    <cellStyle name="Normal 4 11 3 5" xfId="2205"/>
    <cellStyle name="Normal 4 11 4" xfId="2206"/>
    <cellStyle name="Normal 4 11 4 2" xfId="2207"/>
    <cellStyle name="Normal 4 11 4 3" xfId="2208"/>
    <cellStyle name="Normal 4 11 5" xfId="2209"/>
    <cellStyle name="Normal 4 11 6" xfId="2210"/>
    <cellStyle name="Normal 4 11 7" xfId="2211"/>
    <cellStyle name="Normal 4 12" xfId="2212"/>
    <cellStyle name="Normal 4 12 2" xfId="2213"/>
    <cellStyle name="Normal 4 12 2 2" xfId="2214"/>
    <cellStyle name="Normal 4 12 2 2 2" xfId="2215"/>
    <cellStyle name="Normal 4 12 2 2 3" xfId="2216"/>
    <cellStyle name="Normal 4 12 2 3" xfId="2217"/>
    <cellStyle name="Normal 4 12 2 4" xfId="2218"/>
    <cellStyle name="Normal 4 12 2 5" xfId="2219"/>
    <cellStyle name="Normal 4 12 3" xfId="2220"/>
    <cellStyle name="Normal 4 12 3 2" xfId="2221"/>
    <cellStyle name="Normal 4 12 3 2 2" xfId="2222"/>
    <cellStyle name="Normal 4 12 3 2 3" xfId="2223"/>
    <cellStyle name="Normal 4 12 3 3" xfId="2224"/>
    <cellStyle name="Normal 4 12 3 4" xfId="2225"/>
    <cellStyle name="Normal 4 12 3 5" xfId="2226"/>
    <cellStyle name="Normal 4 12 4" xfId="2227"/>
    <cellStyle name="Normal 4 12 4 2" xfId="2228"/>
    <cellStyle name="Normal 4 12 4 3" xfId="2229"/>
    <cellStyle name="Normal 4 12 5" xfId="2230"/>
    <cellStyle name="Normal 4 12 6" xfId="2231"/>
    <cellStyle name="Normal 4 12 7" xfId="2232"/>
    <cellStyle name="Normal 4 13" xfId="2233"/>
    <cellStyle name="Normal 4 13 2" xfId="2234"/>
    <cellStyle name="Normal 4 13 2 2" xfId="2235"/>
    <cellStyle name="Normal 4 13 2 3" xfId="2236"/>
    <cellStyle name="Normal 4 13 3" xfId="2237"/>
    <cellStyle name="Normal 4 13 4" xfId="2238"/>
    <cellStyle name="Normal 4 13 5" xfId="2239"/>
    <cellStyle name="Normal 4 14" xfId="2240"/>
    <cellStyle name="Normal 4 14 2" xfId="2241"/>
    <cellStyle name="Normal 4 14 2 2" xfId="2242"/>
    <cellStyle name="Normal 4 14 2 3" xfId="2243"/>
    <cellStyle name="Normal 4 14 3" xfId="2244"/>
    <cellStyle name="Normal 4 14 4" xfId="2245"/>
    <cellStyle name="Normal 4 14 5" xfId="2246"/>
    <cellStyle name="Normal 4 2" xfId="190"/>
    <cellStyle name="Normal 4 2 10" xfId="2247"/>
    <cellStyle name="Normal 4 2 10 2" xfId="2248"/>
    <cellStyle name="Normal 4 2 10 2 2" xfId="2249"/>
    <cellStyle name="Normal 4 2 10 2 2 2" xfId="2250"/>
    <cellStyle name="Normal 4 2 10 2 2 3" xfId="2251"/>
    <cellStyle name="Normal 4 2 10 2 3" xfId="2252"/>
    <cellStyle name="Normal 4 2 10 2 4" xfId="2253"/>
    <cellStyle name="Normal 4 2 10 2 5" xfId="2254"/>
    <cellStyle name="Normal 4 2 10 3" xfId="2255"/>
    <cellStyle name="Normal 4 2 10 3 2" xfId="2256"/>
    <cellStyle name="Normal 4 2 10 3 2 2" xfId="2257"/>
    <cellStyle name="Normal 4 2 10 3 2 3" xfId="2258"/>
    <cellStyle name="Normal 4 2 10 3 3" xfId="2259"/>
    <cellStyle name="Normal 4 2 10 3 4" xfId="2260"/>
    <cellStyle name="Normal 4 2 10 3 5" xfId="2261"/>
    <cellStyle name="Normal 4 2 10 4" xfId="2262"/>
    <cellStyle name="Normal 4 2 10 4 2" xfId="2263"/>
    <cellStyle name="Normal 4 2 10 4 3" xfId="2264"/>
    <cellStyle name="Normal 4 2 10 5" xfId="2265"/>
    <cellStyle name="Normal 4 2 10 6" xfId="2266"/>
    <cellStyle name="Normal 4 2 10 7" xfId="2267"/>
    <cellStyle name="Normal 4 2 11" xfId="2268"/>
    <cellStyle name="Normal 4 2 11 2" xfId="2269"/>
    <cellStyle name="Normal 4 2 11 2 2" xfId="2270"/>
    <cellStyle name="Normal 4 2 11 2 3" xfId="2271"/>
    <cellStyle name="Normal 4 2 11 3" xfId="2272"/>
    <cellStyle name="Normal 4 2 11 4" xfId="2273"/>
    <cellStyle name="Normal 4 2 11 5" xfId="2274"/>
    <cellStyle name="Normal 4 2 12" xfId="2275"/>
    <cellStyle name="Normal 4 2 12 2" xfId="2276"/>
    <cellStyle name="Normal 4 2 12 2 2" xfId="2277"/>
    <cellStyle name="Normal 4 2 12 2 3" xfId="2278"/>
    <cellStyle name="Normal 4 2 12 3" xfId="2279"/>
    <cellStyle name="Normal 4 2 12 4" xfId="2280"/>
    <cellStyle name="Normal 4 2 12 5" xfId="2281"/>
    <cellStyle name="Normal 4 2 2" xfId="445"/>
    <cellStyle name="Normal 4 2 2 10" xfId="2282"/>
    <cellStyle name="Normal 4 2 2 10 2" xfId="2283"/>
    <cellStyle name="Normal 4 2 2 10 2 2" xfId="2284"/>
    <cellStyle name="Normal 4 2 2 10 2 3" xfId="2285"/>
    <cellStyle name="Normal 4 2 2 10 3" xfId="2286"/>
    <cellStyle name="Normal 4 2 2 10 4" xfId="2287"/>
    <cellStyle name="Normal 4 2 2 10 5" xfId="2288"/>
    <cellStyle name="Normal 4 2 2 11" xfId="2289"/>
    <cellStyle name="Normal 4 2 2 11 2" xfId="2290"/>
    <cellStyle name="Normal 4 2 2 11 3" xfId="2291"/>
    <cellStyle name="Normal 4 2 2 12" xfId="2292"/>
    <cellStyle name="Normal 4 2 2 13" xfId="2293"/>
    <cellStyle name="Normal 4 2 2 14" xfId="2294"/>
    <cellStyle name="Normal 4 2 2 2" xfId="2295"/>
    <cellStyle name="Normal 4 2 2 2 10" xfId="2296"/>
    <cellStyle name="Normal 4 2 2 2 10 2" xfId="2297"/>
    <cellStyle name="Normal 4 2 2 2 10 3" xfId="2298"/>
    <cellStyle name="Normal 4 2 2 2 11" xfId="2299"/>
    <cellStyle name="Normal 4 2 2 2 12" xfId="2300"/>
    <cellStyle name="Normal 4 2 2 2 13" xfId="2301"/>
    <cellStyle name="Normal 4 2 2 2 2" xfId="2302"/>
    <cellStyle name="Normal 4 2 2 2 2 2" xfId="2303"/>
    <cellStyle name="Normal 4 2 2 2 2 2 2" xfId="2304"/>
    <cellStyle name="Normal 4 2 2 2 2 2 2 2" xfId="2305"/>
    <cellStyle name="Normal 4 2 2 2 2 2 2 2 2" xfId="2306"/>
    <cellStyle name="Normal 4 2 2 2 2 2 2 2 2 2" xfId="2307"/>
    <cellStyle name="Normal 4 2 2 2 2 2 2 2 2 3" xfId="2308"/>
    <cellStyle name="Normal 4 2 2 2 2 2 2 2 3" xfId="2309"/>
    <cellStyle name="Normal 4 2 2 2 2 2 2 2 4" xfId="2310"/>
    <cellStyle name="Normal 4 2 2 2 2 2 2 2 5" xfId="2311"/>
    <cellStyle name="Normal 4 2 2 2 2 2 2 3" xfId="2312"/>
    <cellStyle name="Normal 4 2 2 2 2 2 2 3 2" xfId="2313"/>
    <cellStyle name="Normal 4 2 2 2 2 2 2 3 2 2" xfId="2314"/>
    <cellStyle name="Normal 4 2 2 2 2 2 2 3 2 3" xfId="2315"/>
    <cellStyle name="Normal 4 2 2 2 2 2 2 3 3" xfId="2316"/>
    <cellStyle name="Normal 4 2 2 2 2 2 2 3 4" xfId="2317"/>
    <cellStyle name="Normal 4 2 2 2 2 2 2 3 5" xfId="2318"/>
    <cellStyle name="Normal 4 2 2 2 2 2 2 4" xfId="2319"/>
    <cellStyle name="Normal 4 2 2 2 2 2 2 4 2" xfId="2320"/>
    <cellStyle name="Normal 4 2 2 2 2 2 2 4 3" xfId="2321"/>
    <cellStyle name="Normal 4 2 2 2 2 2 2 5" xfId="2322"/>
    <cellStyle name="Normal 4 2 2 2 2 2 2 6" xfId="2323"/>
    <cellStyle name="Normal 4 2 2 2 2 2 2 7" xfId="2324"/>
    <cellStyle name="Normal 4 2 2 2 2 2 3" xfId="2325"/>
    <cellStyle name="Normal 4 2 2 2 2 2 3 2" xfId="2326"/>
    <cellStyle name="Normal 4 2 2 2 2 2 3 2 2" xfId="2327"/>
    <cellStyle name="Normal 4 2 2 2 2 2 3 2 3" xfId="2328"/>
    <cellStyle name="Normal 4 2 2 2 2 2 3 3" xfId="2329"/>
    <cellStyle name="Normal 4 2 2 2 2 2 3 4" xfId="2330"/>
    <cellStyle name="Normal 4 2 2 2 2 2 3 5" xfId="2331"/>
    <cellStyle name="Normal 4 2 2 2 2 2 4" xfId="2332"/>
    <cellStyle name="Normal 4 2 2 2 2 2 4 2" xfId="2333"/>
    <cellStyle name="Normal 4 2 2 2 2 2 4 2 2" xfId="2334"/>
    <cellStyle name="Normal 4 2 2 2 2 2 4 2 3" xfId="2335"/>
    <cellStyle name="Normal 4 2 2 2 2 2 4 3" xfId="2336"/>
    <cellStyle name="Normal 4 2 2 2 2 2 4 4" xfId="2337"/>
    <cellStyle name="Normal 4 2 2 2 2 2 4 5" xfId="2338"/>
    <cellStyle name="Normal 4 2 2 2 2 2 5" xfId="2339"/>
    <cellStyle name="Normal 4 2 2 2 2 2 5 2" xfId="2340"/>
    <cellStyle name="Normal 4 2 2 2 2 2 5 3" xfId="2341"/>
    <cellStyle name="Normal 4 2 2 2 2 2 6" xfId="2342"/>
    <cellStyle name="Normal 4 2 2 2 2 2 7" xfId="2343"/>
    <cellStyle name="Normal 4 2 2 2 2 2 8" xfId="2344"/>
    <cellStyle name="Normal 4 2 2 2 2 3" xfId="2345"/>
    <cellStyle name="Normal 4 2 2 2 2 3 2" xfId="2346"/>
    <cellStyle name="Normal 4 2 2 2 2 3 2 2" xfId="2347"/>
    <cellStyle name="Normal 4 2 2 2 2 3 2 2 2" xfId="2348"/>
    <cellStyle name="Normal 4 2 2 2 2 3 2 2 3" xfId="2349"/>
    <cellStyle name="Normal 4 2 2 2 2 3 2 3" xfId="2350"/>
    <cellStyle name="Normal 4 2 2 2 2 3 2 4" xfId="2351"/>
    <cellStyle name="Normal 4 2 2 2 2 3 2 5" xfId="2352"/>
    <cellStyle name="Normal 4 2 2 2 2 3 3" xfId="2353"/>
    <cellStyle name="Normal 4 2 2 2 2 3 3 2" xfId="2354"/>
    <cellStyle name="Normal 4 2 2 2 2 3 3 2 2" xfId="2355"/>
    <cellStyle name="Normal 4 2 2 2 2 3 3 2 3" xfId="2356"/>
    <cellStyle name="Normal 4 2 2 2 2 3 3 3" xfId="2357"/>
    <cellStyle name="Normal 4 2 2 2 2 3 3 4" xfId="2358"/>
    <cellStyle name="Normal 4 2 2 2 2 3 3 5" xfId="2359"/>
    <cellStyle name="Normal 4 2 2 2 2 3 4" xfId="2360"/>
    <cellStyle name="Normal 4 2 2 2 2 3 4 2" xfId="2361"/>
    <cellStyle name="Normal 4 2 2 2 2 3 4 3" xfId="2362"/>
    <cellStyle name="Normal 4 2 2 2 2 3 5" xfId="2363"/>
    <cellStyle name="Normal 4 2 2 2 2 3 6" xfId="2364"/>
    <cellStyle name="Normal 4 2 2 2 2 3 7" xfId="2365"/>
    <cellStyle name="Normal 4 2 2 2 2 4" xfId="2366"/>
    <cellStyle name="Normal 4 2 2 2 2 4 2" xfId="2367"/>
    <cellStyle name="Normal 4 2 2 2 2 4 2 2" xfId="2368"/>
    <cellStyle name="Normal 4 2 2 2 2 4 2 3" xfId="2369"/>
    <cellStyle name="Normal 4 2 2 2 2 4 3" xfId="2370"/>
    <cellStyle name="Normal 4 2 2 2 2 4 4" xfId="2371"/>
    <cellStyle name="Normal 4 2 2 2 2 4 5" xfId="2372"/>
    <cellStyle name="Normal 4 2 2 2 2 5" xfId="2373"/>
    <cellStyle name="Normal 4 2 2 2 2 5 2" xfId="2374"/>
    <cellStyle name="Normal 4 2 2 2 2 5 2 2" xfId="2375"/>
    <cellStyle name="Normal 4 2 2 2 2 5 2 3" xfId="2376"/>
    <cellStyle name="Normal 4 2 2 2 2 5 3" xfId="2377"/>
    <cellStyle name="Normal 4 2 2 2 2 5 4" xfId="2378"/>
    <cellStyle name="Normal 4 2 2 2 2 5 5" xfId="2379"/>
    <cellStyle name="Normal 4 2 2 2 2 6" xfId="2380"/>
    <cellStyle name="Normal 4 2 2 2 2 6 2" xfId="2381"/>
    <cellStyle name="Normal 4 2 2 2 2 6 3" xfId="2382"/>
    <cellStyle name="Normal 4 2 2 2 2 7" xfId="2383"/>
    <cellStyle name="Normal 4 2 2 2 2 8" xfId="2384"/>
    <cellStyle name="Normal 4 2 2 2 2 9" xfId="2385"/>
    <cellStyle name="Normal 4 2 2 2 3" xfId="2386"/>
    <cellStyle name="Normal 4 2 2 2 3 2" xfId="2387"/>
    <cellStyle name="Normal 4 2 2 2 3 2 2" xfId="2388"/>
    <cellStyle name="Normal 4 2 2 2 3 2 2 2" xfId="2389"/>
    <cellStyle name="Normal 4 2 2 2 3 2 2 2 2" xfId="2390"/>
    <cellStyle name="Normal 4 2 2 2 3 2 2 2 2 2" xfId="2391"/>
    <cellStyle name="Normal 4 2 2 2 3 2 2 2 2 3" xfId="2392"/>
    <cellStyle name="Normal 4 2 2 2 3 2 2 2 3" xfId="2393"/>
    <cellStyle name="Normal 4 2 2 2 3 2 2 2 4" xfId="2394"/>
    <cellStyle name="Normal 4 2 2 2 3 2 2 2 5" xfId="2395"/>
    <cellStyle name="Normal 4 2 2 2 3 2 2 3" xfId="2396"/>
    <cellStyle name="Normal 4 2 2 2 3 2 2 3 2" xfId="2397"/>
    <cellStyle name="Normal 4 2 2 2 3 2 2 3 2 2" xfId="2398"/>
    <cellStyle name="Normal 4 2 2 2 3 2 2 3 2 3" xfId="2399"/>
    <cellStyle name="Normal 4 2 2 2 3 2 2 3 3" xfId="2400"/>
    <cellStyle name="Normal 4 2 2 2 3 2 2 3 4" xfId="2401"/>
    <cellStyle name="Normal 4 2 2 2 3 2 2 3 5" xfId="2402"/>
    <cellStyle name="Normal 4 2 2 2 3 2 2 4" xfId="2403"/>
    <cellStyle name="Normal 4 2 2 2 3 2 2 4 2" xfId="2404"/>
    <cellStyle name="Normal 4 2 2 2 3 2 2 4 3" xfId="2405"/>
    <cellStyle name="Normal 4 2 2 2 3 2 2 5" xfId="2406"/>
    <cellStyle name="Normal 4 2 2 2 3 2 2 6" xfId="2407"/>
    <cellStyle name="Normal 4 2 2 2 3 2 2 7" xfId="2408"/>
    <cellStyle name="Normal 4 2 2 2 3 2 3" xfId="2409"/>
    <cellStyle name="Normal 4 2 2 2 3 2 3 2" xfId="2410"/>
    <cellStyle name="Normal 4 2 2 2 3 2 3 2 2" xfId="2411"/>
    <cellStyle name="Normal 4 2 2 2 3 2 3 2 3" xfId="2412"/>
    <cellStyle name="Normal 4 2 2 2 3 2 3 3" xfId="2413"/>
    <cellStyle name="Normal 4 2 2 2 3 2 3 4" xfId="2414"/>
    <cellStyle name="Normal 4 2 2 2 3 2 3 5" xfId="2415"/>
    <cellStyle name="Normal 4 2 2 2 3 2 4" xfId="2416"/>
    <cellStyle name="Normal 4 2 2 2 3 2 4 2" xfId="2417"/>
    <cellStyle name="Normal 4 2 2 2 3 2 4 2 2" xfId="2418"/>
    <cellStyle name="Normal 4 2 2 2 3 2 4 2 3" xfId="2419"/>
    <cellStyle name="Normal 4 2 2 2 3 2 4 3" xfId="2420"/>
    <cellStyle name="Normal 4 2 2 2 3 2 4 4" xfId="2421"/>
    <cellStyle name="Normal 4 2 2 2 3 2 4 5" xfId="2422"/>
    <cellStyle name="Normal 4 2 2 2 3 2 5" xfId="2423"/>
    <cellStyle name="Normal 4 2 2 2 3 2 5 2" xfId="2424"/>
    <cellStyle name="Normal 4 2 2 2 3 2 5 3" xfId="2425"/>
    <cellStyle name="Normal 4 2 2 2 3 2 6" xfId="2426"/>
    <cellStyle name="Normal 4 2 2 2 3 2 7" xfId="2427"/>
    <cellStyle name="Normal 4 2 2 2 3 2 8" xfId="2428"/>
    <cellStyle name="Normal 4 2 2 2 3 3" xfId="2429"/>
    <cellStyle name="Normal 4 2 2 2 3 3 2" xfId="2430"/>
    <cellStyle name="Normal 4 2 2 2 3 3 2 2" xfId="2431"/>
    <cellStyle name="Normal 4 2 2 2 3 3 2 2 2" xfId="2432"/>
    <cellStyle name="Normal 4 2 2 2 3 3 2 2 3" xfId="2433"/>
    <cellStyle name="Normal 4 2 2 2 3 3 2 3" xfId="2434"/>
    <cellStyle name="Normal 4 2 2 2 3 3 2 4" xfId="2435"/>
    <cellStyle name="Normal 4 2 2 2 3 3 2 5" xfId="2436"/>
    <cellStyle name="Normal 4 2 2 2 3 3 3" xfId="2437"/>
    <cellStyle name="Normal 4 2 2 2 3 3 3 2" xfId="2438"/>
    <cellStyle name="Normal 4 2 2 2 3 3 3 2 2" xfId="2439"/>
    <cellStyle name="Normal 4 2 2 2 3 3 3 2 3" xfId="2440"/>
    <cellStyle name="Normal 4 2 2 2 3 3 3 3" xfId="2441"/>
    <cellStyle name="Normal 4 2 2 2 3 3 3 4" xfId="2442"/>
    <cellStyle name="Normal 4 2 2 2 3 3 3 5" xfId="2443"/>
    <cellStyle name="Normal 4 2 2 2 3 3 4" xfId="2444"/>
    <cellStyle name="Normal 4 2 2 2 3 3 4 2" xfId="2445"/>
    <cellStyle name="Normal 4 2 2 2 3 3 4 3" xfId="2446"/>
    <cellStyle name="Normal 4 2 2 2 3 3 5" xfId="2447"/>
    <cellStyle name="Normal 4 2 2 2 3 3 6" xfId="2448"/>
    <cellStyle name="Normal 4 2 2 2 3 3 7" xfId="2449"/>
    <cellStyle name="Normal 4 2 2 2 3 4" xfId="2450"/>
    <cellStyle name="Normal 4 2 2 2 3 4 2" xfId="2451"/>
    <cellStyle name="Normal 4 2 2 2 3 4 2 2" xfId="2452"/>
    <cellStyle name="Normal 4 2 2 2 3 4 2 3" xfId="2453"/>
    <cellStyle name="Normal 4 2 2 2 3 4 3" xfId="2454"/>
    <cellStyle name="Normal 4 2 2 2 3 4 4" xfId="2455"/>
    <cellStyle name="Normal 4 2 2 2 3 4 5" xfId="2456"/>
    <cellStyle name="Normal 4 2 2 2 3 5" xfId="2457"/>
    <cellStyle name="Normal 4 2 2 2 3 5 2" xfId="2458"/>
    <cellStyle name="Normal 4 2 2 2 3 5 2 2" xfId="2459"/>
    <cellStyle name="Normal 4 2 2 2 3 5 2 3" xfId="2460"/>
    <cellStyle name="Normal 4 2 2 2 3 5 3" xfId="2461"/>
    <cellStyle name="Normal 4 2 2 2 3 5 4" xfId="2462"/>
    <cellStyle name="Normal 4 2 2 2 3 5 5" xfId="2463"/>
    <cellStyle name="Normal 4 2 2 2 3 6" xfId="2464"/>
    <cellStyle name="Normal 4 2 2 2 3 6 2" xfId="2465"/>
    <cellStyle name="Normal 4 2 2 2 3 6 3" xfId="2466"/>
    <cellStyle name="Normal 4 2 2 2 3 7" xfId="2467"/>
    <cellStyle name="Normal 4 2 2 2 3 8" xfId="2468"/>
    <cellStyle name="Normal 4 2 2 2 3 9" xfId="2469"/>
    <cellStyle name="Normal 4 2 2 2 4" xfId="2470"/>
    <cellStyle name="Normal 4 2 2 2 4 2" xfId="2471"/>
    <cellStyle name="Normal 4 2 2 2 4 2 2" xfId="2472"/>
    <cellStyle name="Normal 4 2 2 2 4 2 2 2" xfId="2473"/>
    <cellStyle name="Normal 4 2 2 2 4 2 2 2 2" xfId="2474"/>
    <cellStyle name="Normal 4 2 2 2 4 2 2 2 2 2" xfId="2475"/>
    <cellStyle name="Normal 4 2 2 2 4 2 2 2 2 3" xfId="2476"/>
    <cellStyle name="Normal 4 2 2 2 4 2 2 2 3" xfId="2477"/>
    <cellStyle name="Normal 4 2 2 2 4 2 2 2 4" xfId="2478"/>
    <cellStyle name="Normal 4 2 2 2 4 2 2 2 5" xfId="2479"/>
    <cellStyle name="Normal 4 2 2 2 4 2 2 3" xfId="2480"/>
    <cellStyle name="Normal 4 2 2 2 4 2 2 3 2" xfId="2481"/>
    <cellStyle name="Normal 4 2 2 2 4 2 2 3 2 2" xfId="2482"/>
    <cellStyle name="Normal 4 2 2 2 4 2 2 3 2 3" xfId="2483"/>
    <cellStyle name="Normal 4 2 2 2 4 2 2 3 3" xfId="2484"/>
    <cellStyle name="Normal 4 2 2 2 4 2 2 3 4" xfId="2485"/>
    <cellStyle name="Normal 4 2 2 2 4 2 2 3 5" xfId="2486"/>
    <cellStyle name="Normal 4 2 2 2 4 2 2 4" xfId="2487"/>
    <cellStyle name="Normal 4 2 2 2 4 2 2 4 2" xfId="2488"/>
    <cellStyle name="Normal 4 2 2 2 4 2 2 4 3" xfId="2489"/>
    <cellStyle name="Normal 4 2 2 2 4 2 2 5" xfId="2490"/>
    <cellStyle name="Normal 4 2 2 2 4 2 2 6" xfId="2491"/>
    <cellStyle name="Normal 4 2 2 2 4 2 2 7" xfId="2492"/>
    <cellStyle name="Normal 4 2 2 2 4 2 3" xfId="2493"/>
    <cellStyle name="Normal 4 2 2 2 4 2 3 2" xfId="2494"/>
    <cellStyle name="Normal 4 2 2 2 4 2 3 2 2" xfId="2495"/>
    <cellStyle name="Normal 4 2 2 2 4 2 3 2 3" xfId="2496"/>
    <cellStyle name="Normal 4 2 2 2 4 2 3 3" xfId="2497"/>
    <cellStyle name="Normal 4 2 2 2 4 2 3 4" xfId="2498"/>
    <cellStyle name="Normal 4 2 2 2 4 2 3 5" xfId="2499"/>
    <cellStyle name="Normal 4 2 2 2 4 2 4" xfId="2500"/>
    <cellStyle name="Normal 4 2 2 2 4 2 4 2" xfId="2501"/>
    <cellStyle name="Normal 4 2 2 2 4 2 4 2 2" xfId="2502"/>
    <cellStyle name="Normal 4 2 2 2 4 2 4 2 3" xfId="2503"/>
    <cellStyle name="Normal 4 2 2 2 4 2 4 3" xfId="2504"/>
    <cellStyle name="Normal 4 2 2 2 4 2 4 4" xfId="2505"/>
    <cellStyle name="Normal 4 2 2 2 4 2 4 5" xfId="2506"/>
    <cellStyle name="Normal 4 2 2 2 4 2 5" xfId="2507"/>
    <cellStyle name="Normal 4 2 2 2 4 2 5 2" xfId="2508"/>
    <cellStyle name="Normal 4 2 2 2 4 2 5 3" xfId="2509"/>
    <cellStyle name="Normal 4 2 2 2 4 2 6" xfId="2510"/>
    <cellStyle name="Normal 4 2 2 2 4 2 7" xfId="2511"/>
    <cellStyle name="Normal 4 2 2 2 4 2 8" xfId="2512"/>
    <cellStyle name="Normal 4 2 2 2 4 3" xfId="2513"/>
    <cellStyle name="Normal 4 2 2 2 4 3 2" xfId="2514"/>
    <cellStyle name="Normal 4 2 2 2 4 3 2 2" xfId="2515"/>
    <cellStyle name="Normal 4 2 2 2 4 3 2 2 2" xfId="2516"/>
    <cellStyle name="Normal 4 2 2 2 4 3 2 2 3" xfId="2517"/>
    <cellStyle name="Normal 4 2 2 2 4 3 2 3" xfId="2518"/>
    <cellStyle name="Normal 4 2 2 2 4 3 2 4" xfId="2519"/>
    <cellStyle name="Normal 4 2 2 2 4 3 2 5" xfId="2520"/>
    <cellStyle name="Normal 4 2 2 2 4 3 3" xfId="2521"/>
    <cellStyle name="Normal 4 2 2 2 4 3 3 2" xfId="2522"/>
    <cellStyle name="Normal 4 2 2 2 4 3 3 2 2" xfId="2523"/>
    <cellStyle name="Normal 4 2 2 2 4 3 3 2 3" xfId="2524"/>
    <cellStyle name="Normal 4 2 2 2 4 3 3 3" xfId="2525"/>
    <cellStyle name="Normal 4 2 2 2 4 3 3 4" xfId="2526"/>
    <cellStyle name="Normal 4 2 2 2 4 3 3 5" xfId="2527"/>
    <cellStyle name="Normal 4 2 2 2 4 3 4" xfId="2528"/>
    <cellStyle name="Normal 4 2 2 2 4 3 4 2" xfId="2529"/>
    <cellStyle name="Normal 4 2 2 2 4 3 4 3" xfId="2530"/>
    <cellStyle name="Normal 4 2 2 2 4 3 5" xfId="2531"/>
    <cellStyle name="Normal 4 2 2 2 4 3 6" xfId="2532"/>
    <cellStyle name="Normal 4 2 2 2 4 3 7" xfId="2533"/>
    <cellStyle name="Normal 4 2 2 2 4 4" xfId="2534"/>
    <cellStyle name="Normal 4 2 2 2 4 4 2" xfId="2535"/>
    <cellStyle name="Normal 4 2 2 2 4 4 2 2" xfId="2536"/>
    <cellStyle name="Normal 4 2 2 2 4 4 2 3" xfId="2537"/>
    <cellStyle name="Normal 4 2 2 2 4 4 3" xfId="2538"/>
    <cellStyle name="Normal 4 2 2 2 4 4 4" xfId="2539"/>
    <cellStyle name="Normal 4 2 2 2 4 4 5" xfId="2540"/>
    <cellStyle name="Normal 4 2 2 2 4 5" xfId="2541"/>
    <cellStyle name="Normal 4 2 2 2 4 5 2" xfId="2542"/>
    <cellStyle name="Normal 4 2 2 2 4 5 2 2" xfId="2543"/>
    <cellStyle name="Normal 4 2 2 2 4 5 2 3" xfId="2544"/>
    <cellStyle name="Normal 4 2 2 2 4 5 3" xfId="2545"/>
    <cellStyle name="Normal 4 2 2 2 4 5 4" xfId="2546"/>
    <cellStyle name="Normal 4 2 2 2 4 5 5" xfId="2547"/>
    <cellStyle name="Normal 4 2 2 2 4 6" xfId="2548"/>
    <cellStyle name="Normal 4 2 2 2 4 6 2" xfId="2549"/>
    <cellStyle name="Normal 4 2 2 2 4 6 3" xfId="2550"/>
    <cellStyle name="Normal 4 2 2 2 4 7" xfId="2551"/>
    <cellStyle name="Normal 4 2 2 2 4 8" xfId="2552"/>
    <cellStyle name="Normal 4 2 2 2 4 9" xfId="2553"/>
    <cellStyle name="Normal 4 2 2 2 5" xfId="2554"/>
    <cellStyle name="Normal 4 2 2 2 5 2" xfId="2555"/>
    <cellStyle name="Normal 4 2 2 2 5 2 2" xfId="2556"/>
    <cellStyle name="Normal 4 2 2 2 5 2 2 2" xfId="2557"/>
    <cellStyle name="Normal 4 2 2 2 5 2 2 2 2" xfId="2558"/>
    <cellStyle name="Normal 4 2 2 2 5 2 2 2 3" xfId="2559"/>
    <cellStyle name="Normal 4 2 2 2 5 2 2 3" xfId="2560"/>
    <cellStyle name="Normal 4 2 2 2 5 2 2 4" xfId="2561"/>
    <cellStyle name="Normal 4 2 2 2 5 2 2 5" xfId="2562"/>
    <cellStyle name="Normal 4 2 2 2 5 2 3" xfId="2563"/>
    <cellStyle name="Normal 4 2 2 2 5 2 3 2" xfId="2564"/>
    <cellStyle name="Normal 4 2 2 2 5 2 3 2 2" xfId="2565"/>
    <cellStyle name="Normal 4 2 2 2 5 2 3 2 3" xfId="2566"/>
    <cellStyle name="Normal 4 2 2 2 5 2 3 3" xfId="2567"/>
    <cellStyle name="Normal 4 2 2 2 5 2 3 4" xfId="2568"/>
    <cellStyle name="Normal 4 2 2 2 5 2 3 5" xfId="2569"/>
    <cellStyle name="Normal 4 2 2 2 5 2 4" xfId="2570"/>
    <cellStyle name="Normal 4 2 2 2 5 2 4 2" xfId="2571"/>
    <cellStyle name="Normal 4 2 2 2 5 2 4 3" xfId="2572"/>
    <cellStyle name="Normal 4 2 2 2 5 2 5" xfId="2573"/>
    <cellStyle name="Normal 4 2 2 2 5 2 6" xfId="2574"/>
    <cellStyle name="Normal 4 2 2 2 5 2 7" xfId="2575"/>
    <cellStyle name="Normal 4 2 2 2 5 3" xfId="2576"/>
    <cellStyle name="Normal 4 2 2 2 5 3 2" xfId="2577"/>
    <cellStyle name="Normal 4 2 2 2 5 3 2 2" xfId="2578"/>
    <cellStyle name="Normal 4 2 2 2 5 3 2 3" xfId="2579"/>
    <cellStyle name="Normal 4 2 2 2 5 3 3" xfId="2580"/>
    <cellStyle name="Normal 4 2 2 2 5 3 4" xfId="2581"/>
    <cellStyle name="Normal 4 2 2 2 5 3 5" xfId="2582"/>
    <cellStyle name="Normal 4 2 2 2 5 4" xfId="2583"/>
    <cellStyle name="Normal 4 2 2 2 5 4 2" xfId="2584"/>
    <cellStyle name="Normal 4 2 2 2 5 4 2 2" xfId="2585"/>
    <cellStyle name="Normal 4 2 2 2 5 4 2 3" xfId="2586"/>
    <cellStyle name="Normal 4 2 2 2 5 4 3" xfId="2587"/>
    <cellStyle name="Normal 4 2 2 2 5 4 4" xfId="2588"/>
    <cellStyle name="Normal 4 2 2 2 5 4 5" xfId="2589"/>
    <cellStyle name="Normal 4 2 2 2 5 5" xfId="2590"/>
    <cellStyle name="Normal 4 2 2 2 5 5 2" xfId="2591"/>
    <cellStyle name="Normal 4 2 2 2 5 5 3" xfId="2592"/>
    <cellStyle name="Normal 4 2 2 2 5 6" xfId="2593"/>
    <cellStyle name="Normal 4 2 2 2 5 7" xfId="2594"/>
    <cellStyle name="Normal 4 2 2 2 5 8" xfId="2595"/>
    <cellStyle name="Normal 4 2 2 2 6" xfId="2596"/>
    <cellStyle name="Normal 4 2 2 2 6 2" xfId="2597"/>
    <cellStyle name="Normal 4 2 2 2 6 2 2" xfId="2598"/>
    <cellStyle name="Normal 4 2 2 2 6 2 2 2" xfId="2599"/>
    <cellStyle name="Normal 4 2 2 2 6 2 2 3" xfId="2600"/>
    <cellStyle name="Normal 4 2 2 2 6 2 3" xfId="2601"/>
    <cellStyle name="Normal 4 2 2 2 6 2 4" xfId="2602"/>
    <cellStyle name="Normal 4 2 2 2 6 2 5" xfId="2603"/>
    <cellStyle name="Normal 4 2 2 2 6 3" xfId="2604"/>
    <cellStyle name="Normal 4 2 2 2 6 3 2" xfId="2605"/>
    <cellStyle name="Normal 4 2 2 2 6 3 2 2" xfId="2606"/>
    <cellStyle name="Normal 4 2 2 2 6 3 2 3" xfId="2607"/>
    <cellStyle name="Normal 4 2 2 2 6 3 3" xfId="2608"/>
    <cellStyle name="Normal 4 2 2 2 6 3 4" xfId="2609"/>
    <cellStyle name="Normal 4 2 2 2 6 3 5" xfId="2610"/>
    <cellStyle name="Normal 4 2 2 2 6 4" xfId="2611"/>
    <cellStyle name="Normal 4 2 2 2 6 4 2" xfId="2612"/>
    <cellStyle name="Normal 4 2 2 2 6 4 3" xfId="2613"/>
    <cellStyle name="Normal 4 2 2 2 6 5" xfId="2614"/>
    <cellStyle name="Normal 4 2 2 2 6 6" xfId="2615"/>
    <cellStyle name="Normal 4 2 2 2 6 7" xfId="2616"/>
    <cellStyle name="Normal 4 2 2 2 7" xfId="2617"/>
    <cellStyle name="Normal 4 2 2 2 7 2" xfId="2618"/>
    <cellStyle name="Normal 4 2 2 2 7 2 2" xfId="2619"/>
    <cellStyle name="Normal 4 2 2 2 7 2 2 2" xfId="2620"/>
    <cellStyle name="Normal 4 2 2 2 7 2 2 3" xfId="2621"/>
    <cellStyle name="Normal 4 2 2 2 7 2 3" xfId="2622"/>
    <cellStyle name="Normal 4 2 2 2 7 2 4" xfId="2623"/>
    <cellStyle name="Normal 4 2 2 2 7 2 5" xfId="2624"/>
    <cellStyle name="Normal 4 2 2 2 7 3" xfId="2625"/>
    <cellStyle name="Normal 4 2 2 2 7 3 2" xfId="2626"/>
    <cellStyle name="Normal 4 2 2 2 7 3 2 2" xfId="2627"/>
    <cellStyle name="Normal 4 2 2 2 7 3 2 3" xfId="2628"/>
    <cellStyle name="Normal 4 2 2 2 7 3 3" xfId="2629"/>
    <cellStyle name="Normal 4 2 2 2 7 3 4" xfId="2630"/>
    <cellStyle name="Normal 4 2 2 2 7 3 5" xfId="2631"/>
    <cellStyle name="Normal 4 2 2 2 7 4" xfId="2632"/>
    <cellStyle name="Normal 4 2 2 2 7 4 2" xfId="2633"/>
    <cellStyle name="Normal 4 2 2 2 7 4 3" xfId="2634"/>
    <cellStyle name="Normal 4 2 2 2 7 5" xfId="2635"/>
    <cellStyle name="Normal 4 2 2 2 7 6" xfId="2636"/>
    <cellStyle name="Normal 4 2 2 2 7 7" xfId="2637"/>
    <cellStyle name="Normal 4 2 2 2 8" xfId="2638"/>
    <cellStyle name="Normal 4 2 2 2 8 2" xfId="2639"/>
    <cellStyle name="Normal 4 2 2 2 8 2 2" xfId="2640"/>
    <cellStyle name="Normal 4 2 2 2 8 2 3" xfId="2641"/>
    <cellStyle name="Normal 4 2 2 2 8 3" xfId="2642"/>
    <cellStyle name="Normal 4 2 2 2 8 4" xfId="2643"/>
    <cellStyle name="Normal 4 2 2 2 8 5" xfId="2644"/>
    <cellStyle name="Normal 4 2 2 2 9" xfId="2645"/>
    <cellStyle name="Normal 4 2 2 2 9 2" xfId="2646"/>
    <cellStyle name="Normal 4 2 2 2 9 2 2" xfId="2647"/>
    <cellStyle name="Normal 4 2 2 2 9 2 3" xfId="2648"/>
    <cellStyle name="Normal 4 2 2 2 9 3" xfId="2649"/>
    <cellStyle name="Normal 4 2 2 2 9 4" xfId="2650"/>
    <cellStyle name="Normal 4 2 2 2 9 5" xfId="2651"/>
    <cellStyle name="Normal 4 2 2 3" xfId="2652"/>
    <cellStyle name="Normal 4 2 2 3 2" xfId="2653"/>
    <cellStyle name="Normal 4 2 2 3 2 2" xfId="2654"/>
    <cellStyle name="Normal 4 2 2 3 2 2 2" xfId="2655"/>
    <cellStyle name="Normal 4 2 2 3 2 2 2 2" xfId="2656"/>
    <cellStyle name="Normal 4 2 2 3 2 2 2 2 2" xfId="2657"/>
    <cellStyle name="Normal 4 2 2 3 2 2 2 2 3" xfId="2658"/>
    <cellStyle name="Normal 4 2 2 3 2 2 2 3" xfId="2659"/>
    <cellStyle name="Normal 4 2 2 3 2 2 2 4" xfId="2660"/>
    <cellStyle name="Normal 4 2 2 3 2 2 2 5" xfId="2661"/>
    <cellStyle name="Normal 4 2 2 3 2 2 3" xfId="2662"/>
    <cellStyle name="Normal 4 2 2 3 2 2 3 2" xfId="2663"/>
    <cellStyle name="Normal 4 2 2 3 2 2 3 2 2" xfId="2664"/>
    <cellStyle name="Normal 4 2 2 3 2 2 3 2 3" xfId="2665"/>
    <cellStyle name="Normal 4 2 2 3 2 2 3 3" xfId="2666"/>
    <cellStyle name="Normal 4 2 2 3 2 2 3 4" xfId="2667"/>
    <cellStyle name="Normal 4 2 2 3 2 2 3 5" xfId="2668"/>
    <cellStyle name="Normal 4 2 2 3 2 2 4" xfId="2669"/>
    <cellStyle name="Normal 4 2 2 3 2 2 4 2" xfId="2670"/>
    <cellStyle name="Normal 4 2 2 3 2 2 4 3" xfId="2671"/>
    <cellStyle name="Normal 4 2 2 3 2 2 5" xfId="2672"/>
    <cellStyle name="Normal 4 2 2 3 2 2 6" xfId="2673"/>
    <cellStyle name="Normal 4 2 2 3 2 2 7" xfId="2674"/>
    <cellStyle name="Normal 4 2 2 3 2 3" xfId="2675"/>
    <cellStyle name="Normal 4 2 2 3 2 3 2" xfId="2676"/>
    <cellStyle name="Normal 4 2 2 3 2 3 2 2" xfId="2677"/>
    <cellStyle name="Normal 4 2 2 3 2 3 2 3" xfId="2678"/>
    <cellStyle name="Normal 4 2 2 3 2 3 3" xfId="2679"/>
    <cellStyle name="Normal 4 2 2 3 2 3 4" xfId="2680"/>
    <cellStyle name="Normal 4 2 2 3 2 3 5" xfId="2681"/>
    <cellStyle name="Normal 4 2 2 3 2 4" xfId="2682"/>
    <cellStyle name="Normal 4 2 2 3 2 4 2" xfId="2683"/>
    <cellStyle name="Normal 4 2 2 3 2 4 2 2" xfId="2684"/>
    <cellStyle name="Normal 4 2 2 3 2 4 2 3" xfId="2685"/>
    <cellStyle name="Normal 4 2 2 3 2 4 3" xfId="2686"/>
    <cellStyle name="Normal 4 2 2 3 2 4 4" xfId="2687"/>
    <cellStyle name="Normal 4 2 2 3 2 4 5" xfId="2688"/>
    <cellStyle name="Normal 4 2 2 3 2 5" xfId="2689"/>
    <cellStyle name="Normal 4 2 2 3 2 5 2" xfId="2690"/>
    <cellStyle name="Normal 4 2 2 3 2 5 3" xfId="2691"/>
    <cellStyle name="Normal 4 2 2 3 2 6" xfId="2692"/>
    <cellStyle name="Normal 4 2 2 3 2 7" xfId="2693"/>
    <cellStyle name="Normal 4 2 2 3 2 8" xfId="2694"/>
    <cellStyle name="Normal 4 2 2 3 3" xfId="2695"/>
    <cellStyle name="Normal 4 2 2 3 3 2" xfId="2696"/>
    <cellStyle name="Normal 4 2 2 3 3 2 2" xfId="2697"/>
    <cellStyle name="Normal 4 2 2 3 3 2 2 2" xfId="2698"/>
    <cellStyle name="Normal 4 2 2 3 3 2 2 3" xfId="2699"/>
    <cellStyle name="Normal 4 2 2 3 3 2 3" xfId="2700"/>
    <cellStyle name="Normal 4 2 2 3 3 2 4" xfId="2701"/>
    <cellStyle name="Normal 4 2 2 3 3 2 5" xfId="2702"/>
    <cellStyle name="Normal 4 2 2 3 3 3" xfId="2703"/>
    <cellStyle name="Normal 4 2 2 3 3 3 2" xfId="2704"/>
    <cellStyle name="Normal 4 2 2 3 3 3 2 2" xfId="2705"/>
    <cellStyle name="Normal 4 2 2 3 3 3 2 3" xfId="2706"/>
    <cellStyle name="Normal 4 2 2 3 3 3 3" xfId="2707"/>
    <cellStyle name="Normal 4 2 2 3 3 3 4" xfId="2708"/>
    <cellStyle name="Normal 4 2 2 3 3 3 5" xfId="2709"/>
    <cellStyle name="Normal 4 2 2 3 3 4" xfId="2710"/>
    <cellStyle name="Normal 4 2 2 3 3 4 2" xfId="2711"/>
    <cellStyle name="Normal 4 2 2 3 3 4 3" xfId="2712"/>
    <cellStyle name="Normal 4 2 2 3 3 5" xfId="2713"/>
    <cellStyle name="Normal 4 2 2 3 3 6" xfId="2714"/>
    <cellStyle name="Normal 4 2 2 3 3 7" xfId="2715"/>
    <cellStyle name="Normal 4 2 2 3 4" xfId="2716"/>
    <cellStyle name="Normal 4 2 2 3 4 2" xfId="2717"/>
    <cellStyle name="Normal 4 2 2 3 4 2 2" xfId="2718"/>
    <cellStyle name="Normal 4 2 2 3 4 2 3" xfId="2719"/>
    <cellStyle name="Normal 4 2 2 3 4 3" xfId="2720"/>
    <cellStyle name="Normal 4 2 2 3 4 4" xfId="2721"/>
    <cellStyle name="Normal 4 2 2 3 4 5" xfId="2722"/>
    <cellStyle name="Normal 4 2 2 3 5" xfId="2723"/>
    <cellStyle name="Normal 4 2 2 3 5 2" xfId="2724"/>
    <cellStyle name="Normal 4 2 2 3 5 2 2" xfId="2725"/>
    <cellStyle name="Normal 4 2 2 3 5 2 3" xfId="2726"/>
    <cellStyle name="Normal 4 2 2 3 5 3" xfId="2727"/>
    <cellStyle name="Normal 4 2 2 3 5 4" xfId="2728"/>
    <cellStyle name="Normal 4 2 2 3 5 5" xfId="2729"/>
    <cellStyle name="Normal 4 2 2 3 6" xfId="2730"/>
    <cellStyle name="Normal 4 2 2 3 6 2" xfId="2731"/>
    <cellStyle name="Normal 4 2 2 3 6 3" xfId="2732"/>
    <cellStyle name="Normal 4 2 2 3 7" xfId="2733"/>
    <cellStyle name="Normal 4 2 2 3 8" xfId="2734"/>
    <cellStyle name="Normal 4 2 2 3 9" xfId="2735"/>
    <cellStyle name="Normal 4 2 2 4" xfId="2736"/>
    <cellStyle name="Normal 4 2 2 4 2" xfId="2737"/>
    <cellStyle name="Normal 4 2 2 4 2 2" xfId="2738"/>
    <cellStyle name="Normal 4 2 2 4 2 2 2" xfId="2739"/>
    <cellStyle name="Normal 4 2 2 4 2 2 2 2" xfId="2740"/>
    <cellStyle name="Normal 4 2 2 4 2 2 2 2 2" xfId="2741"/>
    <cellStyle name="Normal 4 2 2 4 2 2 2 2 3" xfId="2742"/>
    <cellStyle name="Normal 4 2 2 4 2 2 2 3" xfId="2743"/>
    <cellStyle name="Normal 4 2 2 4 2 2 2 4" xfId="2744"/>
    <cellStyle name="Normal 4 2 2 4 2 2 2 5" xfId="2745"/>
    <cellStyle name="Normal 4 2 2 4 2 2 3" xfId="2746"/>
    <cellStyle name="Normal 4 2 2 4 2 2 3 2" xfId="2747"/>
    <cellStyle name="Normal 4 2 2 4 2 2 3 2 2" xfId="2748"/>
    <cellStyle name="Normal 4 2 2 4 2 2 3 2 3" xfId="2749"/>
    <cellStyle name="Normal 4 2 2 4 2 2 3 3" xfId="2750"/>
    <cellStyle name="Normal 4 2 2 4 2 2 3 4" xfId="2751"/>
    <cellStyle name="Normal 4 2 2 4 2 2 3 5" xfId="2752"/>
    <cellStyle name="Normal 4 2 2 4 2 2 4" xfId="2753"/>
    <cellStyle name="Normal 4 2 2 4 2 2 4 2" xfId="2754"/>
    <cellStyle name="Normal 4 2 2 4 2 2 4 3" xfId="2755"/>
    <cellStyle name="Normal 4 2 2 4 2 2 5" xfId="2756"/>
    <cellStyle name="Normal 4 2 2 4 2 2 6" xfId="2757"/>
    <cellStyle name="Normal 4 2 2 4 2 2 7" xfId="2758"/>
    <cellStyle name="Normal 4 2 2 4 2 3" xfId="2759"/>
    <cellStyle name="Normal 4 2 2 4 2 3 2" xfId="2760"/>
    <cellStyle name="Normal 4 2 2 4 2 3 2 2" xfId="2761"/>
    <cellStyle name="Normal 4 2 2 4 2 3 2 3" xfId="2762"/>
    <cellStyle name="Normal 4 2 2 4 2 3 3" xfId="2763"/>
    <cellStyle name="Normal 4 2 2 4 2 3 4" xfId="2764"/>
    <cellStyle name="Normal 4 2 2 4 2 3 5" xfId="2765"/>
    <cellStyle name="Normal 4 2 2 4 2 4" xfId="2766"/>
    <cellStyle name="Normal 4 2 2 4 2 4 2" xfId="2767"/>
    <cellStyle name="Normal 4 2 2 4 2 4 2 2" xfId="2768"/>
    <cellStyle name="Normal 4 2 2 4 2 4 2 3" xfId="2769"/>
    <cellStyle name="Normal 4 2 2 4 2 4 3" xfId="2770"/>
    <cellStyle name="Normal 4 2 2 4 2 4 4" xfId="2771"/>
    <cellStyle name="Normal 4 2 2 4 2 4 5" xfId="2772"/>
    <cellStyle name="Normal 4 2 2 4 2 5" xfId="2773"/>
    <cellStyle name="Normal 4 2 2 4 2 5 2" xfId="2774"/>
    <cellStyle name="Normal 4 2 2 4 2 5 3" xfId="2775"/>
    <cellStyle name="Normal 4 2 2 4 2 6" xfId="2776"/>
    <cellStyle name="Normal 4 2 2 4 2 7" xfId="2777"/>
    <cellStyle name="Normal 4 2 2 4 2 8" xfId="2778"/>
    <cellStyle name="Normal 4 2 2 4 3" xfId="2779"/>
    <cellStyle name="Normal 4 2 2 4 3 2" xfId="2780"/>
    <cellStyle name="Normal 4 2 2 4 3 2 2" xfId="2781"/>
    <cellStyle name="Normal 4 2 2 4 3 2 2 2" xfId="2782"/>
    <cellStyle name="Normal 4 2 2 4 3 2 2 3" xfId="2783"/>
    <cellStyle name="Normal 4 2 2 4 3 2 3" xfId="2784"/>
    <cellStyle name="Normal 4 2 2 4 3 2 4" xfId="2785"/>
    <cellStyle name="Normal 4 2 2 4 3 2 5" xfId="2786"/>
    <cellStyle name="Normal 4 2 2 4 3 3" xfId="2787"/>
    <cellStyle name="Normal 4 2 2 4 3 3 2" xfId="2788"/>
    <cellStyle name="Normal 4 2 2 4 3 3 2 2" xfId="2789"/>
    <cellStyle name="Normal 4 2 2 4 3 3 2 3" xfId="2790"/>
    <cellStyle name="Normal 4 2 2 4 3 3 3" xfId="2791"/>
    <cellStyle name="Normal 4 2 2 4 3 3 4" xfId="2792"/>
    <cellStyle name="Normal 4 2 2 4 3 3 5" xfId="2793"/>
    <cellStyle name="Normal 4 2 2 4 3 4" xfId="2794"/>
    <cellStyle name="Normal 4 2 2 4 3 4 2" xfId="2795"/>
    <cellStyle name="Normal 4 2 2 4 3 4 3" xfId="2796"/>
    <cellStyle name="Normal 4 2 2 4 3 5" xfId="2797"/>
    <cellStyle name="Normal 4 2 2 4 3 6" xfId="2798"/>
    <cellStyle name="Normal 4 2 2 4 3 7" xfId="2799"/>
    <cellStyle name="Normal 4 2 2 4 4" xfId="2800"/>
    <cellStyle name="Normal 4 2 2 4 4 2" xfId="2801"/>
    <cellStyle name="Normal 4 2 2 4 4 2 2" xfId="2802"/>
    <cellStyle name="Normal 4 2 2 4 4 2 3" xfId="2803"/>
    <cellStyle name="Normal 4 2 2 4 4 3" xfId="2804"/>
    <cellStyle name="Normal 4 2 2 4 4 4" xfId="2805"/>
    <cellStyle name="Normal 4 2 2 4 4 5" xfId="2806"/>
    <cellStyle name="Normal 4 2 2 4 5" xfId="2807"/>
    <cellStyle name="Normal 4 2 2 4 5 2" xfId="2808"/>
    <cellStyle name="Normal 4 2 2 4 5 2 2" xfId="2809"/>
    <cellStyle name="Normal 4 2 2 4 5 2 3" xfId="2810"/>
    <cellStyle name="Normal 4 2 2 4 5 3" xfId="2811"/>
    <cellStyle name="Normal 4 2 2 4 5 4" xfId="2812"/>
    <cellStyle name="Normal 4 2 2 4 5 5" xfId="2813"/>
    <cellStyle name="Normal 4 2 2 4 6" xfId="2814"/>
    <cellStyle name="Normal 4 2 2 4 6 2" xfId="2815"/>
    <cellStyle name="Normal 4 2 2 4 6 3" xfId="2816"/>
    <cellStyle name="Normal 4 2 2 4 7" xfId="2817"/>
    <cellStyle name="Normal 4 2 2 4 8" xfId="2818"/>
    <cellStyle name="Normal 4 2 2 4 9" xfId="2819"/>
    <cellStyle name="Normal 4 2 2 5" xfId="2820"/>
    <cellStyle name="Normal 4 2 2 5 2" xfId="2821"/>
    <cellStyle name="Normal 4 2 2 5 2 2" xfId="2822"/>
    <cellStyle name="Normal 4 2 2 5 2 2 2" xfId="2823"/>
    <cellStyle name="Normal 4 2 2 5 2 2 2 2" xfId="2824"/>
    <cellStyle name="Normal 4 2 2 5 2 2 2 2 2" xfId="2825"/>
    <cellStyle name="Normal 4 2 2 5 2 2 2 2 3" xfId="2826"/>
    <cellStyle name="Normal 4 2 2 5 2 2 2 3" xfId="2827"/>
    <cellStyle name="Normal 4 2 2 5 2 2 2 4" xfId="2828"/>
    <cellStyle name="Normal 4 2 2 5 2 2 2 5" xfId="2829"/>
    <cellStyle name="Normal 4 2 2 5 2 2 3" xfId="2830"/>
    <cellStyle name="Normal 4 2 2 5 2 2 3 2" xfId="2831"/>
    <cellStyle name="Normal 4 2 2 5 2 2 3 2 2" xfId="2832"/>
    <cellStyle name="Normal 4 2 2 5 2 2 3 2 3" xfId="2833"/>
    <cellStyle name="Normal 4 2 2 5 2 2 3 3" xfId="2834"/>
    <cellStyle name="Normal 4 2 2 5 2 2 3 4" xfId="2835"/>
    <cellStyle name="Normal 4 2 2 5 2 2 3 5" xfId="2836"/>
    <cellStyle name="Normal 4 2 2 5 2 2 4" xfId="2837"/>
    <cellStyle name="Normal 4 2 2 5 2 2 4 2" xfId="2838"/>
    <cellStyle name="Normal 4 2 2 5 2 2 4 3" xfId="2839"/>
    <cellStyle name="Normal 4 2 2 5 2 2 5" xfId="2840"/>
    <cellStyle name="Normal 4 2 2 5 2 2 6" xfId="2841"/>
    <cellStyle name="Normal 4 2 2 5 2 2 7" xfId="2842"/>
    <cellStyle name="Normal 4 2 2 5 2 3" xfId="2843"/>
    <cellStyle name="Normal 4 2 2 5 2 3 2" xfId="2844"/>
    <cellStyle name="Normal 4 2 2 5 2 3 2 2" xfId="2845"/>
    <cellStyle name="Normal 4 2 2 5 2 3 2 3" xfId="2846"/>
    <cellStyle name="Normal 4 2 2 5 2 3 3" xfId="2847"/>
    <cellStyle name="Normal 4 2 2 5 2 3 4" xfId="2848"/>
    <cellStyle name="Normal 4 2 2 5 2 3 5" xfId="2849"/>
    <cellStyle name="Normal 4 2 2 5 2 4" xfId="2850"/>
    <cellStyle name="Normal 4 2 2 5 2 4 2" xfId="2851"/>
    <cellStyle name="Normal 4 2 2 5 2 4 2 2" xfId="2852"/>
    <cellStyle name="Normal 4 2 2 5 2 4 2 3" xfId="2853"/>
    <cellStyle name="Normal 4 2 2 5 2 4 3" xfId="2854"/>
    <cellStyle name="Normal 4 2 2 5 2 4 4" xfId="2855"/>
    <cellStyle name="Normal 4 2 2 5 2 4 5" xfId="2856"/>
    <cellStyle name="Normal 4 2 2 5 2 5" xfId="2857"/>
    <cellStyle name="Normal 4 2 2 5 2 5 2" xfId="2858"/>
    <cellStyle name="Normal 4 2 2 5 2 5 3" xfId="2859"/>
    <cellStyle name="Normal 4 2 2 5 2 6" xfId="2860"/>
    <cellStyle name="Normal 4 2 2 5 2 7" xfId="2861"/>
    <cellStyle name="Normal 4 2 2 5 2 8" xfId="2862"/>
    <cellStyle name="Normal 4 2 2 5 3" xfId="2863"/>
    <cellStyle name="Normal 4 2 2 5 3 2" xfId="2864"/>
    <cellStyle name="Normal 4 2 2 5 3 2 2" xfId="2865"/>
    <cellStyle name="Normal 4 2 2 5 3 2 2 2" xfId="2866"/>
    <cellStyle name="Normal 4 2 2 5 3 2 2 3" xfId="2867"/>
    <cellStyle name="Normal 4 2 2 5 3 2 3" xfId="2868"/>
    <cellStyle name="Normal 4 2 2 5 3 2 4" xfId="2869"/>
    <cellStyle name="Normal 4 2 2 5 3 2 5" xfId="2870"/>
    <cellStyle name="Normal 4 2 2 5 3 3" xfId="2871"/>
    <cellStyle name="Normal 4 2 2 5 3 3 2" xfId="2872"/>
    <cellStyle name="Normal 4 2 2 5 3 3 2 2" xfId="2873"/>
    <cellStyle name="Normal 4 2 2 5 3 3 2 3" xfId="2874"/>
    <cellStyle name="Normal 4 2 2 5 3 3 3" xfId="2875"/>
    <cellStyle name="Normal 4 2 2 5 3 3 4" xfId="2876"/>
    <cellStyle name="Normal 4 2 2 5 3 3 5" xfId="2877"/>
    <cellStyle name="Normal 4 2 2 5 3 4" xfId="2878"/>
    <cellStyle name="Normal 4 2 2 5 3 4 2" xfId="2879"/>
    <cellStyle name="Normal 4 2 2 5 3 4 3" xfId="2880"/>
    <cellStyle name="Normal 4 2 2 5 3 5" xfId="2881"/>
    <cellStyle name="Normal 4 2 2 5 3 6" xfId="2882"/>
    <cellStyle name="Normal 4 2 2 5 3 7" xfId="2883"/>
    <cellStyle name="Normal 4 2 2 5 4" xfId="2884"/>
    <cellStyle name="Normal 4 2 2 5 4 2" xfId="2885"/>
    <cellStyle name="Normal 4 2 2 5 4 2 2" xfId="2886"/>
    <cellStyle name="Normal 4 2 2 5 4 2 3" xfId="2887"/>
    <cellStyle name="Normal 4 2 2 5 4 3" xfId="2888"/>
    <cellStyle name="Normal 4 2 2 5 4 4" xfId="2889"/>
    <cellStyle name="Normal 4 2 2 5 4 5" xfId="2890"/>
    <cellStyle name="Normal 4 2 2 5 5" xfId="2891"/>
    <cellStyle name="Normal 4 2 2 5 5 2" xfId="2892"/>
    <cellStyle name="Normal 4 2 2 5 5 2 2" xfId="2893"/>
    <cellStyle name="Normal 4 2 2 5 5 2 3" xfId="2894"/>
    <cellStyle name="Normal 4 2 2 5 5 3" xfId="2895"/>
    <cellStyle name="Normal 4 2 2 5 5 4" xfId="2896"/>
    <cellStyle name="Normal 4 2 2 5 5 5" xfId="2897"/>
    <cellStyle name="Normal 4 2 2 5 6" xfId="2898"/>
    <cellStyle name="Normal 4 2 2 5 6 2" xfId="2899"/>
    <cellStyle name="Normal 4 2 2 5 6 3" xfId="2900"/>
    <cellStyle name="Normal 4 2 2 5 7" xfId="2901"/>
    <cellStyle name="Normal 4 2 2 5 8" xfId="2902"/>
    <cellStyle name="Normal 4 2 2 5 9" xfId="2903"/>
    <cellStyle name="Normal 4 2 2 6" xfId="2904"/>
    <cellStyle name="Normal 4 2 2 6 2" xfId="2905"/>
    <cellStyle name="Normal 4 2 2 6 2 2" xfId="2906"/>
    <cellStyle name="Normal 4 2 2 6 2 2 2" xfId="2907"/>
    <cellStyle name="Normal 4 2 2 6 2 2 2 2" xfId="2908"/>
    <cellStyle name="Normal 4 2 2 6 2 2 2 3" xfId="2909"/>
    <cellStyle name="Normal 4 2 2 6 2 2 3" xfId="2910"/>
    <cellStyle name="Normal 4 2 2 6 2 2 4" xfId="2911"/>
    <cellStyle name="Normal 4 2 2 6 2 2 5" xfId="2912"/>
    <cellStyle name="Normal 4 2 2 6 2 3" xfId="2913"/>
    <cellStyle name="Normal 4 2 2 6 2 3 2" xfId="2914"/>
    <cellStyle name="Normal 4 2 2 6 2 3 2 2" xfId="2915"/>
    <cellStyle name="Normal 4 2 2 6 2 3 2 3" xfId="2916"/>
    <cellStyle name="Normal 4 2 2 6 2 3 3" xfId="2917"/>
    <cellStyle name="Normal 4 2 2 6 2 3 4" xfId="2918"/>
    <cellStyle name="Normal 4 2 2 6 2 3 5" xfId="2919"/>
    <cellStyle name="Normal 4 2 2 6 2 4" xfId="2920"/>
    <cellStyle name="Normal 4 2 2 6 2 4 2" xfId="2921"/>
    <cellStyle name="Normal 4 2 2 6 2 4 3" xfId="2922"/>
    <cellStyle name="Normal 4 2 2 6 2 5" xfId="2923"/>
    <cellStyle name="Normal 4 2 2 6 2 6" xfId="2924"/>
    <cellStyle name="Normal 4 2 2 6 2 7" xfId="2925"/>
    <cellStyle name="Normal 4 2 2 6 3" xfId="2926"/>
    <cellStyle name="Normal 4 2 2 6 3 2" xfId="2927"/>
    <cellStyle name="Normal 4 2 2 6 3 2 2" xfId="2928"/>
    <cellStyle name="Normal 4 2 2 6 3 2 3" xfId="2929"/>
    <cellStyle name="Normal 4 2 2 6 3 3" xfId="2930"/>
    <cellStyle name="Normal 4 2 2 6 3 4" xfId="2931"/>
    <cellStyle name="Normal 4 2 2 6 3 5" xfId="2932"/>
    <cellStyle name="Normal 4 2 2 6 4" xfId="2933"/>
    <cellStyle name="Normal 4 2 2 6 4 2" xfId="2934"/>
    <cellStyle name="Normal 4 2 2 6 4 2 2" xfId="2935"/>
    <cellStyle name="Normal 4 2 2 6 4 2 3" xfId="2936"/>
    <cellStyle name="Normal 4 2 2 6 4 3" xfId="2937"/>
    <cellStyle name="Normal 4 2 2 6 4 4" xfId="2938"/>
    <cellStyle name="Normal 4 2 2 6 4 5" xfId="2939"/>
    <cellStyle name="Normal 4 2 2 6 5" xfId="2940"/>
    <cellStyle name="Normal 4 2 2 6 5 2" xfId="2941"/>
    <cellStyle name="Normal 4 2 2 6 5 3" xfId="2942"/>
    <cellStyle name="Normal 4 2 2 6 6" xfId="2943"/>
    <cellStyle name="Normal 4 2 2 6 7" xfId="2944"/>
    <cellStyle name="Normal 4 2 2 6 8" xfId="2945"/>
    <cellStyle name="Normal 4 2 2 7" xfId="2946"/>
    <cellStyle name="Normal 4 2 2 7 2" xfId="2947"/>
    <cellStyle name="Normal 4 2 2 7 2 2" xfId="2948"/>
    <cellStyle name="Normal 4 2 2 7 2 2 2" xfId="2949"/>
    <cellStyle name="Normal 4 2 2 7 2 2 3" xfId="2950"/>
    <cellStyle name="Normal 4 2 2 7 2 3" xfId="2951"/>
    <cellStyle name="Normal 4 2 2 7 2 4" xfId="2952"/>
    <cellStyle name="Normal 4 2 2 7 2 5" xfId="2953"/>
    <cellStyle name="Normal 4 2 2 7 3" xfId="2954"/>
    <cellStyle name="Normal 4 2 2 7 3 2" xfId="2955"/>
    <cellStyle name="Normal 4 2 2 7 3 2 2" xfId="2956"/>
    <cellStyle name="Normal 4 2 2 7 3 2 3" xfId="2957"/>
    <cellStyle name="Normal 4 2 2 7 3 3" xfId="2958"/>
    <cellStyle name="Normal 4 2 2 7 3 4" xfId="2959"/>
    <cellStyle name="Normal 4 2 2 7 3 5" xfId="2960"/>
    <cellStyle name="Normal 4 2 2 7 4" xfId="2961"/>
    <cellStyle name="Normal 4 2 2 7 4 2" xfId="2962"/>
    <cellStyle name="Normal 4 2 2 7 4 3" xfId="2963"/>
    <cellStyle name="Normal 4 2 2 7 5" xfId="2964"/>
    <cellStyle name="Normal 4 2 2 7 6" xfId="2965"/>
    <cellStyle name="Normal 4 2 2 7 7" xfId="2966"/>
    <cellStyle name="Normal 4 2 2 8" xfId="2967"/>
    <cellStyle name="Normal 4 2 2 8 2" xfId="2968"/>
    <cellStyle name="Normal 4 2 2 8 2 2" xfId="2969"/>
    <cellStyle name="Normal 4 2 2 8 2 2 2" xfId="2970"/>
    <cellStyle name="Normal 4 2 2 8 2 2 3" xfId="2971"/>
    <cellStyle name="Normal 4 2 2 8 2 3" xfId="2972"/>
    <cellStyle name="Normal 4 2 2 8 2 4" xfId="2973"/>
    <cellStyle name="Normal 4 2 2 8 2 5" xfId="2974"/>
    <cellStyle name="Normal 4 2 2 8 3" xfId="2975"/>
    <cellStyle name="Normal 4 2 2 8 3 2" xfId="2976"/>
    <cellStyle name="Normal 4 2 2 8 3 2 2" xfId="2977"/>
    <cellStyle name="Normal 4 2 2 8 3 2 3" xfId="2978"/>
    <cellStyle name="Normal 4 2 2 8 3 3" xfId="2979"/>
    <cellStyle name="Normal 4 2 2 8 3 4" xfId="2980"/>
    <cellStyle name="Normal 4 2 2 8 3 5" xfId="2981"/>
    <cellStyle name="Normal 4 2 2 8 4" xfId="2982"/>
    <cellStyle name="Normal 4 2 2 8 4 2" xfId="2983"/>
    <cellStyle name="Normal 4 2 2 8 4 3" xfId="2984"/>
    <cellStyle name="Normal 4 2 2 8 5" xfId="2985"/>
    <cellStyle name="Normal 4 2 2 8 6" xfId="2986"/>
    <cellStyle name="Normal 4 2 2 8 7" xfId="2987"/>
    <cellStyle name="Normal 4 2 2 9" xfId="2988"/>
    <cellStyle name="Normal 4 2 2 9 2" xfId="2989"/>
    <cellStyle name="Normal 4 2 2 9 2 2" xfId="2990"/>
    <cellStyle name="Normal 4 2 2 9 2 3" xfId="2991"/>
    <cellStyle name="Normal 4 2 2 9 3" xfId="2992"/>
    <cellStyle name="Normal 4 2 2 9 4" xfId="2993"/>
    <cellStyle name="Normal 4 2 2 9 5" xfId="2994"/>
    <cellStyle name="Normal 4 2 3" xfId="2995"/>
    <cellStyle name="Normal 4 2 3 10" xfId="2996"/>
    <cellStyle name="Normal 4 2 3 10 2" xfId="2997"/>
    <cellStyle name="Normal 4 2 3 10 2 2" xfId="2998"/>
    <cellStyle name="Normal 4 2 3 10 2 3" xfId="2999"/>
    <cellStyle name="Normal 4 2 3 10 3" xfId="3000"/>
    <cellStyle name="Normal 4 2 3 10 4" xfId="3001"/>
    <cellStyle name="Normal 4 2 3 10 5" xfId="3002"/>
    <cellStyle name="Normal 4 2 3 11" xfId="3003"/>
    <cellStyle name="Normal 4 2 3 11 2" xfId="3004"/>
    <cellStyle name="Normal 4 2 3 11 3" xfId="3005"/>
    <cellStyle name="Normal 4 2 3 12" xfId="3006"/>
    <cellStyle name="Normal 4 2 3 13" xfId="3007"/>
    <cellStyle name="Normal 4 2 3 14" xfId="3008"/>
    <cellStyle name="Normal 4 2 3 2" xfId="3009"/>
    <cellStyle name="Normal 4 2 3 2 10" xfId="3010"/>
    <cellStyle name="Normal 4 2 3 2 11" xfId="3011"/>
    <cellStyle name="Normal 4 2 3 2 12" xfId="3012"/>
    <cellStyle name="Normal 4 2 3 2 2" xfId="3013"/>
    <cellStyle name="Normal 4 2 3 2 2 2" xfId="3014"/>
    <cellStyle name="Normal 4 2 3 2 2 2 2" xfId="3015"/>
    <cellStyle name="Normal 4 2 3 2 2 2 2 2" xfId="3016"/>
    <cellStyle name="Normal 4 2 3 2 2 2 2 2 2" xfId="3017"/>
    <cellStyle name="Normal 4 2 3 2 2 2 2 2 2 2" xfId="3018"/>
    <cellStyle name="Normal 4 2 3 2 2 2 2 2 2 3" xfId="3019"/>
    <cellStyle name="Normal 4 2 3 2 2 2 2 2 3" xfId="3020"/>
    <cellStyle name="Normal 4 2 3 2 2 2 2 2 4" xfId="3021"/>
    <cellStyle name="Normal 4 2 3 2 2 2 2 2 5" xfId="3022"/>
    <cellStyle name="Normal 4 2 3 2 2 2 2 3" xfId="3023"/>
    <cellStyle name="Normal 4 2 3 2 2 2 2 3 2" xfId="3024"/>
    <cellStyle name="Normal 4 2 3 2 2 2 2 3 2 2" xfId="3025"/>
    <cellStyle name="Normal 4 2 3 2 2 2 2 3 2 3" xfId="3026"/>
    <cellStyle name="Normal 4 2 3 2 2 2 2 3 3" xfId="3027"/>
    <cellStyle name="Normal 4 2 3 2 2 2 2 3 4" xfId="3028"/>
    <cellStyle name="Normal 4 2 3 2 2 2 2 3 5" xfId="3029"/>
    <cellStyle name="Normal 4 2 3 2 2 2 2 4" xfId="3030"/>
    <cellStyle name="Normal 4 2 3 2 2 2 2 4 2" xfId="3031"/>
    <cellStyle name="Normal 4 2 3 2 2 2 2 4 3" xfId="3032"/>
    <cellStyle name="Normal 4 2 3 2 2 2 2 5" xfId="3033"/>
    <cellStyle name="Normal 4 2 3 2 2 2 2 6" xfId="3034"/>
    <cellStyle name="Normal 4 2 3 2 2 2 2 7" xfId="3035"/>
    <cellStyle name="Normal 4 2 3 2 2 2 3" xfId="3036"/>
    <cellStyle name="Normal 4 2 3 2 2 2 3 2" xfId="3037"/>
    <cellStyle name="Normal 4 2 3 2 2 2 3 2 2" xfId="3038"/>
    <cellStyle name="Normal 4 2 3 2 2 2 3 2 3" xfId="3039"/>
    <cellStyle name="Normal 4 2 3 2 2 2 3 3" xfId="3040"/>
    <cellStyle name="Normal 4 2 3 2 2 2 3 4" xfId="3041"/>
    <cellStyle name="Normal 4 2 3 2 2 2 3 5" xfId="3042"/>
    <cellStyle name="Normal 4 2 3 2 2 2 4" xfId="3043"/>
    <cellStyle name="Normal 4 2 3 2 2 2 4 2" xfId="3044"/>
    <cellStyle name="Normal 4 2 3 2 2 2 4 2 2" xfId="3045"/>
    <cellStyle name="Normal 4 2 3 2 2 2 4 2 3" xfId="3046"/>
    <cellStyle name="Normal 4 2 3 2 2 2 4 3" xfId="3047"/>
    <cellStyle name="Normal 4 2 3 2 2 2 4 4" xfId="3048"/>
    <cellStyle name="Normal 4 2 3 2 2 2 4 5" xfId="3049"/>
    <cellStyle name="Normal 4 2 3 2 2 2 5" xfId="3050"/>
    <cellStyle name="Normal 4 2 3 2 2 2 5 2" xfId="3051"/>
    <cellStyle name="Normal 4 2 3 2 2 2 5 3" xfId="3052"/>
    <cellStyle name="Normal 4 2 3 2 2 2 6" xfId="3053"/>
    <cellStyle name="Normal 4 2 3 2 2 2 7" xfId="3054"/>
    <cellStyle name="Normal 4 2 3 2 2 2 8" xfId="3055"/>
    <cellStyle name="Normal 4 2 3 2 2 3" xfId="3056"/>
    <cellStyle name="Normal 4 2 3 2 2 3 2" xfId="3057"/>
    <cellStyle name="Normal 4 2 3 2 2 3 2 2" xfId="3058"/>
    <cellStyle name="Normal 4 2 3 2 2 3 2 2 2" xfId="3059"/>
    <cellStyle name="Normal 4 2 3 2 2 3 2 2 3" xfId="3060"/>
    <cellStyle name="Normal 4 2 3 2 2 3 2 3" xfId="3061"/>
    <cellStyle name="Normal 4 2 3 2 2 3 2 4" xfId="3062"/>
    <cellStyle name="Normal 4 2 3 2 2 3 2 5" xfId="3063"/>
    <cellStyle name="Normal 4 2 3 2 2 3 3" xfId="3064"/>
    <cellStyle name="Normal 4 2 3 2 2 3 3 2" xfId="3065"/>
    <cellStyle name="Normal 4 2 3 2 2 3 3 2 2" xfId="3066"/>
    <cellStyle name="Normal 4 2 3 2 2 3 3 2 3" xfId="3067"/>
    <cellStyle name="Normal 4 2 3 2 2 3 3 3" xfId="3068"/>
    <cellStyle name="Normal 4 2 3 2 2 3 3 4" xfId="3069"/>
    <cellStyle name="Normal 4 2 3 2 2 3 3 5" xfId="3070"/>
    <cellStyle name="Normal 4 2 3 2 2 3 4" xfId="3071"/>
    <cellStyle name="Normal 4 2 3 2 2 3 4 2" xfId="3072"/>
    <cellStyle name="Normal 4 2 3 2 2 3 4 3" xfId="3073"/>
    <cellStyle name="Normal 4 2 3 2 2 3 5" xfId="3074"/>
    <cellStyle name="Normal 4 2 3 2 2 3 6" xfId="3075"/>
    <cellStyle name="Normal 4 2 3 2 2 3 7" xfId="3076"/>
    <cellStyle name="Normal 4 2 3 2 2 4" xfId="3077"/>
    <cellStyle name="Normal 4 2 3 2 2 4 2" xfId="3078"/>
    <cellStyle name="Normal 4 2 3 2 2 4 2 2" xfId="3079"/>
    <cellStyle name="Normal 4 2 3 2 2 4 2 3" xfId="3080"/>
    <cellStyle name="Normal 4 2 3 2 2 4 3" xfId="3081"/>
    <cellStyle name="Normal 4 2 3 2 2 4 4" xfId="3082"/>
    <cellStyle name="Normal 4 2 3 2 2 4 5" xfId="3083"/>
    <cellStyle name="Normal 4 2 3 2 2 5" xfId="3084"/>
    <cellStyle name="Normal 4 2 3 2 2 5 2" xfId="3085"/>
    <cellStyle name="Normal 4 2 3 2 2 5 2 2" xfId="3086"/>
    <cellStyle name="Normal 4 2 3 2 2 5 2 3" xfId="3087"/>
    <cellStyle name="Normal 4 2 3 2 2 5 3" xfId="3088"/>
    <cellStyle name="Normal 4 2 3 2 2 5 4" xfId="3089"/>
    <cellStyle name="Normal 4 2 3 2 2 5 5" xfId="3090"/>
    <cellStyle name="Normal 4 2 3 2 2 6" xfId="3091"/>
    <cellStyle name="Normal 4 2 3 2 2 6 2" xfId="3092"/>
    <cellStyle name="Normal 4 2 3 2 2 6 3" xfId="3093"/>
    <cellStyle name="Normal 4 2 3 2 2 7" xfId="3094"/>
    <cellStyle name="Normal 4 2 3 2 2 8" xfId="3095"/>
    <cellStyle name="Normal 4 2 3 2 2 9" xfId="3096"/>
    <cellStyle name="Normal 4 2 3 2 3" xfId="3097"/>
    <cellStyle name="Normal 4 2 3 2 3 2" xfId="3098"/>
    <cellStyle name="Normal 4 2 3 2 3 2 2" xfId="3099"/>
    <cellStyle name="Normal 4 2 3 2 3 2 2 2" xfId="3100"/>
    <cellStyle name="Normal 4 2 3 2 3 2 2 2 2" xfId="3101"/>
    <cellStyle name="Normal 4 2 3 2 3 2 2 2 2 2" xfId="3102"/>
    <cellStyle name="Normal 4 2 3 2 3 2 2 2 2 3" xfId="3103"/>
    <cellStyle name="Normal 4 2 3 2 3 2 2 2 3" xfId="3104"/>
    <cellStyle name="Normal 4 2 3 2 3 2 2 2 4" xfId="3105"/>
    <cellStyle name="Normal 4 2 3 2 3 2 2 2 5" xfId="3106"/>
    <cellStyle name="Normal 4 2 3 2 3 2 2 3" xfId="3107"/>
    <cellStyle name="Normal 4 2 3 2 3 2 2 3 2" xfId="3108"/>
    <cellStyle name="Normal 4 2 3 2 3 2 2 3 2 2" xfId="3109"/>
    <cellStyle name="Normal 4 2 3 2 3 2 2 3 2 3" xfId="3110"/>
    <cellStyle name="Normal 4 2 3 2 3 2 2 3 3" xfId="3111"/>
    <cellStyle name="Normal 4 2 3 2 3 2 2 3 4" xfId="3112"/>
    <cellStyle name="Normal 4 2 3 2 3 2 2 3 5" xfId="3113"/>
    <cellStyle name="Normal 4 2 3 2 3 2 2 4" xfId="3114"/>
    <cellStyle name="Normal 4 2 3 2 3 2 2 4 2" xfId="3115"/>
    <cellStyle name="Normal 4 2 3 2 3 2 2 4 3" xfId="3116"/>
    <cellStyle name="Normal 4 2 3 2 3 2 2 5" xfId="3117"/>
    <cellStyle name="Normal 4 2 3 2 3 2 2 6" xfId="3118"/>
    <cellStyle name="Normal 4 2 3 2 3 2 2 7" xfId="3119"/>
    <cellStyle name="Normal 4 2 3 2 3 2 3" xfId="3120"/>
    <cellStyle name="Normal 4 2 3 2 3 2 3 2" xfId="3121"/>
    <cellStyle name="Normal 4 2 3 2 3 2 3 2 2" xfId="3122"/>
    <cellStyle name="Normal 4 2 3 2 3 2 3 2 3" xfId="3123"/>
    <cellStyle name="Normal 4 2 3 2 3 2 3 3" xfId="3124"/>
    <cellStyle name="Normal 4 2 3 2 3 2 3 4" xfId="3125"/>
    <cellStyle name="Normal 4 2 3 2 3 2 3 5" xfId="3126"/>
    <cellStyle name="Normal 4 2 3 2 3 2 4" xfId="3127"/>
    <cellStyle name="Normal 4 2 3 2 3 2 4 2" xfId="3128"/>
    <cellStyle name="Normal 4 2 3 2 3 2 4 2 2" xfId="3129"/>
    <cellStyle name="Normal 4 2 3 2 3 2 4 2 3" xfId="3130"/>
    <cellStyle name="Normal 4 2 3 2 3 2 4 3" xfId="3131"/>
    <cellStyle name="Normal 4 2 3 2 3 2 4 4" xfId="3132"/>
    <cellStyle name="Normal 4 2 3 2 3 2 4 5" xfId="3133"/>
    <cellStyle name="Normal 4 2 3 2 3 2 5" xfId="3134"/>
    <cellStyle name="Normal 4 2 3 2 3 2 5 2" xfId="3135"/>
    <cellStyle name="Normal 4 2 3 2 3 2 5 3" xfId="3136"/>
    <cellStyle name="Normal 4 2 3 2 3 2 6" xfId="3137"/>
    <cellStyle name="Normal 4 2 3 2 3 2 7" xfId="3138"/>
    <cellStyle name="Normal 4 2 3 2 3 2 8" xfId="3139"/>
    <cellStyle name="Normal 4 2 3 2 3 3" xfId="3140"/>
    <cellStyle name="Normal 4 2 3 2 3 3 2" xfId="3141"/>
    <cellStyle name="Normal 4 2 3 2 3 3 2 2" xfId="3142"/>
    <cellStyle name="Normal 4 2 3 2 3 3 2 2 2" xfId="3143"/>
    <cellStyle name="Normal 4 2 3 2 3 3 2 2 3" xfId="3144"/>
    <cellStyle name="Normal 4 2 3 2 3 3 2 3" xfId="3145"/>
    <cellStyle name="Normal 4 2 3 2 3 3 2 4" xfId="3146"/>
    <cellStyle name="Normal 4 2 3 2 3 3 2 5" xfId="3147"/>
    <cellStyle name="Normal 4 2 3 2 3 3 3" xfId="3148"/>
    <cellStyle name="Normal 4 2 3 2 3 3 3 2" xfId="3149"/>
    <cellStyle name="Normal 4 2 3 2 3 3 3 2 2" xfId="3150"/>
    <cellStyle name="Normal 4 2 3 2 3 3 3 2 3" xfId="3151"/>
    <cellStyle name="Normal 4 2 3 2 3 3 3 3" xfId="3152"/>
    <cellStyle name="Normal 4 2 3 2 3 3 3 4" xfId="3153"/>
    <cellStyle name="Normal 4 2 3 2 3 3 3 5" xfId="3154"/>
    <cellStyle name="Normal 4 2 3 2 3 3 4" xfId="3155"/>
    <cellStyle name="Normal 4 2 3 2 3 3 4 2" xfId="3156"/>
    <cellStyle name="Normal 4 2 3 2 3 3 4 3" xfId="3157"/>
    <cellStyle name="Normal 4 2 3 2 3 3 5" xfId="3158"/>
    <cellStyle name="Normal 4 2 3 2 3 3 6" xfId="3159"/>
    <cellStyle name="Normal 4 2 3 2 3 3 7" xfId="3160"/>
    <cellStyle name="Normal 4 2 3 2 3 4" xfId="3161"/>
    <cellStyle name="Normal 4 2 3 2 3 4 2" xfId="3162"/>
    <cellStyle name="Normal 4 2 3 2 3 4 2 2" xfId="3163"/>
    <cellStyle name="Normal 4 2 3 2 3 4 2 3" xfId="3164"/>
    <cellStyle name="Normal 4 2 3 2 3 4 3" xfId="3165"/>
    <cellStyle name="Normal 4 2 3 2 3 4 4" xfId="3166"/>
    <cellStyle name="Normal 4 2 3 2 3 4 5" xfId="3167"/>
    <cellStyle name="Normal 4 2 3 2 3 5" xfId="3168"/>
    <cellStyle name="Normal 4 2 3 2 3 5 2" xfId="3169"/>
    <cellStyle name="Normal 4 2 3 2 3 5 2 2" xfId="3170"/>
    <cellStyle name="Normal 4 2 3 2 3 5 2 3" xfId="3171"/>
    <cellStyle name="Normal 4 2 3 2 3 5 3" xfId="3172"/>
    <cellStyle name="Normal 4 2 3 2 3 5 4" xfId="3173"/>
    <cellStyle name="Normal 4 2 3 2 3 5 5" xfId="3174"/>
    <cellStyle name="Normal 4 2 3 2 3 6" xfId="3175"/>
    <cellStyle name="Normal 4 2 3 2 3 6 2" xfId="3176"/>
    <cellStyle name="Normal 4 2 3 2 3 6 3" xfId="3177"/>
    <cellStyle name="Normal 4 2 3 2 3 7" xfId="3178"/>
    <cellStyle name="Normal 4 2 3 2 3 8" xfId="3179"/>
    <cellStyle name="Normal 4 2 3 2 3 9" xfId="3180"/>
    <cellStyle name="Normal 4 2 3 2 4" xfId="3181"/>
    <cellStyle name="Normal 4 2 3 2 4 2" xfId="3182"/>
    <cellStyle name="Normal 4 2 3 2 4 2 2" xfId="3183"/>
    <cellStyle name="Normal 4 2 3 2 4 2 2 2" xfId="3184"/>
    <cellStyle name="Normal 4 2 3 2 4 2 2 2 2" xfId="3185"/>
    <cellStyle name="Normal 4 2 3 2 4 2 2 2 2 2" xfId="3186"/>
    <cellStyle name="Normal 4 2 3 2 4 2 2 2 2 3" xfId="3187"/>
    <cellStyle name="Normal 4 2 3 2 4 2 2 2 3" xfId="3188"/>
    <cellStyle name="Normal 4 2 3 2 4 2 2 2 4" xfId="3189"/>
    <cellStyle name="Normal 4 2 3 2 4 2 2 2 5" xfId="3190"/>
    <cellStyle name="Normal 4 2 3 2 4 2 2 3" xfId="3191"/>
    <cellStyle name="Normal 4 2 3 2 4 2 2 3 2" xfId="3192"/>
    <cellStyle name="Normal 4 2 3 2 4 2 2 3 2 2" xfId="3193"/>
    <cellStyle name="Normal 4 2 3 2 4 2 2 3 2 3" xfId="3194"/>
    <cellStyle name="Normal 4 2 3 2 4 2 2 3 3" xfId="3195"/>
    <cellStyle name="Normal 4 2 3 2 4 2 2 3 4" xfId="3196"/>
    <cellStyle name="Normal 4 2 3 2 4 2 2 3 5" xfId="3197"/>
    <cellStyle name="Normal 4 2 3 2 4 2 2 4" xfId="3198"/>
    <cellStyle name="Normal 4 2 3 2 4 2 2 4 2" xfId="3199"/>
    <cellStyle name="Normal 4 2 3 2 4 2 2 4 3" xfId="3200"/>
    <cellStyle name="Normal 4 2 3 2 4 2 2 5" xfId="3201"/>
    <cellStyle name="Normal 4 2 3 2 4 2 2 6" xfId="3202"/>
    <cellStyle name="Normal 4 2 3 2 4 2 2 7" xfId="3203"/>
    <cellStyle name="Normal 4 2 3 2 4 2 3" xfId="3204"/>
    <cellStyle name="Normal 4 2 3 2 4 2 3 2" xfId="3205"/>
    <cellStyle name="Normal 4 2 3 2 4 2 3 2 2" xfId="3206"/>
    <cellStyle name="Normal 4 2 3 2 4 2 3 2 3" xfId="3207"/>
    <cellStyle name="Normal 4 2 3 2 4 2 3 3" xfId="3208"/>
    <cellStyle name="Normal 4 2 3 2 4 2 3 4" xfId="3209"/>
    <cellStyle name="Normal 4 2 3 2 4 2 3 5" xfId="3210"/>
    <cellStyle name="Normal 4 2 3 2 4 2 4" xfId="3211"/>
    <cellStyle name="Normal 4 2 3 2 4 2 4 2" xfId="3212"/>
    <cellStyle name="Normal 4 2 3 2 4 2 4 2 2" xfId="3213"/>
    <cellStyle name="Normal 4 2 3 2 4 2 4 2 3" xfId="3214"/>
    <cellStyle name="Normal 4 2 3 2 4 2 4 3" xfId="3215"/>
    <cellStyle name="Normal 4 2 3 2 4 2 4 4" xfId="3216"/>
    <cellStyle name="Normal 4 2 3 2 4 2 4 5" xfId="3217"/>
    <cellStyle name="Normal 4 2 3 2 4 2 5" xfId="3218"/>
    <cellStyle name="Normal 4 2 3 2 4 2 5 2" xfId="3219"/>
    <cellStyle name="Normal 4 2 3 2 4 2 5 3" xfId="3220"/>
    <cellStyle name="Normal 4 2 3 2 4 2 6" xfId="3221"/>
    <cellStyle name="Normal 4 2 3 2 4 2 7" xfId="3222"/>
    <cellStyle name="Normal 4 2 3 2 4 2 8" xfId="3223"/>
    <cellStyle name="Normal 4 2 3 2 4 3" xfId="3224"/>
    <cellStyle name="Normal 4 2 3 2 4 3 2" xfId="3225"/>
    <cellStyle name="Normal 4 2 3 2 4 3 2 2" xfId="3226"/>
    <cellStyle name="Normal 4 2 3 2 4 3 2 2 2" xfId="3227"/>
    <cellStyle name="Normal 4 2 3 2 4 3 2 2 3" xfId="3228"/>
    <cellStyle name="Normal 4 2 3 2 4 3 2 3" xfId="3229"/>
    <cellStyle name="Normal 4 2 3 2 4 3 2 4" xfId="3230"/>
    <cellStyle name="Normal 4 2 3 2 4 3 2 5" xfId="3231"/>
    <cellStyle name="Normal 4 2 3 2 4 3 3" xfId="3232"/>
    <cellStyle name="Normal 4 2 3 2 4 3 3 2" xfId="3233"/>
    <cellStyle name="Normal 4 2 3 2 4 3 3 2 2" xfId="3234"/>
    <cellStyle name="Normal 4 2 3 2 4 3 3 2 3" xfId="3235"/>
    <cellStyle name="Normal 4 2 3 2 4 3 3 3" xfId="3236"/>
    <cellStyle name="Normal 4 2 3 2 4 3 3 4" xfId="3237"/>
    <cellStyle name="Normal 4 2 3 2 4 3 3 5" xfId="3238"/>
    <cellStyle name="Normal 4 2 3 2 4 3 4" xfId="3239"/>
    <cellStyle name="Normal 4 2 3 2 4 3 4 2" xfId="3240"/>
    <cellStyle name="Normal 4 2 3 2 4 3 4 3" xfId="3241"/>
    <cellStyle name="Normal 4 2 3 2 4 3 5" xfId="3242"/>
    <cellStyle name="Normal 4 2 3 2 4 3 6" xfId="3243"/>
    <cellStyle name="Normal 4 2 3 2 4 3 7" xfId="3244"/>
    <cellStyle name="Normal 4 2 3 2 4 4" xfId="3245"/>
    <cellStyle name="Normal 4 2 3 2 4 4 2" xfId="3246"/>
    <cellStyle name="Normal 4 2 3 2 4 4 2 2" xfId="3247"/>
    <cellStyle name="Normal 4 2 3 2 4 4 2 3" xfId="3248"/>
    <cellStyle name="Normal 4 2 3 2 4 4 3" xfId="3249"/>
    <cellStyle name="Normal 4 2 3 2 4 4 4" xfId="3250"/>
    <cellStyle name="Normal 4 2 3 2 4 4 5" xfId="3251"/>
    <cellStyle name="Normal 4 2 3 2 4 5" xfId="3252"/>
    <cellStyle name="Normal 4 2 3 2 4 5 2" xfId="3253"/>
    <cellStyle name="Normal 4 2 3 2 4 5 2 2" xfId="3254"/>
    <cellStyle name="Normal 4 2 3 2 4 5 2 3" xfId="3255"/>
    <cellStyle name="Normal 4 2 3 2 4 5 3" xfId="3256"/>
    <cellStyle name="Normal 4 2 3 2 4 5 4" xfId="3257"/>
    <cellStyle name="Normal 4 2 3 2 4 5 5" xfId="3258"/>
    <cellStyle name="Normal 4 2 3 2 4 6" xfId="3259"/>
    <cellStyle name="Normal 4 2 3 2 4 6 2" xfId="3260"/>
    <cellStyle name="Normal 4 2 3 2 4 6 3" xfId="3261"/>
    <cellStyle name="Normal 4 2 3 2 4 7" xfId="3262"/>
    <cellStyle name="Normal 4 2 3 2 4 8" xfId="3263"/>
    <cellStyle name="Normal 4 2 3 2 4 9" xfId="3264"/>
    <cellStyle name="Normal 4 2 3 2 5" xfId="3265"/>
    <cellStyle name="Normal 4 2 3 2 5 2" xfId="3266"/>
    <cellStyle name="Normal 4 2 3 2 5 2 2" xfId="3267"/>
    <cellStyle name="Normal 4 2 3 2 5 2 2 2" xfId="3268"/>
    <cellStyle name="Normal 4 2 3 2 5 2 2 2 2" xfId="3269"/>
    <cellStyle name="Normal 4 2 3 2 5 2 2 2 3" xfId="3270"/>
    <cellStyle name="Normal 4 2 3 2 5 2 2 3" xfId="3271"/>
    <cellStyle name="Normal 4 2 3 2 5 2 2 4" xfId="3272"/>
    <cellStyle name="Normal 4 2 3 2 5 2 2 5" xfId="3273"/>
    <cellStyle name="Normal 4 2 3 2 5 2 3" xfId="3274"/>
    <cellStyle name="Normal 4 2 3 2 5 2 3 2" xfId="3275"/>
    <cellStyle name="Normal 4 2 3 2 5 2 3 2 2" xfId="3276"/>
    <cellStyle name="Normal 4 2 3 2 5 2 3 2 3" xfId="3277"/>
    <cellStyle name="Normal 4 2 3 2 5 2 3 3" xfId="3278"/>
    <cellStyle name="Normal 4 2 3 2 5 2 3 4" xfId="3279"/>
    <cellStyle name="Normal 4 2 3 2 5 2 3 5" xfId="3280"/>
    <cellStyle name="Normal 4 2 3 2 5 2 4" xfId="3281"/>
    <cellStyle name="Normal 4 2 3 2 5 2 4 2" xfId="3282"/>
    <cellStyle name="Normal 4 2 3 2 5 2 4 3" xfId="3283"/>
    <cellStyle name="Normal 4 2 3 2 5 2 5" xfId="3284"/>
    <cellStyle name="Normal 4 2 3 2 5 2 6" xfId="3285"/>
    <cellStyle name="Normal 4 2 3 2 5 2 7" xfId="3286"/>
    <cellStyle name="Normal 4 2 3 2 5 3" xfId="3287"/>
    <cellStyle name="Normal 4 2 3 2 5 3 2" xfId="3288"/>
    <cellStyle name="Normal 4 2 3 2 5 3 2 2" xfId="3289"/>
    <cellStyle name="Normal 4 2 3 2 5 3 2 3" xfId="3290"/>
    <cellStyle name="Normal 4 2 3 2 5 3 3" xfId="3291"/>
    <cellStyle name="Normal 4 2 3 2 5 3 4" xfId="3292"/>
    <cellStyle name="Normal 4 2 3 2 5 3 5" xfId="3293"/>
    <cellStyle name="Normal 4 2 3 2 5 4" xfId="3294"/>
    <cellStyle name="Normal 4 2 3 2 5 4 2" xfId="3295"/>
    <cellStyle name="Normal 4 2 3 2 5 4 2 2" xfId="3296"/>
    <cellStyle name="Normal 4 2 3 2 5 4 2 3" xfId="3297"/>
    <cellStyle name="Normal 4 2 3 2 5 4 3" xfId="3298"/>
    <cellStyle name="Normal 4 2 3 2 5 4 4" xfId="3299"/>
    <cellStyle name="Normal 4 2 3 2 5 4 5" xfId="3300"/>
    <cellStyle name="Normal 4 2 3 2 5 5" xfId="3301"/>
    <cellStyle name="Normal 4 2 3 2 5 5 2" xfId="3302"/>
    <cellStyle name="Normal 4 2 3 2 5 5 3" xfId="3303"/>
    <cellStyle name="Normal 4 2 3 2 5 6" xfId="3304"/>
    <cellStyle name="Normal 4 2 3 2 5 7" xfId="3305"/>
    <cellStyle name="Normal 4 2 3 2 5 8" xfId="3306"/>
    <cellStyle name="Normal 4 2 3 2 6" xfId="3307"/>
    <cellStyle name="Normal 4 2 3 2 6 2" xfId="3308"/>
    <cellStyle name="Normal 4 2 3 2 6 2 2" xfId="3309"/>
    <cellStyle name="Normal 4 2 3 2 6 2 2 2" xfId="3310"/>
    <cellStyle name="Normal 4 2 3 2 6 2 2 3" xfId="3311"/>
    <cellStyle name="Normal 4 2 3 2 6 2 3" xfId="3312"/>
    <cellStyle name="Normal 4 2 3 2 6 2 4" xfId="3313"/>
    <cellStyle name="Normal 4 2 3 2 6 2 5" xfId="3314"/>
    <cellStyle name="Normal 4 2 3 2 6 3" xfId="3315"/>
    <cellStyle name="Normal 4 2 3 2 6 3 2" xfId="3316"/>
    <cellStyle name="Normal 4 2 3 2 6 3 2 2" xfId="3317"/>
    <cellStyle name="Normal 4 2 3 2 6 3 2 3" xfId="3318"/>
    <cellStyle name="Normal 4 2 3 2 6 3 3" xfId="3319"/>
    <cellStyle name="Normal 4 2 3 2 6 3 4" xfId="3320"/>
    <cellStyle name="Normal 4 2 3 2 6 3 5" xfId="3321"/>
    <cellStyle name="Normal 4 2 3 2 6 4" xfId="3322"/>
    <cellStyle name="Normal 4 2 3 2 6 4 2" xfId="3323"/>
    <cellStyle name="Normal 4 2 3 2 6 4 3" xfId="3324"/>
    <cellStyle name="Normal 4 2 3 2 6 5" xfId="3325"/>
    <cellStyle name="Normal 4 2 3 2 6 6" xfId="3326"/>
    <cellStyle name="Normal 4 2 3 2 6 7" xfId="3327"/>
    <cellStyle name="Normal 4 2 3 2 7" xfId="3328"/>
    <cellStyle name="Normal 4 2 3 2 7 2" xfId="3329"/>
    <cellStyle name="Normal 4 2 3 2 7 2 2" xfId="3330"/>
    <cellStyle name="Normal 4 2 3 2 7 2 3" xfId="3331"/>
    <cellStyle name="Normal 4 2 3 2 7 3" xfId="3332"/>
    <cellStyle name="Normal 4 2 3 2 7 4" xfId="3333"/>
    <cellStyle name="Normal 4 2 3 2 7 5" xfId="3334"/>
    <cellStyle name="Normal 4 2 3 2 8" xfId="3335"/>
    <cellStyle name="Normal 4 2 3 2 8 2" xfId="3336"/>
    <cellStyle name="Normal 4 2 3 2 8 2 2" xfId="3337"/>
    <cellStyle name="Normal 4 2 3 2 8 2 3" xfId="3338"/>
    <cellStyle name="Normal 4 2 3 2 8 3" xfId="3339"/>
    <cellStyle name="Normal 4 2 3 2 8 4" xfId="3340"/>
    <cellStyle name="Normal 4 2 3 2 8 5" xfId="3341"/>
    <cellStyle name="Normal 4 2 3 2 9" xfId="3342"/>
    <cellStyle name="Normal 4 2 3 2 9 2" xfId="3343"/>
    <cellStyle name="Normal 4 2 3 2 9 3" xfId="3344"/>
    <cellStyle name="Normal 4 2 3 3" xfId="3345"/>
    <cellStyle name="Normal 4 2 3 3 2" xfId="3346"/>
    <cellStyle name="Normal 4 2 3 3 2 2" xfId="3347"/>
    <cellStyle name="Normal 4 2 3 3 2 2 2" xfId="3348"/>
    <cellStyle name="Normal 4 2 3 3 2 2 2 2" xfId="3349"/>
    <cellStyle name="Normal 4 2 3 3 2 2 2 2 2" xfId="3350"/>
    <cellStyle name="Normal 4 2 3 3 2 2 2 2 3" xfId="3351"/>
    <cellStyle name="Normal 4 2 3 3 2 2 2 3" xfId="3352"/>
    <cellStyle name="Normal 4 2 3 3 2 2 2 4" xfId="3353"/>
    <cellStyle name="Normal 4 2 3 3 2 2 2 5" xfId="3354"/>
    <cellStyle name="Normal 4 2 3 3 2 2 3" xfId="3355"/>
    <cellStyle name="Normal 4 2 3 3 2 2 3 2" xfId="3356"/>
    <cellStyle name="Normal 4 2 3 3 2 2 3 2 2" xfId="3357"/>
    <cellStyle name="Normal 4 2 3 3 2 2 3 2 3" xfId="3358"/>
    <cellStyle name="Normal 4 2 3 3 2 2 3 3" xfId="3359"/>
    <cellStyle name="Normal 4 2 3 3 2 2 3 4" xfId="3360"/>
    <cellStyle name="Normal 4 2 3 3 2 2 3 5" xfId="3361"/>
    <cellStyle name="Normal 4 2 3 3 2 2 4" xfId="3362"/>
    <cellStyle name="Normal 4 2 3 3 2 2 4 2" xfId="3363"/>
    <cellStyle name="Normal 4 2 3 3 2 2 4 3" xfId="3364"/>
    <cellStyle name="Normal 4 2 3 3 2 2 5" xfId="3365"/>
    <cellStyle name="Normal 4 2 3 3 2 2 6" xfId="3366"/>
    <cellStyle name="Normal 4 2 3 3 2 2 7" xfId="3367"/>
    <cellStyle name="Normal 4 2 3 3 2 3" xfId="3368"/>
    <cellStyle name="Normal 4 2 3 3 2 3 2" xfId="3369"/>
    <cellStyle name="Normal 4 2 3 3 2 3 2 2" xfId="3370"/>
    <cellStyle name="Normal 4 2 3 3 2 3 2 3" xfId="3371"/>
    <cellStyle name="Normal 4 2 3 3 2 3 3" xfId="3372"/>
    <cellStyle name="Normal 4 2 3 3 2 3 4" xfId="3373"/>
    <cellStyle name="Normal 4 2 3 3 2 3 5" xfId="3374"/>
    <cellStyle name="Normal 4 2 3 3 2 4" xfId="3375"/>
    <cellStyle name="Normal 4 2 3 3 2 4 2" xfId="3376"/>
    <cellStyle name="Normal 4 2 3 3 2 4 2 2" xfId="3377"/>
    <cellStyle name="Normal 4 2 3 3 2 4 2 3" xfId="3378"/>
    <cellStyle name="Normal 4 2 3 3 2 4 3" xfId="3379"/>
    <cellStyle name="Normal 4 2 3 3 2 4 4" xfId="3380"/>
    <cellStyle name="Normal 4 2 3 3 2 4 5" xfId="3381"/>
    <cellStyle name="Normal 4 2 3 3 2 5" xfId="3382"/>
    <cellStyle name="Normal 4 2 3 3 2 5 2" xfId="3383"/>
    <cellStyle name="Normal 4 2 3 3 2 5 3" xfId="3384"/>
    <cellStyle name="Normal 4 2 3 3 2 6" xfId="3385"/>
    <cellStyle name="Normal 4 2 3 3 2 7" xfId="3386"/>
    <cellStyle name="Normal 4 2 3 3 2 8" xfId="3387"/>
    <cellStyle name="Normal 4 2 3 3 3" xfId="3388"/>
    <cellStyle name="Normal 4 2 3 3 3 2" xfId="3389"/>
    <cellStyle name="Normal 4 2 3 3 3 2 2" xfId="3390"/>
    <cellStyle name="Normal 4 2 3 3 3 2 2 2" xfId="3391"/>
    <cellStyle name="Normal 4 2 3 3 3 2 2 3" xfId="3392"/>
    <cellStyle name="Normal 4 2 3 3 3 2 3" xfId="3393"/>
    <cellStyle name="Normal 4 2 3 3 3 2 4" xfId="3394"/>
    <cellStyle name="Normal 4 2 3 3 3 2 5" xfId="3395"/>
    <cellStyle name="Normal 4 2 3 3 3 3" xfId="3396"/>
    <cellStyle name="Normal 4 2 3 3 3 3 2" xfId="3397"/>
    <cellStyle name="Normal 4 2 3 3 3 3 2 2" xfId="3398"/>
    <cellStyle name="Normal 4 2 3 3 3 3 2 3" xfId="3399"/>
    <cellStyle name="Normal 4 2 3 3 3 3 3" xfId="3400"/>
    <cellStyle name="Normal 4 2 3 3 3 3 4" xfId="3401"/>
    <cellStyle name="Normal 4 2 3 3 3 3 5" xfId="3402"/>
    <cellStyle name="Normal 4 2 3 3 3 4" xfId="3403"/>
    <cellStyle name="Normal 4 2 3 3 3 4 2" xfId="3404"/>
    <cellStyle name="Normal 4 2 3 3 3 4 3" xfId="3405"/>
    <cellStyle name="Normal 4 2 3 3 3 5" xfId="3406"/>
    <cellStyle name="Normal 4 2 3 3 3 6" xfId="3407"/>
    <cellStyle name="Normal 4 2 3 3 3 7" xfId="3408"/>
    <cellStyle name="Normal 4 2 3 3 4" xfId="3409"/>
    <cellStyle name="Normal 4 2 3 3 4 2" xfId="3410"/>
    <cellStyle name="Normal 4 2 3 3 4 2 2" xfId="3411"/>
    <cellStyle name="Normal 4 2 3 3 4 2 3" xfId="3412"/>
    <cellStyle name="Normal 4 2 3 3 4 3" xfId="3413"/>
    <cellStyle name="Normal 4 2 3 3 4 4" xfId="3414"/>
    <cellStyle name="Normal 4 2 3 3 4 5" xfId="3415"/>
    <cellStyle name="Normal 4 2 3 3 5" xfId="3416"/>
    <cellStyle name="Normal 4 2 3 3 5 2" xfId="3417"/>
    <cellStyle name="Normal 4 2 3 3 5 2 2" xfId="3418"/>
    <cellStyle name="Normal 4 2 3 3 5 2 3" xfId="3419"/>
    <cellStyle name="Normal 4 2 3 3 5 3" xfId="3420"/>
    <cellStyle name="Normal 4 2 3 3 5 4" xfId="3421"/>
    <cellStyle name="Normal 4 2 3 3 5 5" xfId="3422"/>
    <cellStyle name="Normal 4 2 3 3 6" xfId="3423"/>
    <cellStyle name="Normal 4 2 3 3 6 2" xfId="3424"/>
    <cellStyle name="Normal 4 2 3 3 6 3" xfId="3425"/>
    <cellStyle name="Normal 4 2 3 3 7" xfId="3426"/>
    <cellStyle name="Normal 4 2 3 3 8" xfId="3427"/>
    <cellStyle name="Normal 4 2 3 3 9" xfId="3428"/>
    <cellStyle name="Normal 4 2 3 4" xfId="3429"/>
    <cellStyle name="Normal 4 2 3 4 2" xfId="3430"/>
    <cellStyle name="Normal 4 2 3 4 2 2" xfId="3431"/>
    <cellStyle name="Normal 4 2 3 4 2 2 2" xfId="3432"/>
    <cellStyle name="Normal 4 2 3 4 2 2 2 2" xfId="3433"/>
    <cellStyle name="Normal 4 2 3 4 2 2 2 2 2" xfId="3434"/>
    <cellStyle name="Normal 4 2 3 4 2 2 2 2 3" xfId="3435"/>
    <cellStyle name="Normal 4 2 3 4 2 2 2 3" xfId="3436"/>
    <cellStyle name="Normal 4 2 3 4 2 2 2 4" xfId="3437"/>
    <cellStyle name="Normal 4 2 3 4 2 2 2 5" xfId="3438"/>
    <cellStyle name="Normal 4 2 3 4 2 2 3" xfId="3439"/>
    <cellStyle name="Normal 4 2 3 4 2 2 3 2" xfId="3440"/>
    <cellStyle name="Normal 4 2 3 4 2 2 3 2 2" xfId="3441"/>
    <cellStyle name="Normal 4 2 3 4 2 2 3 2 3" xfId="3442"/>
    <cellStyle name="Normal 4 2 3 4 2 2 3 3" xfId="3443"/>
    <cellStyle name="Normal 4 2 3 4 2 2 3 4" xfId="3444"/>
    <cellStyle name="Normal 4 2 3 4 2 2 3 5" xfId="3445"/>
    <cellStyle name="Normal 4 2 3 4 2 2 4" xfId="3446"/>
    <cellStyle name="Normal 4 2 3 4 2 2 4 2" xfId="3447"/>
    <cellStyle name="Normal 4 2 3 4 2 2 4 3" xfId="3448"/>
    <cellStyle name="Normal 4 2 3 4 2 2 5" xfId="3449"/>
    <cellStyle name="Normal 4 2 3 4 2 2 6" xfId="3450"/>
    <cellStyle name="Normal 4 2 3 4 2 2 7" xfId="3451"/>
    <cellStyle name="Normal 4 2 3 4 2 3" xfId="3452"/>
    <cellStyle name="Normal 4 2 3 4 2 3 2" xfId="3453"/>
    <cellStyle name="Normal 4 2 3 4 2 3 2 2" xfId="3454"/>
    <cellStyle name="Normal 4 2 3 4 2 3 2 3" xfId="3455"/>
    <cellStyle name="Normal 4 2 3 4 2 3 3" xfId="3456"/>
    <cellStyle name="Normal 4 2 3 4 2 3 4" xfId="3457"/>
    <cellStyle name="Normal 4 2 3 4 2 3 5" xfId="3458"/>
    <cellStyle name="Normal 4 2 3 4 2 4" xfId="3459"/>
    <cellStyle name="Normal 4 2 3 4 2 4 2" xfId="3460"/>
    <cellStyle name="Normal 4 2 3 4 2 4 2 2" xfId="3461"/>
    <cellStyle name="Normal 4 2 3 4 2 4 2 3" xfId="3462"/>
    <cellStyle name="Normal 4 2 3 4 2 4 3" xfId="3463"/>
    <cellStyle name="Normal 4 2 3 4 2 4 4" xfId="3464"/>
    <cellStyle name="Normal 4 2 3 4 2 4 5" xfId="3465"/>
    <cellStyle name="Normal 4 2 3 4 2 5" xfId="3466"/>
    <cellStyle name="Normal 4 2 3 4 2 5 2" xfId="3467"/>
    <cellStyle name="Normal 4 2 3 4 2 5 3" xfId="3468"/>
    <cellStyle name="Normal 4 2 3 4 2 6" xfId="3469"/>
    <cellStyle name="Normal 4 2 3 4 2 7" xfId="3470"/>
    <cellStyle name="Normal 4 2 3 4 2 8" xfId="3471"/>
    <cellStyle name="Normal 4 2 3 4 3" xfId="3472"/>
    <cellStyle name="Normal 4 2 3 4 3 2" xfId="3473"/>
    <cellStyle name="Normal 4 2 3 4 3 2 2" xfId="3474"/>
    <cellStyle name="Normal 4 2 3 4 3 2 2 2" xfId="3475"/>
    <cellStyle name="Normal 4 2 3 4 3 2 2 3" xfId="3476"/>
    <cellStyle name="Normal 4 2 3 4 3 2 3" xfId="3477"/>
    <cellStyle name="Normal 4 2 3 4 3 2 4" xfId="3478"/>
    <cellStyle name="Normal 4 2 3 4 3 2 5" xfId="3479"/>
    <cellStyle name="Normal 4 2 3 4 3 3" xfId="3480"/>
    <cellStyle name="Normal 4 2 3 4 3 3 2" xfId="3481"/>
    <cellStyle name="Normal 4 2 3 4 3 3 2 2" xfId="3482"/>
    <cellStyle name="Normal 4 2 3 4 3 3 2 3" xfId="3483"/>
    <cellStyle name="Normal 4 2 3 4 3 3 3" xfId="3484"/>
    <cellStyle name="Normal 4 2 3 4 3 3 4" xfId="3485"/>
    <cellStyle name="Normal 4 2 3 4 3 3 5" xfId="3486"/>
    <cellStyle name="Normal 4 2 3 4 3 4" xfId="3487"/>
    <cellStyle name="Normal 4 2 3 4 3 4 2" xfId="3488"/>
    <cellStyle name="Normal 4 2 3 4 3 4 3" xfId="3489"/>
    <cellStyle name="Normal 4 2 3 4 3 5" xfId="3490"/>
    <cellStyle name="Normal 4 2 3 4 3 6" xfId="3491"/>
    <cellStyle name="Normal 4 2 3 4 3 7" xfId="3492"/>
    <cellStyle name="Normal 4 2 3 4 4" xfId="3493"/>
    <cellStyle name="Normal 4 2 3 4 4 2" xfId="3494"/>
    <cellStyle name="Normal 4 2 3 4 4 2 2" xfId="3495"/>
    <cellStyle name="Normal 4 2 3 4 4 2 3" xfId="3496"/>
    <cellStyle name="Normal 4 2 3 4 4 3" xfId="3497"/>
    <cellStyle name="Normal 4 2 3 4 4 4" xfId="3498"/>
    <cellStyle name="Normal 4 2 3 4 4 5" xfId="3499"/>
    <cellStyle name="Normal 4 2 3 4 5" xfId="3500"/>
    <cellStyle name="Normal 4 2 3 4 5 2" xfId="3501"/>
    <cellStyle name="Normal 4 2 3 4 5 2 2" xfId="3502"/>
    <cellStyle name="Normal 4 2 3 4 5 2 3" xfId="3503"/>
    <cellStyle name="Normal 4 2 3 4 5 3" xfId="3504"/>
    <cellStyle name="Normal 4 2 3 4 5 4" xfId="3505"/>
    <cellStyle name="Normal 4 2 3 4 5 5" xfId="3506"/>
    <cellStyle name="Normal 4 2 3 4 6" xfId="3507"/>
    <cellStyle name="Normal 4 2 3 4 6 2" xfId="3508"/>
    <cellStyle name="Normal 4 2 3 4 6 3" xfId="3509"/>
    <cellStyle name="Normal 4 2 3 4 7" xfId="3510"/>
    <cellStyle name="Normal 4 2 3 4 8" xfId="3511"/>
    <cellStyle name="Normal 4 2 3 4 9" xfId="3512"/>
    <cellStyle name="Normal 4 2 3 5" xfId="3513"/>
    <cellStyle name="Normal 4 2 3 5 2" xfId="3514"/>
    <cellStyle name="Normal 4 2 3 5 2 2" xfId="3515"/>
    <cellStyle name="Normal 4 2 3 5 2 2 2" xfId="3516"/>
    <cellStyle name="Normal 4 2 3 5 2 2 2 2" xfId="3517"/>
    <cellStyle name="Normal 4 2 3 5 2 2 2 2 2" xfId="3518"/>
    <cellStyle name="Normal 4 2 3 5 2 2 2 2 3" xfId="3519"/>
    <cellStyle name="Normal 4 2 3 5 2 2 2 3" xfId="3520"/>
    <cellStyle name="Normal 4 2 3 5 2 2 2 4" xfId="3521"/>
    <cellStyle name="Normal 4 2 3 5 2 2 2 5" xfId="3522"/>
    <cellStyle name="Normal 4 2 3 5 2 2 3" xfId="3523"/>
    <cellStyle name="Normal 4 2 3 5 2 2 3 2" xfId="3524"/>
    <cellStyle name="Normal 4 2 3 5 2 2 3 2 2" xfId="3525"/>
    <cellStyle name="Normal 4 2 3 5 2 2 3 2 3" xfId="3526"/>
    <cellStyle name="Normal 4 2 3 5 2 2 3 3" xfId="3527"/>
    <cellStyle name="Normal 4 2 3 5 2 2 3 4" xfId="3528"/>
    <cellStyle name="Normal 4 2 3 5 2 2 3 5" xfId="3529"/>
    <cellStyle name="Normal 4 2 3 5 2 2 4" xfId="3530"/>
    <cellStyle name="Normal 4 2 3 5 2 2 4 2" xfId="3531"/>
    <cellStyle name="Normal 4 2 3 5 2 2 4 3" xfId="3532"/>
    <cellStyle name="Normal 4 2 3 5 2 2 5" xfId="3533"/>
    <cellStyle name="Normal 4 2 3 5 2 2 6" xfId="3534"/>
    <cellStyle name="Normal 4 2 3 5 2 2 7" xfId="3535"/>
    <cellStyle name="Normal 4 2 3 5 2 3" xfId="3536"/>
    <cellStyle name="Normal 4 2 3 5 2 3 2" xfId="3537"/>
    <cellStyle name="Normal 4 2 3 5 2 3 2 2" xfId="3538"/>
    <cellStyle name="Normal 4 2 3 5 2 3 2 3" xfId="3539"/>
    <cellStyle name="Normal 4 2 3 5 2 3 3" xfId="3540"/>
    <cellStyle name="Normal 4 2 3 5 2 3 4" xfId="3541"/>
    <cellStyle name="Normal 4 2 3 5 2 3 5" xfId="3542"/>
    <cellStyle name="Normal 4 2 3 5 2 4" xfId="3543"/>
    <cellStyle name="Normal 4 2 3 5 2 4 2" xfId="3544"/>
    <cellStyle name="Normal 4 2 3 5 2 4 2 2" xfId="3545"/>
    <cellStyle name="Normal 4 2 3 5 2 4 2 3" xfId="3546"/>
    <cellStyle name="Normal 4 2 3 5 2 4 3" xfId="3547"/>
    <cellStyle name="Normal 4 2 3 5 2 4 4" xfId="3548"/>
    <cellStyle name="Normal 4 2 3 5 2 4 5" xfId="3549"/>
    <cellStyle name="Normal 4 2 3 5 2 5" xfId="3550"/>
    <cellStyle name="Normal 4 2 3 5 2 5 2" xfId="3551"/>
    <cellStyle name="Normal 4 2 3 5 2 5 3" xfId="3552"/>
    <cellStyle name="Normal 4 2 3 5 2 6" xfId="3553"/>
    <cellStyle name="Normal 4 2 3 5 2 7" xfId="3554"/>
    <cellStyle name="Normal 4 2 3 5 2 8" xfId="3555"/>
    <cellStyle name="Normal 4 2 3 5 3" xfId="3556"/>
    <cellStyle name="Normal 4 2 3 5 3 2" xfId="3557"/>
    <cellStyle name="Normal 4 2 3 5 3 2 2" xfId="3558"/>
    <cellStyle name="Normal 4 2 3 5 3 2 2 2" xfId="3559"/>
    <cellStyle name="Normal 4 2 3 5 3 2 2 3" xfId="3560"/>
    <cellStyle name="Normal 4 2 3 5 3 2 3" xfId="3561"/>
    <cellStyle name="Normal 4 2 3 5 3 2 4" xfId="3562"/>
    <cellStyle name="Normal 4 2 3 5 3 2 5" xfId="3563"/>
    <cellStyle name="Normal 4 2 3 5 3 3" xfId="3564"/>
    <cellStyle name="Normal 4 2 3 5 3 3 2" xfId="3565"/>
    <cellStyle name="Normal 4 2 3 5 3 3 2 2" xfId="3566"/>
    <cellStyle name="Normal 4 2 3 5 3 3 2 3" xfId="3567"/>
    <cellStyle name="Normal 4 2 3 5 3 3 3" xfId="3568"/>
    <cellStyle name="Normal 4 2 3 5 3 3 4" xfId="3569"/>
    <cellStyle name="Normal 4 2 3 5 3 3 5" xfId="3570"/>
    <cellStyle name="Normal 4 2 3 5 3 4" xfId="3571"/>
    <cellStyle name="Normal 4 2 3 5 3 4 2" xfId="3572"/>
    <cellStyle name="Normal 4 2 3 5 3 4 3" xfId="3573"/>
    <cellStyle name="Normal 4 2 3 5 3 5" xfId="3574"/>
    <cellStyle name="Normal 4 2 3 5 3 6" xfId="3575"/>
    <cellStyle name="Normal 4 2 3 5 3 7" xfId="3576"/>
    <cellStyle name="Normal 4 2 3 5 4" xfId="3577"/>
    <cellStyle name="Normal 4 2 3 5 4 2" xfId="3578"/>
    <cellStyle name="Normal 4 2 3 5 4 2 2" xfId="3579"/>
    <cellStyle name="Normal 4 2 3 5 4 2 3" xfId="3580"/>
    <cellStyle name="Normal 4 2 3 5 4 3" xfId="3581"/>
    <cellStyle name="Normal 4 2 3 5 4 4" xfId="3582"/>
    <cellStyle name="Normal 4 2 3 5 4 5" xfId="3583"/>
    <cellStyle name="Normal 4 2 3 5 5" xfId="3584"/>
    <cellStyle name="Normal 4 2 3 5 5 2" xfId="3585"/>
    <cellStyle name="Normal 4 2 3 5 5 2 2" xfId="3586"/>
    <cellStyle name="Normal 4 2 3 5 5 2 3" xfId="3587"/>
    <cellStyle name="Normal 4 2 3 5 5 3" xfId="3588"/>
    <cellStyle name="Normal 4 2 3 5 5 4" xfId="3589"/>
    <cellStyle name="Normal 4 2 3 5 5 5" xfId="3590"/>
    <cellStyle name="Normal 4 2 3 5 6" xfId="3591"/>
    <cellStyle name="Normal 4 2 3 5 6 2" xfId="3592"/>
    <cellStyle name="Normal 4 2 3 5 6 3" xfId="3593"/>
    <cellStyle name="Normal 4 2 3 5 7" xfId="3594"/>
    <cellStyle name="Normal 4 2 3 5 8" xfId="3595"/>
    <cellStyle name="Normal 4 2 3 5 9" xfId="3596"/>
    <cellStyle name="Normal 4 2 3 6" xfId="3597"/>
    <cellStyle name="Normal 4 2 3 6 2" xfId="3598"/>
    <cellStyle name="Normal 4 2 3 6 2 2" xfId="3599"/>
    <cellStyle name="Normal 4 2 3 6 2 2 2" xfId="3600"/>
    <cellStyle name="Normal 4 2 3 6 2 2 2 2" xfId="3601"/>
    <cellStyle name="Normal 4 2 3 6 2 2 2 3" xfId="3602"/>
    <cellStyle name="Normal 4 2 3 6 2 2 3" xfId="3603"/>
    <cellStyle name="Normal 4 2 3 6 2 2 4" xfId="3604"/>
    <cellStyle name="Normal 4 2 3 6 2 2 5" xfId="3605"/>
    <cellStyle name="Normal 4 2 3 6 2 3" xfId="3606"/>
    <cellStyle name="Normal 4 2 3 6 2 3 2" xfId="3607"/>
    <cellStyle name="Normal 4 2 3 6 2 3 2 2" xfId="3608"/>
    <cellStyle name="Normal 4 2 3 6 2 3 2 3" xfId="3609"/>
    <cellStyle name="Normal 4 2 3 6 2 3 3" xfId="3610"/>
    <cellStyle name="Normal 4 2 3 6 2 3 4" xfId="3611"/>
    <cellStyle name="Normal 4 2 3 6 2 3 5" xfId="3612"/>
    <cellStyle name="Normal 4 2 3 6 2 4" xfId="3613"/>
    <cellStyle name="Normal 4 2 3 6 2 4 2" xfId="3614"/>
    <cellStyle name="Normal 4 2 3 6 2 4 3" xfId="3615"/>
    <cellStyle name="Normal 4 2 3 6 2 5" xfId="3616"/>
    <cellStyle name="Normal 4 2 3 6 2 6" xfId="3617"/>
    <cellStyle name="Normal 4 2 3 6 2 7" xfId="3618"/>
    <cellStyle name="Normal 4 2 3 6 3" xfId="3619"/>
    <cellStyle name="Normal 4 2 3 6 3 2" xfId="3620"/>
    <cellStyle name="Normal 4 2 3 6 3 2 2" xfId="3621"/>
    <cellStyle name="Normal 4 2 3 6 3 2 3" xfId="3622"/>
    <cellStyle name="Normal 4 2 3 6 3 3" xfId="3623"/>
    <cellStyle name="Normal 4 2 3 6 3 4" xfId="3624"/>
    <cellStyle name="Normal 4 2 3 6 3 5" xfId="3625"/>
    <cellStyle name="Normal 4 2 3 6 4" xfId="3626"/>
    <cellStyle name="Normal 4 2 3 6 4 2" xfId="3627"/>
    <cellStyle name="Normal 4 2 3 6 4 2 2" xfId="3628"/>
    <cellStyle name="Normal 4 2 3 6 4 2 3" xfId="3629"/>
    <cellStyle name="Normal 4 2 3 6 4 3" xfId="3630"/>
    <cellStyle name="Normal 4 2 3 6 4 4" xfId="3631"/>
    <cellStyle name="Normal 4 2 3 6 4 5" xfId="3632"/>
    <cellStyle name="Normal 4 2 3 6 5" xfId="3633"/>
    <cellStyle name="Normal 4 2 3 6 5 2" xfId="3634"/>
    <cellStyle name="Normal 4 2 3 6 5 3" xfId="3635"/>
    <cellStyle name="Normal 4 2 3 6 6" xfId="3636"/>
    <cellStyle name="Normal 4 2 3 6 7" xfId="3637"/>
    <cellStyle name="Normal 4 2 3 6 8" xfId="3638"/>
    <cellStyle name="Normal 4 2 3 7" xfId="3639"/>
    <cellStyle name="Normal 4 2 3 7 2" xfId="3640"/>
    <cellStyle name="Normal 4 2 3 7 2 2" xfId="3641"/>
    <cellStyle name="Normal 4 2 3 7 2 2 2" xfId="3642"/>
    <cellStyle name="Normal 4 2 3 7 2 2 3" xfId="3643"/>
    <cellStyle name="Normal 4 2 3 7 2 3" xfId="3644"/>
    <cellStyle name="Normal 4 2 3 7 2 4" xfId="3645"/>
    <cellStyle name="Normal 4 2 3 7 2 5" xfId="3646"/>
    <cellStyle name="Normal 4 2 3 7 3" xfId="3647"/>
    <cellStyle name="Normal 4 2 3 7 3 2" xfId="3648"/>
    <cellStyle name="Normal 4 2 3 7 3 2 2" xfId="3649"/>
    <cellStyle name="Normal 4 2 3 7 3 2 3" xfId="3650"/>
    <cellStyle name="Normal 4 2 3 7 3 3" xfId="3651"/>
    <cellStyle name="Normal 4 2 3 7 3 4" xfId="3652"/>
    <cellStyle name="Normal 4 2 3 7 3 5" xfId="3653"/>
    <cellStyle name="Normal 4 2 3 7 4" xfId="3654"/>
    <cellStyle name="Normal 4 2 3 7 4 2" xfId="3655"/>
    <cellStyle name="Normal 4 2 3 7 4 3" xfId="3656"/>
    <cellStyle name="Normal 4 2 3 7 5" xfId="3657"/>
    <cellStyle name="Normal 4 2 3 7 6" xfId="3658"/>
    <cellStyle name="Normal 4 2 3 7 7" xfId="3659"/>
    <cellStyle name="Normal 4 2 3 8" xfId="3660"/>
    <cellStyle name="Normal 4 2 3 8 2" xfId="3661"/>
    <cellStyle name="Normal 4 2 3 8 2 2" xfId="3662"/>
    <cellStyle name="Normal 4 2 3 8 2 2 2" xfId="3663"/>
    <cellStyle name="Normal 4 2 3 8 2 2 3" xfId="3664"/>
    <cellStyle name="Normal 4 2 3 8 2 3" xfId="3665"/>
    <cellStyle name="Normal 4 2 3 8 2 4" xfId="3666"/>
    <cellStyle name="Normal 4 2 3 8 2 5" xfId="3667"/>
    <cellStyle name="Normal 4 2 3 8 3" xfId="3668"/>
    <cellStyle name="Normal 4 2 3 8 3 2" xfId="3669"/>
    <cellStyle name="Normal 4 2 3 8 3 2 2" xfId="3670"/>
    <cellStyle name="Normal 4 2 3 8 3 2 3" xfId="3671"/>
    <cellStyle name="Normal 4 2 3 8 3 3" xfId="3672"/>
    <cellStyle name="Normal 4 2 3 8 3 4" xfId="3673"/>
    <cellStyle name="Normal 4 2 3 8 3 5" xfId="3674"/>
    <cellStyle name="Normal 4 2 3 8 4" xfId="3675"/>
    <cellStyle name="Normal 4 2 3 8 4 2" xfId="3676"/>
    <cellStyle name="Normal 4 2 3 8 4 3" xfId="3677"/>
    <cellStyle name="Normal 4 2 3 8 5" xfId="3678"/>
    <cellStyle name="Normal 4 2 3 8 6" xfId="3679"/>
    <cellStyle name="Normal 4 2 3 8 7" xfId="3680"/>
    <cellStyle name="Normal 4 2 3 9" xfId="3681"/>
    <cellStyle name="Normal 4 2 3 9 2" xfId="3682"/>
    <cellStyle name="Normal 4 2 3 9 2 2" xfId="3683"/>
    <cellStyle name="Normal 4 2 3 9 2 3" xfId="3684"/>
    <cellStyle name="Normal 4 2 3 9 3" xfId="3685"/>
    <cellStyle name="Normal 4 2 3 9 4" xfId="3686"/>
    <cellStyle name="Normal 4 2 3 9 5" xfId="3687"/>
    <cellStyle name="Normal 4 2 4" xfId="3688"/>
    <cellStyle name="Normal 4 2 4 10" xfId="3689"/>
    <cellStyle name="Normal 4 2 4 11" xfId="3690"/>
    <cellStyle name="Normal 4 2 4 12" xfId="3691"/>
    <cellStyle name="Normal 4 2 4 2" xfId="3692"/>
    <cellStyle name="Normal 4 2 4 2 2" xfId="3693"/>
    <cellStyle name="Normal 4 2 4 2 2 2" xfId="3694"/>
    <cellStyle name="Normal 4 2 4 2 2 2 2" xfId="3695"/>
    <cellStyle name="Normal 4 2 4 2 2 2 2 2" xfId="3696"/>
    <cellStyle name="Normal 4 2 4 2 2 2 2 2 2" xfId="3697"/>
    <cellStyle name="Normal 4 2 4 2 2 2 2 2 3" xfId="3698"/>
    <cellStyle name="Normal 4 2 4 2 2 2 2 3" xfId="3699"/>
    <cellStyle name="Normal 4 2 4 2 2 2 2 4" xfId="3700"/>
    <cellStyle name="Normal 4 2 4 2 2 2 2 5" xfId="3701"/>
    <cellStyle name="Normal 4 2 4 2 2 2 3" xfId="3702"/>
    <cellStyle name="Normal 4 2 4 2 2 2 3 2" xfId="3703"/>
    <cellStyle name="Normal 4 2 4 2 2 2 3 2 2" xfId="3704"/>
    <cellStyle name="Normal 4 2 4 2 2 2 3 2 3" xfId="3705"/>
    <cellStyle name="Normal 4 2 4 2 2 2 3 3" xfId="3706"/>
    <cellStyle name="Normal 4 2 4 2 2 2 3 4" xfId="3707"/>
    <cellStyle name="Normal 4 2 4 2 2 2 3 5" xfId="3708"/>
    <cellStyle name="Normal 4 2 4 2 2 2 4" xfId="3709"/>
    <cellStyle name="Normal 4 2 4 2 2 2 4 2" xfId="3710"/>
    <cellStyle name="Normal 4 2 4 2 2 2 4 3" xfId="3711"/>
    <cellStyle name="Normal 4 2 4 2 2 2 5" xfId="3712"/>
    <cellStyle name="Normal 4 2 4 2 2 2 6" xfId="3713"/>
    <cellStyle name="Normal 4 2 4 2 2 2 7" xfId="3714"/>
    <cellStyle name="Normal 4 2 4 2 2 3" xfId="3715"/>
    <cellStyle name="Normal 4 2 4 2 2 3 2" xfId="3716"/>
    <cellStyle name="Normal 4 2 4 2 2 3 2 2" xfId="3717"/>
    <cellStyle name="Normal 4 2 4 2 2 3 2 3" xfId="3718"/>
    <cellStyle name="Normal 4 2 4 2 2 3 3" xfId="3719"/>
    <cellStyle name="Normal 4 2 4 2 2 3 4" xfId="3720"/>
    <cellStyle name="Normal 4 2 4 2 2 3 5" xfId="3721"/>
    <cellStyle name="Normal 4 2 4 2 2 4" xfId="3722"/>
    <cellStyle name="Normal 4 2 4 2 2 4 2" xfId="3723"/>
    <cellStyle name="Normal 4 2 4 2 2 4 2 2" xfId="3724"/>
    <cellStyle name="Normal 4 2 4 2 2 4 2 3" xfId="3725"/>
    <cellStyle name="Normal 4 2 4 2 2 4 3" xfId="3726"/>
    <cellStyle name="Normal 4 2 4 2 2 4 4" xfId="3727"/>
    <cellStyle name="Normal 4 2 4 2 2 4 5" xfId="3728"/>
    <cellStyle name="Normal 4 2 4 2 2 5" xfId="3729"/>
    <cellStyle name="Normal 4 2 4 2 2 5 2" xfId="3730"/>
    <cellStyle name="Normal 4 2 4 2 2 5 3" xfId="3731"/>
    <cellStyle name="Normal 4 2 4 2 2 6" xfId="3732"/>
    <cellStyle name="Normal 4 2 4 2 2 7" xfId="3733"/>
    <cellStyle name="Normal 4 2 4 2 2 8" xfId="3734"/>
    <cellStyle name="Normal 4 2 4 2 3" xfId="3735"/>
    <cellStyle name="Normal 4 2 4 2 3 2" xfId="3736"/>
    <cellStyle name="Normal 4 2 4 2 3 2 2" xfId="3737"/>
    <cellStyle name="Normal 4 2 4 2 3 2 2 2" xfId="3738"/>
    <cellStyle name="Normal 4 2 4 2 3 2 2 3" xfId="3739"/>
    <cellStyle name="Normal 4 2 4 2 3 2 3" xfId="3740"/>
    <cellStyle name="Normal 4 2 4 2 3 2 4" xfId="3741"/>
    <cellStyle name="Normal 4 2 4 2 3 2 5" xfId="3742"/>
    <cellStyle name="Normal 4 2 4 2 3 3" xfId="3743"/>
    <cellStyle name="Normal 4 2 4 2 3 3 2" xfId="3744"/>
    <cellStyle name="Normal 4 2 4 2 3 3 2 2" xfId="3745"/>
    <cellStyle name="Normal 4 2 4 2 3 3 2 3" xfId="3746"/>
    <cellStyle name="Normal 4 2 4 2 3 3 3" xfId="3747"/>
    <cellStyle name="Normal 4 2 4 2 3 3 4" xfId="3748"/>
    <cellStyle name="Normal 4 2 4 2 3 3 5" xfId="3749"/>
    <cellStyle name="Normal 4 2 4 2 3 4" xfId="3750"/>
    <cellStyle name="Normal 4 2 4 2 3 4 2" xfId="3751"/>
    <cellStyle name="Normal 4 2 4 2 3 4 3" xfId="3752"/>
    <cellStyle name="Normal 4 2 4 2 3 5" xfId="3753"/>
    <cellStyle name="Normal 4 2 4 2 3 6" xfId="3754"/>
    <cellStyle name="Normal 4 2 4 2 3 7" xfId="3755"/>
    <cellStyle name="Normal 4 2 4 2 4" xfId="3756"/>
    <cellStyle name="Normal 4 2 4 2 4 2" xfId="3757"/>
    <cellStyle name="Normal 4 2 4 2 4 2 2" xfId="3758"/>
    <cellStyle name="Normal 4 2 4 2 4 2 3" xfId="3759"/>
    <cellStyle name="Normal 4 2 4 2 4 3" xfId="3760"/>
    <cellStyle name="Normal 4 2 4 2 4 4" xfId="3761"/>
    <cellStyle name="Normal 4 2 4 2 4 5" xfId="3762"/>
    <cellStyle name="Normal 4 2 4 2 5" xfId="3763"/>
    <cellStyle name="Normal 4 2 4 2 5 2" xfId="3764"/>
    <cellStyle name="Normal 4 2 4 2 5 2 2" xfId="3765"/>
    <cellStyle name="Normal 4 2 4 2 5 2 3" xfId="3766"/>
    <cellStyle name="Normal 4 2 4 2 5 3" xfId="3767"/>
    <cellStyle name="Normal 4 2 4 2 5 4" xfId="3768"/>
    <cellStyle name="Normal 4 2 4 2 5 5" xfId="3769"/>
    <cellStyle name="Normal 4 2 4 2 6" xfId="3770"/>
    <cellStyle name="Normal 4 2 4 2 6 2" xfId="3771"/>
    <cellStyle name="Normal 4 2 4 2 6 3" xfId="3772"/>
    <cellStyle name="Normal 4 2 4 2 7" xfId="3773"/>
    <cellStyle name="Normal 4 2 4 2 8" xfId="3774"/>
    <cellStyle name="Normal 4 2 4 2 9" xfId="3775"/>
    <cellStyle name="Normal 4 2 4 3" xfId="3776"/>
    <cellStyle name="Normal 4 2 4 3 2" xfId="3777"/>
    <cellStyle name="Normal 4 2 4 3 2 2" xfId="3778"/>
    <cellStyle name="Normal 4 2 4 3 2 2 2" xfId="3779"/>
    <cellStyle name="Normal 4 2 4 3 2 2 2 2" xfId="3780"/>
    <cellStyle name="Normal 4 2 4 3 2 2 2 2 2" xfId="3781"/>
    <cellStyle name="Normal 4 2 4 3 2 2 2 2 3" xfId="3782"/>
    <cellStyle name="Normal 4 2 4 3 2 2 2 3" xfId="3783"/>
    <cellStyle name="Normal 4 2 4 3 2 2 2 4" xfId="3784"/>
    <cellStyle name="Normal 4 2 4 3 2 2 2 5" xfId="3785"/>
    <cellStyle name="Normal 4 2 4 3 2 2 3" xfId="3786"/>
    <cellStyle name="Normal 4 2 4 3 2 2 3 2" xfId="3787"/>
    <cellStyle name="Normal 4 2 4 3 2 2 3 2 2" xfId="3788"/>
    <cellStyle name="Normal 4 2 4 3 2 2 3 2 3" xfId="3789"/>
    <cellStyle name="Normal 4 2 4 3 2 2 3 3" xfId="3790"/>
    <cellStyle name="Normal 4 2 4 3 2 2 3 4" xfId="3791"/>
    <cellStyle name="Normal 4 2 4 3 2 2 3 5" xfId="3792"/>
    <cellStyle name="Normal 4 2 4 3 2 2 4" xfId="3793"/>
    <cellStyle name="Normal 4 2 4 3 2 2 4 2" xfId="3794"/>
    <cellStyle name="Normal 4 2 4 3 2 2 4 3" xfId="3795"/>
    <cellStyle name="Normal 4 2 4 3 2 2 5" xfId="3796"/>
    <cellStyle name="Normal 4 2 4 3 2 2 6" xfId="3797"/>
    <cellStyle name="Normal 4 2 4 3 2 2 7" xfId="3798"/>
    <cellStyle name="Normal 4 2 4 3 2 3" xfId="3799"/>
    <cellStyle name="Normal 4 2 4 3 2 3 2" xfId="3800"/>
    <cellStyle name="Normal 4 2 4 3 2 3 2 2" xfId="3801"/>
    <cellStyle name="Normal 4 2 4 3 2 3 2 3" xfId="3802"/>
    <cellStyle name="Normal 4 2 4 3 2 3 3" xfId="3803"/>
    <cellStyle name="Normal 4 2 4 3 2 3 4" xfId="3804"/>
    <cellStyle name="Normal 4 2 4 3 2 3 5" xfId="3805"/>
    <cellStyle name="Normal 4 2 4 3 2 4" xfId="3806"/>
    <cellStyle name="Normal 4 2 4 3 2 4 2" xfId="3807"/>
    <cellStyle name="Normal 4 2 4 3 2 4 2 2" xfId="3808"/>
    <cellStyle name="Normal 4 2 4 3 2 4 2 3" xfId="3809"/>
    <cellStyle name="Normal 4 2 4 3 2 4 3" xfId="3810"/>
    <cellStyle name="Normal 4 2 4 3 2 4 4" xfId="3811"/>
    <cellStyle name="Normal 4 2 4 3 2 4 5" xfId="3812"/>
    <cellStyle name="Normal 4 2 4 3 2 5" xfId="3813"/>
    <cellStyle name="Normal 4 2 4 3 2 5 2" xfId="3814"/>
    <cellStyle name="Normal 4 2 4 3 2 5 3" xfId="3815"/>
    <cellStyle name="Normal 4 2 4 3 2 6" xfId="3816"/>
    <cellStyle name="Normal 4 2 4 3 2 7" xfId="3817"/>
    <cellStyle name="Normal 4 2 4 3 2 8" xfId="3818"/>
    <cellStyle name="Normal 4 2 4 3 3" xfId="3819"/>
    <cellStyle name="Normal 4 2 4 3 3 2" xfId="3820"/>
    <cellStyle name="Normal 4 2 4 3 3 2 2" xfId="3821"/>
    <cellStyle name="Normal 4 2 4 3 3 2 2 2" xfId="3822"/>
    <cellStyle name="Normal 4 2 4 3 3 2 2 3" xfId="3823"/>
    <cellStyle name="Normal 4 2 4 3 3 2 3" xfId="3824"/>
    <cellStyle name="Normal 4 2 4 3 3 2 4" xfId="3825"/>
    <cellStyle name="Normal 4 2 4 3 3 2 5" xfId="3826"/>
    <cellStyle name="Normal 4 2 4 3 3 3" xfId="3827"/>
    <cellStyle name="Normal 4 2 4 3 3 3 2" xfId="3828"/>
    <cellStyle name="Normal 4 2 4 3 3 3 2 2" xfId="3829"/>
    <cellStyle name="Normal 4 2 4 3 3 3 2 3" xfId="3830"/>
    <cellStyle name="Normal 4 2 4 3 3 3 3" xfId="3831"/>
    <cellStyle name="Normal 4 2 4 3 3 3 4" xfId="3832"/>
    <cellStyle name="Normal 4 2 4 3 3 3 5" xfId="3833"/>
    <cellStyle name="Normal 4 2 4 3 3 4" xfId="3834"/>
    <cellStyle name="Normal 4 2 4 3 3 4 2" xfId="3835"/>
    <cellStyle name="Normal 4 2 4 3 3 4 3" xfId="3836"/>
    <cellStyle name="Normal 4 2 4 3 3 5" xfId="3837"/>
    <cellStyle name="Normal 4 2 4 3 3 6" xfId="3838"/>
    <cellStyle name="Normal 4 2 4 3 3 7" xfId="3839"/>
    <cellStyle name="Normal 4 2 4 3 4" xfId="3840"/>
    <cellStyle name="Normal 4 2 4 3 4 2" xfId="3841"/>
    <cellStyle name="Normal 4 2 4 3 4 2 2" xfId="3842"/>
    <cellStyle name="Normal 4 2 4 3 4 2 3" xfId="3843"/>
    <cellStyle name="Normal 4 2 4 3 4 3" xfId="3844"/>
    <cellStyle name="Normal 4 2 4 3 4 4" xfId="3845"/>
    <cellStyle name="Normal 4 2 4 3 4 5" xfId="3846"/>
    <cellStyle name="Normal 4 2 4 3 5" xfId="3847"/>
    <cellStyle name="Normal 4 2 4 3 5 2" xfId="3848"/>
    <cellStyle name="Normal 4 2 4 3 5 2 2" xfId="3849"/>
    <cellStyle name="Normal 4 2 4 3 5 2 3" xfId="3850"/>
    <cellStyle name="Normal 4 2 4 3 5 3" xfId="3851"/>
    <cellStyle name="Normal 4 2 4 3 5 4" xfId="3852"/>
    <cellStyle name="Normal 4 2 4 3 5 5" xfId="3853"/>
    <cellStyle name="Normal 4 2 4 3 6" xfId="3854"/>
    <cellStyle name="Normal 4 2 4 3 6 2" xfId="3855"/>
    <cellStyle name="Normal 4 2 4 3 6 3" xfId="3856"/>
    <cellStyle name="Normal 4 2 4 3 7" xfId="3857"/>
    <cellStyle name="Normal 4 2 4 3 8" xfId="3858"/>
    <cellStyle name="Normal 4 2 4 3 9" xfId="3859"/>
    <cellStyle name="Normal 4 2 4 4" xfId="3860"/>
    <cellStyle name="Normal 4 2 4 4 2" xfId="3861"/>
    <cellStyle name="Normal 4 2 4 4 2 2" xfId="3862"/>
    <cellStyle name="Normal 4 2 4 4 2 2 2" xfId="3863"/>
    <cellStyle name="Normal 4 2 4 4 2 2 2 2" xfId="3864"/>
    <cellStyle name="Normal 4 2 4 4 2 2 2 2 2" xfId="3865"/>
    <cellStyle name="Normal 4 2 4 4 2 2 2 2 3" xfId="3866"/>
    <cellStyle name="Normal 4 2 4 4 2 2 2 3" xfId="3867"/>
    <cellStyle name="Normal 4 2 4 4 2 2 2 4" xfId="3868"/>
    <cellStyle name="Normal 4 2 4 4 2 2 2 5" xfId="3869"/>
    <cellStyle name="Normal 4 2 4 4 2 2 3" xfId="3870"/>
    <cellStyle name="Normal 4 2 4 4 2 2 3 2" xfId="3871"/>
    <cellStyle name="Normal 4 2 4 4 2 2 3 2 2" xfId="3872"/>
    <cellStyle name="Normal 4 2 4 4 2 2 3 2 3" xfId="3873"/>
    <cellStyle name="Normal 4 2 4 4 2 2 3 3" xfId="3874"/>
    <cellStyle name="Normal 4 2 4 4 2 2 3 4" xfId="3875"/>
    <cellStyle name="Normal 4 2 4 4 2 2 3 5" xfId="3876"/>
    <cellStyle name="Normal 4 2 4 4 2 2 4" xfId="3877"/>
    <cellStyle name="Normal 4 2 4 4 2 2 4 2" xfId="3878"/>
    <cellStyle name="Normal 4 2 4 4 2 2 4 3" xfId="3879"/>
    <cellStyle name="Normal 4 2 4 4 2 2 5" xfId="3880"/>
    <cellStyle name="Normal 4 2 4 4 2 2 6" xfId="3881"/>
    <cellStyle name="Normal 4 2 4 4 2 2 7" xfId="3882"/>
    <cellStyle name="Normal 4 2 4 4 2 3" xfId="3883"/>
    <cellStyle name="Normal 4 2 4 4 2 3 2" xfId="3884"/>
    <cellStyle name="Normal 4 2 4 4 2 3 2 2" xfId="3885"/>
    <cellStyle name="Normal 4 2 4 4 2 3 2 3" xfId="3886"/>
    <cellStyle name="Normal 4 2 4 4 2 3 3" xfId="3887"/>
    <cellStyle name="Normal 4 2 4 4 2 3 4" xfId="3888"/>
    <cellStyle name="Normal 4 2 4 4 2 3 5" xfId="3889"/>
    <cellStyle name="Normal 4 2 4 4 2 4" xfId="3890"/>
    <cellStyle name="Normal 4 2 4 4 2 4 2" xfId="3891"/>
    <cellStyle name="Normal 4 2 4 4 2 4 2 2" xfId="3892"/>
    <cellStyle name="Normal 4 2 4 4 2 4 2 3" xfId="3893"/>
    <cellStyle name="Normal 4 2 4 4 2 4 3" xfId="3894"/>
    <cellStyle name="Normal 4 2 4 4 2 4 4" xfId="3895"/>
    <cellStyle name="Normal 4 2 4 4 2 4 5" xfId="3896"/>
    <cellStyle name="Normal 4 2 4 4 2 5" xfId="3897"/>
    <cellStyle name="Normal 4 2 4 4 2 5 2" xfId="3898"/>
    <cellStyle name="Normal 4 2 4 4 2 5 3" xfId="3899"/>
    <cellStyle name="Normal 4 2 4 4 2 6" xfId="3900"/>
    <cellStyle name="Normal 4 2 4 4 2 7" xfId="3901"/>
    <cellStyle name="Normal 4 2 4 4 2 8" xfId="3902"/>
    <cellStyle name="Normal 4 2 4 4 3" xfId="3903"/>
    <cellStyle name="Normal 4 2 4 4 3 2" xfId="3904"/>
    <cellStyle name="Normal 4 2 4 4 3 2 2" xfId="3905"/>
    <cellStyle name="Normal 4 2 4 4 3 2 2 2" xfId="3906"/>
    <cellStyle name="Normal 4 2 4 4 3 2 2 3" xfId="3907"/>
    <cellStyle name="Normal 4 2 4 4 3 2 3" xfId="3908"/>
    <cellStyle name="Normal 4 2 4 4 3 2 4" xfId="3909"/>
    <cellStyle name="Normal 4 2 4 4 3 2 5" xfId="3910"/>
    <cellStyle name="Normal 4 2 4 4 3 3" xfId="3911"/>
    <cellStyle name="Normal 4 2 4 4 3 3 2" xfId="3912"/>
    <cellStyle name="Normal 4 2 4 4 3 3 2 2" xfId="3913"/>
    <cellStyle name="Normal 4 2 4 4 3 3 2 3" xfId="3914"/>
    <cellStyle name="Normal 4 2 4 4 3 3 3" xfId="3915"/>
    <cellStyle name="Normal 4 2 4 4 3 3 4" xfId="3916"/>
    <cellStyle name="Normal 4 2 4 4 3 3 5" xfId="3917"/>
    <cellStyle name="Normal 4 2 4 4 3 4" xfId="3918"/>
    <cellStyle name="Normal 4 2 4 4 3 4 2" xfId="3919"/>
    <cellStyle name="Normal 4 2 4 4 3 4 3" xfId="3920"/>
    <cellStyle name="Normal 4 2 4 4 3 5" xfId="3921"/>
    <cellStyle name="Normal 4 2 4 4 3 6" xfId="3922"/>
    <cellStyle name="Normal 4 2 4 4 3 7" xfId="3923"/>
    <cellStyle name="Normal 4 2 4 4 4" xfId="3924"/>
    <cellStyle name="Normal 4 2 4 4 4 2" xfId="3925"/>
    <cellStyle name="Normal 4 2 4 4 4 2 2" xfId="3926"/>
    <cellStyle name="Normal 4 2 4 4 4 2 3" xfId="3927"/>
    <cellStyle name="Normal 4 2 4 4 4 3" xfId="3928"/>
    <cellStyle name="Normal 4 2 4 4 4 4" xfId="3929"/>
    <cellStyle name="Normal 4 2 4 4 4 5" xfId="3930"/>
    <cellStyle name="Normal 4 2 4 4 5" xfId="3931"/>
    <cellStyle name="Normal 4 2 4 4 5 2" xfId="3932"/>
    <cellStyle name="Normal 4 2 4 4 5 2 2" xfId="3933"/>
    <cellStyle name="Normal 4 2 4 4 5 2 3" xfId="3934"/>
    <cellStyle name="Normal 4 2 4 4 5 3" xfId="3935"/>
    <cellStyle name="Normal 4 2 4 4 5 4" xfId="3936"/>
    <cellStyle name="Normal 4 2 4 4 5 5" xfId="3937"/>
    <cellStyle name="Normal 4 2 4 4 6" xfId="3938"/>
    <cellStyle name="Normal 4 2 4 4 6 2" xfId="3939"/>
    <cellStyle name="Normal 4 2 4 4 6 3" xfId="3940"/>
    <cellStyle name="Normal 4 2 4 4 7" xfId="3941"/>
    <cellStyle name="Normal 4 2 4 4 8" xfId="3942"/>
    <cellStyle name="Normal 4 2 4 4 9" xfId="3943"/>
    <cellStyle name="Normal 4 2 4 5" xfId="3944"/>
    <cellStyle name="Normal 4 2 4 5 2" xfId="3945"/>
    <cellStyle name="Normal 4 2 4 5 2 2" xfId="3946"/>
    <cellStyle name="Normal 4 2 4 5 2 2 2" xfId="3947"/>
    <cellStyle name="Normal 4 2 4 5 2 2 2 2" xfId="3948"/>
    <cellStyle name="Normal 4 2 4 5 2 2 2 3" xfId="3949"/>
    <cellStyle name="Normal 4 2 4 5 2 2 3" xfId="3950"/>
    <cellStyle name="Normal 4 2 4 5 2 2 4" xfId="3951"/>
    <cellStyle name="Normal 4 2 4 5 2 2 5" xfId="3952"/>
    <cellStyle name="Normal 4 2 4 5 2 3" xfId="3953"/>
    <cellStyle name="Normal 4 2 4 5 2 3 2" xfId="3954"/>
    <cellStyle name="Normal 4 2 4 5 2 3 2 2" xfId="3955"/>
    <cellStyle name="Normal 4 2 4 5 2 3 2 3" xfId="3956"/>
    <cellStyle name="Normal 4 2 4 5 2 3 3" xfId="3957"/>
    <cellStyle name="Normal 4 2 4 5 2 3 4" xfId="3958"/>
    <cellStyle name="Normal 4 2 4 5 2 3 5" xfId="3959"/>
    <cellStyle name="Normal 4 2 4 5 2 4" xfId="3960"/>
    <cellStyle name="Normal 4 2 4 5 2 4 2" xfId="3961"/>
    <cellStyle name="Normal 4 2 4 5 2 4 3" xfId="3962"/>
    <cellStyle name="Normal 4 2 4 5 2 5" xfId="3963"/>
    <cellStyle name="Normal 4 2 4 5 2 6" xfId="3964"/>
    <cellStyle name="Normal 4 2 4 5 2 7" xfId="3965"/>
    <cellStyle name="Normal 4 2 4 5 3" xfId="3966"/>
    <cellStyle name="Normal 4 2 4 5 3 2" xfId="3967"/>
    <cellStyle name="Normal 4 2 4 5 3 2 2" xfId="3968"/>
    <cellStyle name="Normal 4 2 4 5 3 2 3" xfId="3969"/>
    <cellStyle name="Normal 4 2 4 5 3 3" xfId="3970"/>
    <cellStyle name="Normal 4 2 4 5 3 4" xfId="3971"/>
    <cellStyle name="Normal 4 2 4 5 3 5" xfId="3972"/>
    <cellStyle name="Normal 4 2 4 5 4" xfId="3973"/>
    <cellStyle name="Normal 4 2 4 5 4 2" xfId="3974"/>
    <cellStyle name="Normal 4 2 4 5 4 2 2" xfId="3975"/>
    <cellStyle name="Normal 4 2 4 5 4 2 3" xfId="3976"/>
    <cellStyle name="Normal 4 2 4 5 4 3" xfId="3977"/>
    <cellStyle name="Normal 4 2 4 5 4 4" xfId="3978"/>
    <cellStyle name="Normal 4 2 4 5 4 5" xfId="3979"/>
    <cellStyle name="Normal 4 2 4 5 5" xfId="3980"/>
    <cellStyle name="Normal 4 2 4 5 5 2" xfId="3981"/>
    <cellStyle name="Normal 4 2 4 5 5 3" xfId="3982"/>
    <cellStyle name="Normal 4 2 4 5 6" xfId="3983"/>
    <cellStyle name="Normal 4 2 4 5 7" xfId="3984"/>
    <cellStyle name="Normal 4 2 4 5 8" xfId="3985"/>
    <cellStyle name="Normal 4 2 4 6" xfId="3986"/>
    <cellStyle name="Normal 4 2 4 6 2" xfId="3987"/>
    <cellStyle name="Normal 4 2 4 6 2 2" xfId="3988"/>
    <cellStyle name="Normal 4 2 4 6 2 2 2" xfId="3989"/>
    <cellStyle name="Normal 4 2 4 6 2 2 3" xfId="3990"/>
    <cellStyle name="Normal 4 2 4 6 2 3" xfId="3991"/>
    <cellStyle name="Normal 4 2 4 6 2 4" xfId="3992"/>
    <cellStyle name="Normal 4 2 4 6 2 5" xfId="3993"/>
    <cellStyle name="Normal 4 2 4 6 3" xfId="3994"/>
    <cellStyle name="Normal 4 2 4 6 3 2" xfId="3995"/>
    <cellStyle name="Normal 4 2 4 6 3 2 2" xfId="3996"/>
    <cellStyle name="Normal 4 2 4 6 3 2 3" xfId="3997"/>
    <cellStyle name="Normal 4 2 4 6 3 3" xfId="3998"/>
    <cellStyle name="Normal 4 2 4 6 3 4" xfId="3999"/>
    <cellStyle name="Normal 4 2 4 6 3 5" xfId="4000"/>
    <cellStyle name="Normal 4 2 4 6 4" xfId="4001"/>
    <cellStyle name="Normal 4 2 4 6 4 2" xfId="4002"/>
    <cellStyle name="Normal 4 2 4 6 4 3" xfId="4003"/>
    <cellStyle name="Normal 4 2 4 6 5" xfId="4004"/>
    <cellStyle name="Normal 4 2 4 6 6" xfId="4005"/>
    <cellStyle name="Normal 4 2 4 6 7" xfId="4006"/>
    <cellStyle name="Normal 4 2 4 7" xfId="4007"/>
    <cellStyle name="Normal 4 2 4 7 2" xfId="4008"/>
    <cellStyle name="Normal 4 2 4 7 2 2" xfId="4009"/>
    <cellStyle name="Normal 4 2 4 7 2 3" xfId="4010"/>
    <cellStyle name="Normal 4 2 4 7 3" xfId="4011"/>
    <cellStyle name="Normal 4 2 4 7 4" xfId="4012"/>
    <cellStyle name="Normal 4 2 4 7 5" xfId="4013"/>
    <cellStyle name="Normal 4 2 4 8" xfId="4014"/>
    <cellStyle name="Normal 4 2 4 8 2" xfId="4015"/>
    <cellStyle name="Normal 4 2 4 8 2 2" xfId="4016"/>
    <cellStyle name="Normal 4 2 4 8 2 3" xfId="4017"/>
    <cellStyle name="Normal 4 2 4 8 3" xfId="4018"/>
    <cellStyle name="Normal 4 2 4 8 4" xfId="4019"/>
    <cellStyle name="Normal 4 2 4 8 5" xfId="4020"/>
    <cellStyle name="Normal 4 2 4 9" xfId="4021"/>
    <cellStyle name="Normal 4 2 4 9 2" xfId="4022"/>
    <cellStyle name="Normal 4 2 4 9 3" xfId="4023"/>
    <cellStyle name="Normal 4 2 5" xfId="4024"/>
    <cellStyle name="Normal 4 2 5 2" xfId="4025"/>
    <cellStyle name="Normal 4 2 5 2 2" xfId="4026"/>
    <cellStyle name="Normal 4 2 5 2 2 2" xfId="4027"/>
    <cellStyle name="Normal 4 2 5 2 2 2 2" xfId="4028"/>
    <cellStyle name="Normal 4 2 5 2 2 2 2 2" xfId="4029"/>
    <cellStyle name="Normal 4 2 5 2 2 2 2 3" xfId="4030"/>
    <cellStyle name="Normal 4 2 5 2 2 2 3" xfId="4031"/>
    <cellStyle name="Normal 4 2 5 2 2 2 4" xfId="4032"/>
    <cellStyle name="Normal 4 2 5 2 2 2 5" xfId="4033"/>
    <cellStyle name="Normal 4 2 5 2 2 3" xfId="4034"/>
    <cellStyle name="Normal 4 2 5 2 2 3 2" xfId="4035"/>
    <cellStyle name="Normal 4 2 5 2 2 3 2 2" xfId="4036"/>
    <cellStyle name="Normal 4 2 5 2 2 3 2 3" xfId="4037"/>
    <cellStyle name="Normal 4 2 5 2 2 3 3" xfId="4038"/>
    <cellStyle name="Normal 4 2 5 2 2 3 4" xfId="4039"/>
    <cellStyle name="Normal 4 2 5 2 2 3 5" xfId="4040"/>
    <cellStyle name="Normal 4 2 5 2 2 4" xfId="4041"/>
    <cellStyle name="Normal 4 2 5 2 2 4 2" xfId="4042"/>
    <cellStyle name="Normal 4 2 5 2 2 4 3" xfId="4043"/>
    <cellStyle name="Normal 4 2 5 2 2 5" xfId="4044"/>
    <cellStyle name="Normal 4 2 5 2 2 6" xfId="4045"/>
    <cellStyle name="Normal 4 2 5 2 2 7" xfId="4046"/>
    <cellStyle name="Normal 4 2 5 2 3" xfId="4047"/>
    <cellStyle name="Normal 4 2 5 2 3 2" xfId="4048"/>
    <cellStyle name="Normal 4 2 5 2 3 2 2" xfId="4049"/>
    <cellStyle name="Normal 4 2 5 2 3 2 3" xfId="4050"/>
    <cellStyle name="Normal 4 2 5 2 3 3" xfId="4051"/>
    <cellStyle name="Normal 4 2 5 2 3 4" xfId="4052"/>
    <cellStyle name="Normal 4 2 5 2 3 5" xfId="4053"/>
    <cellStyle name="Normal 4 2 5 2 4" xfId="4054"/>
    <cellStyle name="Normal 4 2 5 2 4 2" xfId="4055"/>
    <cellStyle name="Normal 4 2 5 2 4 2 2" xfId="4056"/>
    <cellStyle name="Normal 4 2 5 2 4 2 3" xfId="4057"/>
    <cellStyle name="Normal 4 2 5 2 4 3" xfId="4058"/>
    <cellStyle name="Normal 4 2 5 2 4 4" xfId="4059"/>
    <cellStyle name="Normal 4 2 5 2 4 5" xfId="4060"/>
    <cellStyle name="Normal 4 2 5 2 5" xfId="4061"/>
    <cellStyle name="Normal 4 2 5 2 5 2" xfId="4062"/>
    <cellStyle name="Normal 4 2 5 2 5 3" xfId="4063"/>
    <cellStyle name="Normal 4 2 5 2 6" xfId="4064"/>
    <cellStyle name="Normal 4 2 5 2 7" xfId="4065"/>
    <cellStyle name="Normal 4 2 5 2 8" xfId="4066"/>
    <cellStyle name="Normal 4 2 5 3" xfId="4067"/>
    <cellStyle name="Normal 4 2 5 3 2" xfId="4068"/>
    <cellStyle name="Normal 4 2 5 3 2 2" xfId="4069"/>
    <cellStyle name="Normal 4 2 5 3 2 2 2" xfId="4070"/>
    <cellStyle name="Normal 4 2 5 3 2 2 3" xfId="4071"/>
    <cellStyle name="Normal 4 2 5 3 2 3" xfId="4072"/>
    <cellStyle name="Normal 4 2 5 3 2 4" xfId="4073"/>
    <cellStyle name="Normal 4 2 5 3 2 5" xfId="4074"/>
    <cellStyle name="Normal 4 2 5 3 3" xfId="4075"/>
    <cellStyle name="Normal 4 2 5 3 3 2" xfId="4076"/>
    <cellStyle name="Normal 4 2 5 3 3 2 2" xfId="4077"/>
    <cellStyle name="Normal 4 2 5 3 3 2 3" xfId="4078"/>
    <cellStyle name="Normal 4 2 5 3 3 3" xfId="4079"/>
    <cellStyle name="Normal 4 2 5 3 3 4" xfId="4080"/>
    <cellStyle name="Normal 4 2 5 3 3 5" xfId="4081"/>
    <cellStyle name="Normal 4 2 5 3 4" xfId="4082"/>
    <cellStyle name="Normal 4 2 5 3 4 2" xfId="4083"/>
    <cellStyle name="Normal 4 2 5 3 4 3" xfId="4084"/>
    <cellStyle name="Normal 4 2 5 3 5" xfId="4085"/>
    <cellStyle name="Normal 4 2 5 3 6" xfId="4086"/>
    <cellStyle name="Normal 4 2 5 3 7" xfId="4087"/>
    <cellStyle name="Normal 4 2 5 4" xfId="4088"/>
    <cellStyle name="Normal 4 2 5 4 2" xfId="4089"/>
    <cellStyle name="Normal 4 2 5 4 2 2" xfId="4090"/>
    <cellStyle name="Normal 4 2 5 4 2 3" xfId="4091"/>
    <cellStyle name="Normal 4 2 5 4 3" xfId="4092"/>
    <cellStyle name="Normal 4 2 5 4 4" xfId="4093"/>
    <cellStyle name="Normal 4 2 5 4 5" xfId="4094"/>
    <cellStyle name="Normal 4 2 5 5" xfId="4095"/>
    <cellStyle name="Normal 4 2 5 5 2" xfId="4096"/>
    <cellStyle name="Normal 4 2 5 5 2 2" xfId="4097"/>
    <cellStyle name="Normal 4 2 5 5 2 3" xfId="4098"/>
    <cellStyle name="Normal 4 2 5 5 3" xfId="4099"/>
    <cellStyle name="Normal 4 2 5 5 4" xfId="4100"/>
    <cellStyle name="Normal 4 2 5 5 5" xfId="4101"/>
    <cellStyle name="Normal 4 2 5 6" xfId="4102"/>
    <cellStyle name="Normal 4 2 5 6 2" xfId="4103"/>
    <cellStyle name="Normal 4 2 5 6 3" xfId="4104"/>
    <cellStyle name="Normal 4 2 5 7" xfId="4105"/>
    <cellStyle name="Normal 4 2 5 8" xfId="4106"/>
    <cellStyle name="Normal 4 2 5 9" xfId="4107"/>
    <cellStyle name="Normal 4 2 6" xfId="4108"/>
    <cellStyle name="Normal 4 2 6 2" xfId="4109"/>
    <cellStyle name="Normal 4 2 6 2 2" xfId="4110"/>
    <cellStyle name="Normal 4 2 6 2 2 2" xfId="4111"/>
    <cellStyle name="Normal 4 2 6 2 2 2 2" xfId="4112"/>
    <cellStyle name="Normal 4 2 6 2 2 2 2 2" xfId="4113"/>
    <cellStyle name="Normal 4 2 6 2 2 2 2 3" xfId="4114"/>
    <cellStyle name="Normal 4 2 6 2 2 2 3" xfId="4115"/>
    <cellStyle name="Normal 4 2 6 2 2 2 4" xfId="4116"/>
    <cellStyle name="Normal 4 2 6 2 2 2 5" xfId="4117"/>
    <cellStyle name="Normal 4 2 6 2 2 3" xfId="4118"/>
    <cellStyle name="Normal 4 2 6 2 2 3 2" xfId="4119"/>
    <cellStyle name="Normal 4 2 6 2 2 3 2 2" xfId="4120"/>
    <cellStyle name="Normal 4 2 6 2 2 3 2 3" xfId="4121"/>
    <cellStyle name="Normal 4 2 6 2 2 3 3" xfId="4122"/>
    <cellStyle name="Normal 4 2 6 2 2 3 4" xfId="4123"/>
    <cellStyle name="Normal 4 2 6 2 2 3 5" xfId="4124"/>
    <cellStyle name="Normal 4 2 6 2 2 4" xfId="4125"/>
    <cellStyle name="Normal 4 2 6 2 2 4 2" xfId="4126"/>
    <cellStyle name="Normal 4 2 6 2 2 4 3" xfId="4127"/>
    <cellStyle name="Normal 4 2 6 2 2 5" xfId="4128"/>
    <cellStyle name="Normal 4 2 6 2 2 6" xfId="4129"/>
    <cellStyle name="Normal 4 2 6 2 2 7" xfId="4130"/>
    <cellStyle name="Normal 4 2 6 2 3" xfId="4131"/>
    <cellStyle name="Normal 4 2 6 2 3 2" xfId="4132"/>
    <cellStyle name="Normal 4 2 6 2 3 2 2" xfId="4133"/>
    <cellStyle name="Normal 4 2 6 2 3 2 3" xfId="4134"/>
    <cellStyle name="Normal 4 2 6 2 3 3" xfId="4135"/>
    <cellStyle name="Normal 4 2 6 2 3 4" xfId="4136"/>
    <cellStyle name="Normal 4 2 6 2 3 5" xfId="4137"/>
    <cellStyle name="Normal 4 2 6 2 4" xfId="4138"/>
    <cellStyle name="Normal 4 2 6 2 4 2" xfId="4139"/>
    <cellStyle name="Normal 4 2 6 2 4 2 2" xfId="4140"/>
    <cellStyle name="Normal 4 2 6 2 4 2 3" xfId="4141"/>
    <cellStyle name="Normal 4 2 6 2 4 3" xfId="4142"/>
    <cellStyle name="Normal 4 2 6 2 4 4" xfId="4143"/>
    <cellStyle name="Normal 4 2 6 2 4 5" xfId="4144"/>
    <cellStyle name="Normal 4 2 6 2 5" xfId="4145"/>
    <cellStyle name="Normal 4 2 6 2 5 2" xfId="4146"/>
    <cellStyle name="Normal 4 2 6 2 5 3" xfId="4147"/>
    <cellStyle name="Normal 4 2 6 2 6" xfId="4148"/>
    <cellStyle name="Normal 4 2 6 2 7" xfId="4149"/>
    <cellStyle name="Normal 4 2 6 2 8" xfId="4150"/>
    <cellStyle name="Normal 4 2 6 3" xfId="4151"/>
    <cellStyle name="Normal 4 2 6 3 2" xfId="4152"/>
    <cellStyle name="Normal 4 2 6 3 2 2" xfId="4153"/>
    <cellStyle name="Normal 4 2 6 3 2 2 2" xfId="4154"/>
    <cellStyle name="Normal 4 2 6 3 2 2 3" xfId="4155"/>
    <cellStyle name="Normal 4 2 6 3 2 3" xfId="4156"/>
    <cellStyle name="Normal 4 2 6 3 2 4" xfId="4157"/>
    <cellStyle name="Normal 4 2 6 3 2 5" xfId="4158"/>
    <cellStyle name="Normal 4 2 6 3 3" xfId="4159"/>
    <cellStyle name="Normal 4 2 6 3 3 2" xfId="4160"/>
    <cellStyle name="Normal 4 2 6 3 3 2 2" xfId="4161"/>
    <cellStyle name="Normal 4 2 6 3 3 2 3" xfId="4162"/>
    <cellStyle name="Normal 4 2 6 3 3 3" xfId="4163"/>
    <cellStyle name="Normal 4 2 6 3 3 4" xfId="4164"/>
    <cellStyle name="Normal 4 2 6 3 3 5" xfId="4165"/>
    <cellStyle name="Normal 4 2 6 3 4" xfId="4166"/>
    <cellStyle name="Normal 4 2 6 3 4 2" xfId="4167"/>
    <cellStyle name="Normal 4 2 6 3 4 3" xfId="4168"/>
    <cellStyle name="Normal 4 2 6 3 5" xfId="4169"/>
    <cellStyle name="Normal 4 2 6 3 6" xfId="4170"/>
    <cellStyle name="Normal 4 2 6 3 7" xfId="4171"/>
    <cellStyle name="Normal 4 2 6 4" xfId="4172"/>
    <cellStyle name="Normal 4 2 6 4 2" xfId="4173"/>
    <cellStyle name="Normal 4 2 6 4 2 2" xfId="4174"/>
    <cellStyle name="Normal 4 2 6 4 2 3" xfId="4175"/>
    <cellStyle name="Normal 4 2 6 4 3" xfId="4176"/>
    <cellStyle name="Normal 4 2 6 4 4" xfId="4177"/>
    <cellStyle name="Normal 4 2 6 4 5" xfId="4178"/>
    <cellStyle name="Normal 4 2 6 5" xfId="4179"/>
    <cellStyle name="Normal 4 2 6 5 2" xfId="4180"/>
    <cellStyle name="Normal 4 2 6 5 2 2" xfId="4181"/>
    <cellStyle name="Normal 4 2 6 5 2 3" xfId="4182"/>
    <cellStyle name="Normal 4 2 6 5 3" xfId="4183"/>
    <cellStyle name="Normal 4 2 6 5 4" xfId="4184"/>
    <cellStyle name="Normal 4 2 6 5 5" xfId="4185"/>
    <cellStyle name="Normal 4 2 6 6" xfId="4186"/>
    <cellStyle name="Normal 4 2 6 6 2" xfId="4187"/>
    <cellStyle name="Normal 4 2 6 6 3" xfId="4188"/>
    <cellStyle name="Normal 4 2 6 7" xfId="4189"/>
    <cellStyle name="Normal 4 2 6 8" xfId="4190"/>
    <cellStyle name="Normal 4 2 6 9" xfId="4191"/>
    <cellStyle name="Normal 4 2 7" xfId="4192"/>
    <cellStyle name="Normal 4 2 7 2" xfId="4193"/>
    <cellStyle name="Normal 4 2 7 2 2" xfId="4194"/>
    <cellStyle name="Normal 4 2 7 2 2 2" xfId="4195"/>
    <cellStyle name="Normal 4 2 7 2 2 2 2" xfId="4196"/>
    <cellStyle name="Normal 4 2 7 2 2 2 2 2" xfId="4197"/>
    <cellStyle name="Normal 4 2 7 2 2 2 2 3" xfId="4198"/>
    <cellStyle name="Normal 4 2 7 2 2 2 3" xfId="4199"/>
    <cellStyle name="Normal 4 2 7 2 2 2 4" xfId="4200"/>
    <cellStyle name="Normal 4 2 7 2 2 2 5" xfId="4201"/>
    <cellStyle name="Normal 4 2 7 2 2 3" xfId="4202"/>
    <cellStyle name="Normal 4 2 7 2 2 3 2" xfId="4203"/>
    <cellStyle name="Normal 4 2 7 2 2 3 2 2" xfId="4204"/>
    <cellStyle name="Normal 4 2 7 2 2 3 2 3" xfId="4205"/>
    <cellStyle name="Normal 4 2 7 2 2 3 3" xfId="4206"/>
    <cellStyle name="Normal 4 2 7 2 2 3 4" xfId="4207"/>
    <cellStyle name="Normal 4 2 7 2 2 3 5" xfId="4208"/>
    <cellStyle name="Normal 4 2 7 2 2 4" xfId="4209"/>
    <cellStyle name="Normal 4 2 7 2 2 4 2" xfId="4210"/>
    <cellStyle name="Normal 4 2 7 2 2 4 3" xfId="4211"/>
    <cellStyle name="Normal 4 2 7 2 2 5" xfId="4212"/>
    <cellStyle name="Normal 4 2 7 2 2 6" xfId="4213"/>
    <cellStyle name="Normal 4 2 7 2 2 7" xfId="4214"/>
    <cellStyle name="Normal 4 2 7 2 3" xfId="4215"/>
    <cellStyle name="Normal 4 2 7 2 3 2" xfId="4216"/>
    <cellStyle name="Normal 4 2 7 2 3 2 2" xfId="4217"/>
    <cellStyle name="Normal 4 2 7 2 3 2 3" xfId="4218"/>
    <cellStyle name="Normal 4 2 7 2 3 3" xfId="4219"/>
    <cellStyle name="Normal 4 2 7 2 3 4" xfId="4220"/>
    <cellStyle name="Normal 4 2 7 2 3 5" xfId="4221"/>
    <cellStyle name="Normal 4 2 7 2 4" xfId="4222"/>
    <cellStyle name="Normal 4 2 7 2 4 2" xfId="4223"/>
    <cellStyle name="Normal 4 2 7 2 4 2 2" xfId="4224"/>
    <cellStyle name="Normal 4 2 7 2 4 2 3" xfId="4225"/>
    <cellStyle name="Normal 4 2 7 2 4 3" xfId="4226"/>
    <cellStyle name="Normal 4 2 7 2 4 4" xfId="4227"/>
    <cellStyle name="Normal 4 2 7 2 4 5" xfId="4228"/>
    <cellStyle name="Normal 4 2 7 2 5" xfId="4229"/>
    <cellStyle name="Normal 4 2 7 2 5 2" xfId="4230"/>
    <cellStyle name="Normal 4 2 7 2 5 3" xfId="4231"/>
    <cellStyle name="Normal 4 2 7 2 6" xfId="4232"/>
    <cellStyle name="Normal 4 2 7 2 7" xfId="4233"/>
    <cellStyle name="Normal 4 2 7 2 8" xfId="4234"/>
    <cellStyle name="Normal 4 2 7 3" xfId="4235"/>
    <cellStyle name="Normal 4 2 7 3 2" xfId="4236"/>
    <cellStyle name="Normal 4 2 7 3 2 2" xfId="4237"/>
    <cellStyle name="Normal 4 2 7 3 2 2 2" xfId="4238"/>
    <cellStyle name="Normal 4 2 7 3 2 2 3" xfId="4239"/>
    <cellStyle name="Normal 4 2 7 3 2 3" xfId="4240"/>
    <cellStyle name="Normal 4 2 7 3 2 4" xfId="4241"/>
    <cellStyle name="Normal 4 2 7 3 2 5" xfId="4242"/>
    <cellStyle name="Normal 4 2 7 3 3" xfId="4243"/>
    <cellStyle name="Normal 4 2 7 3 3 2" xfId="4244"/>
    <cellStyle name="Normal 4 2 7 3 3 2 2" xfId="4245"/>
    <cellStyle name="Normal 4 2 7 3 3 2 3" xfId="4246"/>
    <cellStyle name="Normal 4 2 7 3 3 3" xfId="4247"/>
    <cellStyle name="Normal 4 2 7 3 3 4" xfId="4248"/>
    <cellStyle name="Normal 4 2 7 3 3 5" xfId="4249"/>
    <cellStyle name="Normal 4 2 7 3 4" xfId="4250"/>
    <cellStyle name="Normal 4 2 7 3 4 2" xfId="4251"/>
    <cellStyle name="Normal 4 2 7 3 4 3" xfId="4252"/>
    <cellStyle name="Normal 4 2 7 3 5" xfId="4253"/>
    <cellStyle name="Normal 4 2 7 3 6" xfId="4254"/>
    <cellStyle name="Normal 4 2 7 3 7" xfId="4255"/>
    <cellStyle name="Normal 4 2 7 4" xfId="4256"/>
    <cellStyle name="Normal 4 2 7 4 2" xfId="4257"/>
    <cellStyle name="Normal 4 2 7 4 2 2" xfId="4258"/>
    <cellStyle name="Normal 4 2 7 4 2 3" xfId="4259"/>
    <cellStyle name="Normal 4 2 7 4 3" xfId="4260"/>
    <cellStyle name="Normal 4 2 7 4 4" xfId="4261"/>
    <cellStyle name="Normal 4 2 7 4 5" xfId="4262"/>
    <cellStyle name="Normal 4 2 7 5" xfId="4263"/>
    <cellStyle name="Normal 4 2 7 5 2" xfId="4264"/>
    <cellStyle name="Normal 4 2 7 5 2 2" xfId="4265"/>
    <cellStyle name="Normal 4 2 7 5 2 3" xfId="4266"/>
    <cellStyle name="Normal 4 2 7 5 3" xfId="4267"/>
    <cellStyle name="Normal 4 2 7 5 4" xfId="4268"/>
    <cellStyle name="Normal 4 2 7 5 5" xfId="4269"/>
    <cellStyle name="Normal 4 2 7 6" xfId="4270"/>
    <cellStyle name="Normal 4 2 7 6 2" xfId="4271"/>
    <cellStyle name="Normal 4 2 7 6 3" xfId="4272"/>
    <cellStyle name="Normal 4 2 7 7" xfId="4273"/>
    <cellStyle name="Normal 4 2 7 8" xfId="4274"/>
    <cellStyle name="Normal 4 2 7 9" xfId="4275"/>
    <cellStyle name="Normal 4 2 8" xfId="4276"/>
    <cellStyle name="Normal 4 2 8 2" xfId="4277"/>
    <cellStyle name="Normal 4 2 8 2 2" xfId="4278"/>
    <cellStyle name="Normal 4 2 8 2 2 2" xfId="4279"/>
    <cellStyle name="Normal 4 2 8 2 2 2 2" xfId="4280"/>
    <cellStyle name="Normal 4 2 8 2 2 2 3" xfId="4281"/>
    <cellStyle name="Normal 4 2 8 2 2 3" xfId="4282"/>
    <cellStyle name="Normal 4 2 8 2 2 4" xfId="4283"/>
    <cellStyle name="Normal 4 2 8 2 2 5" xfId="4284"/>
    <cellStyle name="Normal 4 2 8 2 3" xfId="4285"/>
    <cellStyle name="Normal 4 2 8 2 3 2" xfId="4286"/>
    <cellStyle name="Normal 4 2 8 2 3 2 2" xfId="4287"/>
    <cellStyle name="Normal 4 2 8 2 3 2 3" xfId="4288"/>
    <cellStyle name="Normal 4 2 8 2 3 3" xfId="4289"/>
    <cellStyle name="Normal 4 2 8 2 3 4" xfId="4290"/>
    <cellStyle name="Normal 4 2 8 2 3 5" xfId="4291"/>
    <cellStyle name="Normal 4 2 8 2 4" xfId="4292"/>
    <cellStyle name="Normal 4 2 8 2 4 2" xfId="4293"/>
    <cellStyle name="Normal 4 2 8 2 4 3" xfId="4294"/>
    <cellStyle name="Normal 4 2 8 2 5" xfId="4295"/>
    <cellStyle name="Normal 4 2 8 2 6" xfId="4296"/>
    <cellStyle name="Normal 4 2 8 2 7" xfId="4297"/>
    <cellStyle name="Normal 4 2 8 3" xfId="4298"/>
    <cellStyle name="Normal 4 2 8 3 2" xfId="4299"/>
    <cellStyle name="Normal 4 2 8 3 2 2" xfId="4300"/>
    <cellStyle name="Normal 4 2 8 3 2 3" xfId="4301"/>
    <cellStyle name="Normal 4 2 8 3 3" xfId="4302"/>
    <cellStyle name="Normal 4 2 8 3 4" xfId="4303"/>
    <cellStyle name="Normal 4 2 8 3 5" xfId="4304"/>
    <cellStyle name="Normal 4 2 8 4" xfId="4305"/>
    <cellStyle name="Normal 4 2 8 4 2" xfId="4306"/>
    <cellStyle name="Normal 4 2 8 4 2 2" xfId="4307"/>
    <cellStyle name="Normal 4 2 8 4 2 3" xfId="4308"/>
    <cellStyle name="Normal 4 2 8 4 3" xfId="4309"/>
    <cellStyle name="Normal 4 2 8 4 4" xfId="4310"/>
    <cellStyle name="Normal 4 2 8 4 5" xfId="4311"/>
    <cellStyle name="Normal 4 2 8 5" xfId="4312"/>
    <cellStyle name="Normal 4 2 8 5 2" xfId="4313"/>
    <cellStyle name="Normal 4 2 8 5 3" xfId="4314"/>
    <cellStyle name="Normal 4 2 8 6" xfId="4315"/>
    <cellStyle name="Normal 4 2 8 7" xfId="4316"/>
    <cellStyle name="Normal 4 2 8 8" xfId="4317"/>
    <cellStyle name="Normal 4 2 9" xfId="4318"/>
    <cellStyle name="Normal 4 2 9 2" xfId="4319"/>
    <cellStyle name="Normal 4 2 9 2 2" xfId="4320"/>
    <cellStyle name="Normal 4 2 9 2 2 2" xfId="4321"/>
    <cellStyle name="Normal 4 2 9 2 2 3" xfId="4322"/>
    <cellStyle name="Normal 4 2 9 2 3" xfId="4323"/>
    <cellStyle name="Normal 4 2 9 2 4" xfId="4324"/>
    <cellStyle name="Normal 4 2 9 2 5" xfId="4325"/>
    <cellStyle name="Normal 4 2 9 3" xfId="4326"/>
    <cellStyle name="Normal 4 2 9 3 2" xfId="4327"/>
    <cellStyle name="Normal 4 2 9 3 2 2" xfId="4328"/>
    <cellStyle name="Normal 4 2 9 3 2 3" xfId="4329"/>
    <cellStyle name="Normal 4 2 9 3 3" xfId="4330"/>
    <cellStyle name="Normal 4 2 9 3 4" xfId="4331"/>
    <cellStyle name="Normal 4 2 9 3 5" xfId="4332"/>
    <cellStyle name="Normal 4 2 9 4" xfId="4333"/>
    <cellStyle name="Normal 4 2 9 4 2" xfId="4334"/>
    <cellStyle name="Normal 4 2 9 4 3" xfId="4335"/>
    <cellStyle name="Normal 4 2 9 5" xfId="4336"/>
    <cellStyle name="Normal 4 2 9 6" xfId="4337"/>
    <cellStyle name="Normal 4 2 9 7" xfId="4338"/>
    <cellStyle name="Normal 4 3" xfId="621"/>
    <cellStyle name="Normal 4 3 10" xfId="4339"/>
    <cellStyle name="Normal 4 3 10 2" xfId="4340"/>
    <cellStyle name="Normal 4 3 10 2 2" xfId="4341"/>
    <cellStyle name="Normal 4 3 10 2 2 2" xfId="4342"/>
    <cellStyle name="Normal 4 3 10 2 2 3" xfId="4343"/>
    <cellStyle name="Normal 4 3 10 2 3" xfId="4344"/>
    <cellStyle name="Normal 4 3 10 2 4" xfId="4345"/>
    <cellStyle name="Normal 4 3 10 2 5" xfId="4346"/>
    <cellStyle name="Normal 4 3 10 3" xfId="4347"/>
    <cellStyle name="Normal 4 3 10 3 2" xfId="4348"/>
    <cellStyle name="Normal 4 3 10 3 2 2" xfId="4349"/>
    <cellStyle name="Normal 4 3 10 3 2 3" xfId="4350"/>
    <cellStyle name="Normal 4 3 10 3 3" xfId="4351"/>
    <cellStyle name="Normal 4 3 10 3 4" xfId="4352"/>
    <cellStyle name="Normal 4 3 10 3 5" xfId="4353"/>
    <cellStyle name="Normal 4 3 10 4" xfId="4354"/>
    <cellStyle name="Normal 4 3 10 4 2" xfId="4355"/>
    <cellStyle name="Normal 4 3 10 4 3" xfId="4356"/>
    <cellStyle name="Normal 4 3 10 5" xfId="4357"/>
    <cellStyle name="Normal 4 3 10 6" xfId="4358"/>
    <cellStyle name="Normal 4 3 10 7" xfId="4359"/>
    <cellStyle name="Normal 4 3 11" xfId="4360"/>
    <cellStyle name="Normal 4 3 11 2" xfId="4361"/>
    <cellStyle name="Normal 4 3 11 2 2" xfId="4362"/>
    <cellStyle name="Normal 4 3 11 2 3" xfId="4363"/>
    <cellStyle name="Normal 4 3 11 3" xfId="4364"/>
    <cellStyle name="Normal 4 3 11 4" xfId="4365"/>
    <cellStyle name="Normal 4 3 11 5" xfId="4366"/>
    <cellStyle name="Normal 4 3 12" xfId="4367"/>
    <cellStyle name="Normal 4 3 12 2" xfId="4368"/>
    <cellStyle name="Normal 4 3 12 2 2" xfId="4369"/>
    <cellStyle name="Normal 4 3 12 2 3" xfId="4370"/>
    <cellStyle name="Normal 4 3 12 3" xfId="4371"/>
    <cellStyle name="Normal 4 3 12 4" xfId="4372"/>
    <cellStyle name="Normal 4 3 12 5" xfId="4373"/>
    <cellStyle name="Normal 4 3 13" xfId="4374"/>
    <cellStyle name="Normal 4 3 13 2" xfId="4375"/>
    <cellStyle name="Normal 4 3 13 3" xfId="4376"/>
    <cellStyle name="Normal 4 3 14" xfId="4377"/>
    <cellStyle name="Normal 4 3 15" xfId="4378"/>
    <cellStyle name="Normal 4 3 16" xfId="4379"/>
    <cellStyle name="Normal 4 3 2" xfId="600"/>
    <cellStyle name="Normal 4 3 2 10" xfId="4380"/>
    <cellStyle name="Normal 4 3 2 10 2" xfId="4381"/>
    <cellStyle name="Normal 4 3 2 10 2 2" xfId="4382"/>
    <cellStyle name="Normal 4 3 2 10 2 3" xfId="4383"/>
    <cellStyle name="Normal 4 3 2 10 3" xfId="4384"/>
    <cellStyle name="Normal 4 3 2 10 4" xfId="4385"/>
    <cellStyle name="Normal 4 3 2 10 5" xfId="4386"/>
    <cellStyle name="Normal 4 3 2 11" xfId="4387"/>
    <cellStyle name="Normal 4 3 2 11 2" xfId="4388"/>
    <cellStyle name="Normal 4 3 2 11 3" xfId="4389"/>
    <cellStyle name="Normal 4 3 2 12" xfId="4390"/>
    <cellStyle name="Normal 4 3 2 13" xfId="4391"/>
    <cellStyle name="Normal 4 3 2 14" xfId="4392"/>
    <cellStyle name="Normal 4 3 2 2" xfId="4393"/>
    <cellStyle name="Normal 4 3 2 2 10" xfId="4394"/>
    <cellStyle name="Normal 4 3 2 2 10 2" xfId="4395"/>
    <cellStyle name="Normal 4 3 2 2 10 3" xfId="4396"/>
    <cellStyle name="Normal 4 3 2 2 11" xfId="4397"/>
    <cellStyle name="Normal 4 3 2 2 12" xfId="4398"/>
    <cellStyle name="Normal 4 3 2 2 13" xfId="4399"/>
    <cellStyle name="Normal 4 3 2 2 2" xfId="4400"/>
    <cellStyle name="Normal 4 3 2 2 2 2" xfId="4401"/>
    <cellStyle name="Normal 4 3 2 2 2 2 2" xfId="4402"/>
    <cellStyle name="Normal 4 3 2 2 2 2 2 2" xfId="4403"/>
    <cellStyle name="Normal 4 3 2 2 2 2 2 2 2" xfId="4404"/>
    <cellStyle name="Normal 4 3 2 2 2 2 2 2 2 2" xfId="4405"/>
    <cellStyle name="Normal 4 3 2 2 2 2 2 2 2 3" xfId="4406"/>
    <cellStyle name="Normal 4 3 2 2 2 2 2 2 3" xfId="4407"/>
    <cellStyle name="Normal 4 3 2 2 2 2 2 2 4" xfId="4408"/>
    <cellStyle name="Normal 4 3 2 2 2 2 2 2 5" xfId="4409"/>
    <cellStyle name="Normal 4 3 2 2 2 2 2 3" xfId="4410"/>
    <cellStyle name="Normal 4 3 2 2 2 2 2 3 2" xfId="4411"/>
    <cellStyle name="Normal 4 3 2 2 2 2 2 3 2 2" xfId="4412"/>
    <cellStyle name="Normal 4 3 2 2 2 2 2 3 2 3" xfId="4413"/>
    <cellStyle name="Normal 4 3 2 2 2 2 2 3 3" xfId="4414"/>
    <cellStyle name="Normal 4 3 2 2 2 2 2 3 4" xfId="4415"/>
    <cellStyle name="Normal 4 3 2 2 2 2 2 3 5" xfId="4416"/>
    <cellStyle name="Normal 4 3 2 2 2 2 2 4" xfId="4417"/>
    <cellStyle name="Normal 4 3 2 2 2 2 2 4 2" xfId="4418"/>
    <cellStyle name="Normal 4 3 2 2 2 2 2 4 3" xfId="4419"/>
    <cellStyle name="Normal 4 3 2 2 2 2 2 5" xfId="4420"/>
    <cellStyle name="Normal 4 3 2 2 2 2 2 6" xfId="4421"/>
    <cellStyle name="Normal 4 3 2 2 2 2 2 7" xfId="4422"/>
    <cellStyle name="Normal 4 3 2 2 2 2 3" xfId="4423"/>
    <cellStyle name="Normal 4 3 2 2 2 2 3 2" xfId="4424"/>
    <cellStyle name="Normal 4 3 2 2 2 2 3 2 2" xfId="4425"/>
    <cellStyle name="Normal 4 3 2 2 2 2 3 2 3" xfId="4426"/>
    <cellStyle name="Normal 4 3 2 2 2 2 3 3" xfId="4427"/>
    <cellStyle name="Normal 4 3 2 2 2 2 3 4" xfId="4428"/>
    <cellStyle name="Normal 4 3 2 2 2 2 3 5" xfId="4429"/>
    <cellStyle name="Normal 4 3 2 2 2 2 4" xfId="4430"/>
    <cellStyle name="Normal 4 3 2 2 2 2 4 2" xfId="4431"/>
    <cellStyle name="Normal 4 3 2 2 2 2 4 2 2" xfId="4432"/>
    <cellStyle name="Normal 4 3 2 2 2 2 4 2 3" xfId="4433"/>
    <cellStyle name="Normal 4 3 2 2 2 2 4 3" xfId="4434"/>
    <cellStyle name="Normal 4 3 2 2 2 2 4 4" xfId="4435"/>
    <cellStyle name="Normal 4 3 2 2 2 2 4 5" xfId="4436"/>
    <cellStyle name="Normal 4 3 2 2 2 2 5" xfId="4437"/>
    <cellStyle name="Normal 4 3 2 2 2 2 5 2" xfId="4438"/>
    <cellStyle name="Normal 4 3 2 2 2 2 5 3" xfId="4439"/>
    <cellStyle name="Normal 4 3 2 2 2 2 6" xfId="4440"/>
    <cellStyle name="Normal 4 3 2 2 2 2 7" xfId="4441"/>
    <cellStyle name="Normal 4 3 2 2 2 2 8" xfId="4442"/>
    <cellStyle name="Normal 4 3 2 2 2 3" xfId="4443"/>
    <cellStyle name="Normal 4 3 2 2 2 3 2" xfId="4444"/>
    <cellStyle name="Normal 4 3 2 2 2 3 2 2" xfId="4445"/>
    <cellStyle name="Normal 4 3 2 2 2 3 2 2 2" xfId="4446"/>
    <cellStyle name="Normal 4 3 2 2 2 3 2 2 3" xfId="4447"/>
    <cellStyle name="Normal 4 3 2 2 2 3 2 3" xfId="4448"/>
    <cellStyle name="Normal 4 3 2 2 2 3 2 4" xfId="4449"/>
    <cellStyle name="Normal 4 3 2 2 2 3 2 5" xfId="4450"/>
    <cellStyle name="Normal 4 3 2 2 2 3 3" xfId="4451"/>
    <cellStyle name="Normal 4 3 2 2 2 3 3 2" xfId="4452"/>
    <cellStyle name="Normal 4 3 2 2 2 3 3 2 2" xfId="4453"/>
    <cellStyle name="Normal 4 3 2 2 2 3 3 2 3" xfId="4454"/>
    <cellStyle name="Normal 4 3 2 2 2 3 3 3" xfId="4455"/>
    <cellStyle name="Normal 4 3 2 2 2 3 3 4" xfId="4456"/>
    <cellStyle name="Normal 4 3 2 2 2 3 3 5" xfId="4457"/>
    <cellStyle name="Normal 4 3 2 2 2 3 4" xfId="4458"/>
    <cellStyle name="Normal 4 3 2 2 2 3 4 2" xfId="4459"/>
    <cellStyle name="Normal 4 3 2 2 2 3 4 3" xfId="4460"/>
    <cellStyle name="Normal 4 3 2 2 2 3 5" xfId="4461"/>
    <cellStyle name="Normal 4 3 2 2 2 3 6" xfId="4462"/>
    <cellStyle name="Normal 4 3 2 2 2 3 7" xfId="4463"/>
    <cellStyle name="Normal 4 3 2 2 2 4" xfId="4464"/>
    <cellStyle name="Normal 4 3 2 2 2 4 2" xfId="4465"/>
    <cellStyle name="Normal 4 3 2 2 2 4 2 2" xfId="4466"/>
    <cellStyle name="Normal 4 3 2 2 2 4 2 3" xfId="4467"/>
    <cellStyle name="Normal 4 3 2 2 2 4 3" xfId="4468"/>
    <cellStyle name="Normal 4 3 2 2 2 4 4" xfId="4469"/>
    <cellStyle name="Normal 4 3 2 2 2 4 5" xfId="4470"/>
    <cellStyle name="Normal 4 3 2 2 2 5" xfId="4471"/>
    <cellStyle name="Normal 4 3 2 2 2 5 2" xfId="4472"/>
    <cellStyle name="Normal 4 3 2 2 2 5 2 2" xfId="4473"/>
    <cellStyle name="Normal 4 3 2 2 2 5 2 3" xfId="4474"/>
    <cellStyle name="Normal 4 3 2 2 2 5 3" xfId="4475"/>
    <cellStyle name="Normal 4 3 2 2 2 5 4" xfId="4476"/>
    <cellStyle name="Normal 4 3 2 2 2 5 5" xfId="4477"/>
    <cellStyle name="Normal 4 3 2 2 2 6" xfId="4478"/>
    <cellStyle name="Normal 4 3 2 2 2 6 2" xfId="4479"/>
    <cellStyle name="Normal 4 3 2 2 2 6 3" xfId="4480"/>
    <cellStyle name="Normal 4 3 2 2 2 7" xfId="4481"/>
    <cellStyle name="Normal 4 3 2 2 2 8" xfId="4482"/>
    <cellStyle name="Normal 4 3 2 2 2 9" xfId="4483"/>
    <cellStyle name="Normal 4 3 2 2 3" xfId="4484"/>
    <cellStyle name="Normal 4 3 2 2 3 2" xfId="4485"/>
    <cellStyle name="Normal 4 3 2 2 3 2 2" xfId="4486"/>
    <cellStyle name="Normal 4 3 2 2 3 2 2 2" xfId="4487"/>
    <cellStyle name="Normal 4 3 2 2 3 2 2 2 2" xfId="4488"/>
    <cellStyle name="Normal 4 3 2 2 3 2 2 2 2 2" xfId="4489"/>
    <cellStyle name="Normal 4 3 2 2 3 2 2 2 2 3" xfId="4490"/>
    <cellStyle name="Normal 4 3 2 2 3 2 2 2 3" xfId="4491"/>
    <cellStyle name="Normal 4 3 2 2 3 2 2 2 4" xfId="4492"/>
    <cellStyle name="Normal 4 3 2 2 3 2 2 2 5" xfId="4493"/>
    <cellStyle name="Normal 4 3 2 2 3 2 2 3" xfId="4494"/>
    <cellStyle name="Normal 4 3 2 2 3 2 2 3 2" xfId="4495"/>
    <cellStyle name="Normal 4 3 2 2 3 2 2 3 2 2" xfId="4496"/>
    <cellStyle name="Normal 4 3 2 2 3 2 2 3 2 3" xfId="4497"/>
    <cellStyle name="Normal 4 3 2 2 3 2 2 3 3" xfId="4498"/>
    <cellStyle name="Normal 4 3 2 2 3 2 2 3 4" xfId="4499"/>
    <cellStyle name="Normal 4 3 2 2 3 2 2 3 5" xfId="4500"/>
    <cellStyle name="Normal 4 3 2 2 3 2 2 4" xfId="4501"/>
    <cellStyle name="Normal 4 3 2 2 3 2 2 4 2" xfId="4502"/>
    <cellStyle name="Normal 4 3 2 2 3 2 2 4 3" xfId="4503"/>
    <cellStyle name="Normal 4 3 2 2 3 2 2 5" xfId="4504"/>
    <cellStyle name="Normal 4 3 2 2 3 2 2 6" xfId="4505"/>
    <cellStyle name="Normal 4 3 2 2 3 2 2 7" xfId="4506"/>
    <cellStyle name="Normal 4 3 2 2 3 2 3" xfId="4507"/>
    <cellStyle name="Normal 4 3 2 2 3 2 3 2" xfId="4508"/>
    <cellStyle name="Normal 4 3 2 2 3 2 3 2 2" xfId="4509"/>
    <cellStyle name="Normal 4 3 2 2 3 2 3 2 3" xfId="4510"/>
    <cellStyle name="Normal 4 3 2 2 3 2 3 3" xfId="4511"/>
    <cellStyle name="Normal 4 3 2 2 3 2 3 4" xfId="4512"/>
    <cellStyle name="Normal 4 3 2 2 3 2 3 5" xfId="4513"/>
    <cellStyle name="Normal 4 3 2 2 3 2 4" xfId="4514"/>
    <cellStyle name="Normal 4 3 2 2 3 2 4 2" xfId="4515"/>
    <cellStyle name="Normal 4 3 2 2 3 2 4 2 2" xfId="4516"/>
    <cellStyle name="Normal 4 3 2 2 3 2 4 2 3" xfId="4517"/>
    <cellStyle name="Normal 4 3 2 2 3 2 4 3" xfId="4518"/>
    <cellStyle name="Normal 4 3 2 2 3 2 4 4" xfId="4519"/>
    <cellStyle name="Normal 4 3 2 2 3 2 4 5" xfId="4520"/>
    <cellStyle name="Normal 4 3 2 2 3 2 5" xfId="4521"/>
    <cellStyle name="Normal 4 3 2 2 3 2 5 2" xfId="4522"/>
    <cellStyle name="Normal 4 3 2 2 3 2 5 3" xfId="4523"/>
    <cellStyle name="Normal 4 3 2 2 3 2 6" xfId="4524"/>
    <cellStyle name="Normal 4 3 2 2 3 2 7" xfId="4525"/>
    <cellStyle name="Normal 4 3 2 2 3 2 8" xfId="4526"/>
    <cellStyle name="Normal 4 3 2 2 3 3" xfId="4527"/>
    <cellStyle name="Normal 4 3 2 2 3 3 2" xfId="4528"/>
    <cellStyle name="Normal 4 3 2 2 3 3 2 2" xfId="4529"/>
    <cellStyle name="Normal 4 3 2 2 3 3 2 2 2" xfId="4530"/>
    <cellStyle name="Normal 4 3 2 2 3 3 2 2 3" xfId="4531"/>
    <cellStyle name="Normal 4 3 2 2 3 3 2 3" xfId="4532"/>
    <cellStyle name="Normal 4 3 2 2 3 3 2 4" xfId="4533"/>
    <cellStyle name="Normal 4 3 2 2 3 3 2 5" xfId="4534"/>
    <cellStyle name="Normal 4 3 2 2 3 3 3" xfId="4535"/>
    <cellStyle name="Normal 4 3 2 2 3 3 3 2" xfId="4536"/>
    <cellStyle name="Normal 4 3 2 2 3 3 3 2 2" xfId="4537"/>
    <cellStyle name="Normal 4 3 2 2 3 3 3 2 3" xfId="4538"/>
    <cellStyle name="Normal 4 3 2 2 3 3 3 3" xfId="4539"/>
    <cellStyle name="Normal 4 3 2 2 3 3 3 4" xfId="4540"/>
    <cellStyle name="Normal 4 3 2 2 3 3 3 5" xfId="4541"/>
    <cellStyle name="Normal 4 3 2 2 3 3 4" xfId="4542"/>
    <cellStyle name="Normal 4 3 2 2 3 3 4 2" xfId="4543"/>
    <cellStyle name="Normal 4 3 2 2 3 3 4 3" xfId="4544"/>
    <cellStyle name="Normal 4 3 2 2 3 3 5" xfId="4545"/>
    <cellStyle name="Normal 4 3 2 2 3 3 6" xfId="4546"/>
    <cellStyle name="Normal 4 3 2 2 3 3 7" xfId="4547"/>
    <cellStyle name="Normal 4 3 2 2 3 4" xfId="4548"/>
    <cellStyle name="Normal 4 3 2 2 3 4 2" xfId="4549"/>
    <cellStyle name="Normal 4 3 2 2 3 4 2 2" xfId="4550"/>
    <cellStyle name="Normal 4 3 2 2 3 4 2 3" xfId="4551"/>
    <cellStyle name="Normal 4 3 2 2 3 4 3" xfId="4552"/>
    <cellStyle name="Normal 4 3 2 2 3 4 4" xfId="4553"/>
    <cellStyle name="Normal 4 3 2 2 3 4 5" xfId="4554"/>
    <cellStyle name="Normal 4 3 2 2 3 5" xfId="4555"/>
    <cellStyle name="Normal 4 3 2 2 3 5 2" xfId="4556"/>
    <cellStyle name="Normal 4 3 2 2 3 5 2 2" xfId="4557"/>
    <cellStyle name="Normal 4 3 2 2 3 5 2 3" xfId="4558"/>
    <cellStyle name="Normal 4 3 2 2 3 5 3" xfId="4559"/>
    <cellStyle name="Normal 4 3 2 2 3 5 4" xfId="4560"/>
    <cellStyle name="Normal 4 3 2 2 3 5 5" xfId="4561"/>
    <cellStyle name="Normal 4 3 2 2 3 6" xfId="4562"/>
    <cellStyle name="Normal 4 3 2 2 3 6 2" xfId="4563"/>
    <cellStyle name="Normal 4 3 2 2 3 6 3" xfId="4564"/>
    <cellStyle name="Normal 4 3 2 2 3 7" xfId="4565"/>
    <cellStyle name="Normal 4 3 2 2 3 8" xfId="4566"/>
    <cellStyle name="Normal 4 3 2 2 3 9" xfId="4567"/>
    <cellStyle name="Normal 4 3 2 2 4" xfId="4568"/>
    <cellStyle name="Normal 4 3 2 2 4 2" xfId="4569"/>
    <cellStyle name="Normal 4 3 2 2 4 2 2" xfId="4570"/>
    <cellStyle name="Normal 4 3 2 2 4 2 2 2" xfId="4571"/>
    <cellStyle name="Normal 4 3 2 2 4 2 2 2 2" xfId="4572"/>
    <cellStyle name="Normal 4 3 2 2 4 2 2 2 2 2" xfId="4573"/>
    <cellStyle name="Normal 4 3 2 2 4 2 2 2 2 3" xfId="4574"/>
    <cellStyle name="Normal 4 3 2 2 4 2 2 2 3" xfId="4575"/>
    <cellStyle name="Normal 4 3 2 2 4 2 2 2 4" xfId="4576"/>
    <cellStyle name="Normal 4 3 2 2 4 2 2 2 5" xfId="4577"/>
    <cellStyle name="Normal 4 3 2 2 4 2 2 3" xfId="4578"/>
    <cellStyle name="Normal 4 3 2 2 4 2 2 3 2" xfId="4579"/>
    <cellStyle name="Normal 4 3 2 2 4 2 2 3 2 2" xfId="4580"/>
    <cellStyle name="Normal 4 3 2 2 4 2 2 3 2 3" xfId="4581"/>
    <cellStyle name="Normal 4 3 2 2 4 2 2 3 3" xfId="4582"/>
    <cellStyle name="Normal 4 3 2 2 4 2 2 3 4" xfId="4583"/>
    <cellStyle name="Normal 4 3 2 2 4 2 2 3 5" xfId="4584"/>
    <cellStyle name="Normal 4 3 2 2 4 2 2 4" xfId="4585"/>
    <cellStyle name="Normal 4 3 2 2 4 2 2 4 2" xfId="4586"/>
    <cellStyle name="Normal 4 3 2 2 4 2 2 4 3" xfId="4587"/>
    <cellStyle name="Normal 4 3 2 2 4 2 2 5" xfId="4588"/>
    <cellStyle name="Normal 4 3 2 2 4 2 2 6" xfId="4589"/>
    <cellStyle name="Normal 4 3 2 2 4 2 2 7" xfId="4590"/>
    <cellStyle name="Normal 4 3 2 2 4 2 3" xfId="4591"/>
    <cellStyle name="Normal 4 3 2 2 4 2 3 2" xfId="4592"/>
    <cellStyle name="Normal 4 3 2 2 4 2 3 2 2" xfId="4593"/>
    <cellStyle name="Normal 4 3 2 2 4 2 3 2 3" xfId="4594"/>
    <cellStyle name="Normal 4 3 2 2 4 2 3 3" xfId="4595"/>
    <cellStyle name="Normal 4 3 2 2 4 2 3 4" xfId="4596"/>
    <cellStyle name="Normal 4 3 2 2 4 2 3 5" xfId="4597"/>
    <cellStyle name="Normal 4 3 2 2 4 2 4" xfId="4598"/>
    <cellStyle name="Normal 4 3 2 2 4 2 4 2" xfId="4599"/>
    <cellStyle name="Normal 4 3 2 2 4 2 4 2 2" xfId="4600"/>
    <cellStyle name="Normal 4 3 2 2 4 2 4 2 3" xfId="4601"/>
    <cellStyle name="Normal 4 3 2 2 4 2 4 3" xfId="4602"/>
    <cellStyle name="Normal 4 3 2 2 4 2 4 4" xfId="4603"/>
    <cellStyle name="Normal 4 3 2 2 4 2 4 5" xfId="4604"/>
    <cellStyle name="Normal 4 3 2 2 4 2 5" xfId="4605"/>
    <cellStyle name="Normal 4 3 2 2 4 2 5 2" xfId="4606"/>
    <cellStyle name="Normal 4 3 2 2 4 2 5 3" xfId="4607"/>
    <cellStyle name="Normal 4 3 2 2 4 2 6" xfId="4608"/>
    <cellStyle name="Normal 4 3 2 2 4 2 7" xfId="4609"/>
    <cellStyle name="Normal 4 3 2 2 4 2 8" xfId="4610"/>
    <cellStyle name="Normal 4 3 2 2 4 3" xfId="4611"/>
    <cellStyle name="Normal 4 3 2 2 4 3 2" xfId="4612"/>
    <cellStyle name="Normal 4 3 2 2 4 3 2 2" xfId="4613"/>
    <cellStyle name="Normal 4 3 2 2 4 3 2 2 2" xfId="4614"/>
    <cellStyle name="Normal 4 3 2 2 4 3 2 2 3" xfId="4615"/>
    <cellStyle name="Normal 4 3 2 2 4 3 2 3" xfId="4616"/>
    <cellStyle name="Normal 4 3 2 2 4 3 2 4" xfId="4617"/>
    <cellStyle name="Normal 4 3 2 2 4 3 2 5" xfId="4618"/>
    <cellStyle name="Normal 4 3 2 2 4 3 3" xfId="4619"/>
    <cellStyle name="Normal 4 3 2 2 4 3 3 2" xfId="4620"/>
    <cellStyle name="Normal 4 3 2 2 4 3 3 2 2" xfId="4621"/>
    <cellStyle name="Normal 4 3 2 2 4 3 3 2 3" xfId="4622"/>
    <cellStyle name="Normal 4 3 2 2 4 3 3 3" xfId="4623"/>
    <cellStyle name="Normal 4 3 2 2 4 3 3 4" xfId="4624"/>
    <cellStyle name="Normal 4 3 2 2 4 3 3 5" xfId="4625"/>
    <cellStyle name="Normal 4 3 2 2 4 3 4" xfId="4626"/>
    <cellStyle name="Normal 4 3 2 2 4 3 4 2" xfId="4627"/>
    <cellStyle name="Normal 4 3 2 2 4 3 4 3" xfId="4628"/>
    <cellStyle name="Normal 4 3 2 2 4 3 5" xfId="4629"/>
    <cellStyle name="Normal 4 3 2 2 4 3 6" xfId="4630"/>
    <cellStyle name="Normal 4 3 2 2 4 3 7" xfId="4631"/>
    <cellStyle name="Normal 4 3 2 2 4 4" xfId="4632"/>
    <cellStyle name="Normal 4 3 2 2 4 4 2" xfId="4633"/>
    <cellStyle name="Normal 4 3 2 2 4 4 2 2" xfId="4634"/>
    <cellStyle name="Normal 4 3 2 2 4 4 2 3" xfId="4635"/>
    <cellStyle name="Normal 4 3 2 2 4 4 3" xfId="4636"/>
    <cellStyle name="Normal 4 3 2 2 4 4 4" xfId="4637"/>
    <cellStyle name="Normal 4 3 2 2 4 4 5" xfId="4638"/>
    <cellStyle name="Normal 4 3 2 2 4 5" xfId="4639"/>
    <cellStyle name="Normal 4 3 2 2 4 5 2" xfId="4640"/>
    <cellStyle name="Normal 4 3 2 2 4 5 2 2" xfId="4641"/>
    <cellStyle name="Normal 4 3 2 2 4 5 2 3" xfId="4642"/>
    <cellStyle name="Normal 4 3 2 2 4 5 3" xfId="4643"/>
    <cellStyle name="Normal 4 3 2 2 4 5 4" xfId="4644"/>
    <cellStyle name="Normal 4 3 2 2 4 5 5" xfId="4645"/>
    <cellStyle name="Normal 4 3 2 2 4 6" xfId="4646"/>
    <cellStyle name="Normal 4 3 2 2 4 6 2" xfId="4647"/>
    <cellStyle name="Normal 4 3 2 2 4 6 3" xfId="4648"/>
    <cellStyle name="Normal 4 3 2 2 4 7" xfId="4649"/>
    <cellStyle name="Normal 4 3 2 2 4 8" xfId="4650"/>
    <cellStyle name="Normal 4 3 2 2 4 9" xfId="4651"/>
    <cellStyle name="Normal 4 3 2 2 5" xfId="4652"/>
    <cellStyle name="Normal 4 3 2 2 5 2" xfId="4653"/>
    <cellStyle name="Normal 4 3 2 2 5 2 2" xfId="4654"/>
    <cellStyle name="Normal 4 3 2 2 5 2 2 2" xfId="4655"/>
    <cellStyle name="Normal 4 3 2 2 5 2 2 2 2" xfId="4656"/>
    <cellStyle name="Normal 4 3 2 2 5 2 2 2 3" xfId="4657"/>
    <cellStyle name="Normal 4 3 2 2 5 2 2 3" xfId="4658"/>
    <cellStyle name="Normal 4 3 2 2 5 2 2 4" xfId="4659"/>
    <cellStyle name="Normal 4 3 2 2 5 2 2 5" xfId="4660"/>
    <cellStyle name="Normal 4 3 2 2 5 2 3" xfId="4661"/>
    <cellStyle name="Normal 4 3 2 2 5 2 3 2" xfId="4662"/>
    <cellStyle name="Normal 4 3 2 2 5 2 3 2 2" xfId="4663"/>
    <cellStyle name="Normal 4 3 2 2 5 2 3 2 3" xfId="4664"/>
    <cellStyle name="Normal 4 3 2 2 5 2 3 3" xfId="4665"/>
    <cellStyle name="Normal 4 3 2 2 5 2 3 4" xfId="4666"/>
    <cellStyle name="Normal 4 3 2 2 5 2 3 5" xfId="4667"/>
    <cellStyle name="Normal 4 3 2 2 5 2 4" xfId="4668"/>
    <cellStyle name="Normal 4 3 2 2 5 2 4 2" xfId="4669"/>
    <cellStyle name="Normal 4 3 2 2 5 2 4 3" xfId="4670"/>
    <cellStyle name="Normal 4 3 2 2 5 2 5" xfId="4671"/>
    <cellStyle name="Normal 4 3 2 2 5 2 6" xfId="4672"/>
    <cellStyle name="Normal 4 3 2 2 5 2 7" xfId="4673"/>
    <cellStyle name="Normal 4 3 2 2 5 3" xfId="4674"/>
    <cellStyle name="Normal 4 3 2 2 5 3 2" xfId="4675"/>
    <cellStyle name="Normal 4 3 2 2 5 3 2 2" xfId="4676"/>
    <cellStyle name="Normal 4 3 2 2 5 3 2 3" xfId="4677"/>
    <cellStyle name="Normal 4 3 2 2 5 3 3" xfId="4678"/>
    <cellStyle name="Normal 4 3 2 2 5 3 4" xfId="4679"/>
    <cellStyle name="Normal 4 3 2 2 5 3 5" xfId="4680"/>
    <cellStyle name="Normal 4 3 2 2 5 4" xfId="4681"/>
    <cellStyle name="Normal 4 3 2 2 5 4 2" xfId="4682"/>
    <cellStyle name="Normal 4 3 2 2 5 4 2 2" xfId="4683"/>
    <cellStyle name="Normal 4 3 2 2 5 4 2 3" xfId="4684"/>
    <cellStyle name="Normal 4 3 2 2 5 4 3" xfId="4685"/>
    <cellStyle name="Normal 4 3 2 2 5 4 4" xfId="4686"/>
    <cellStyle name="Normal 4 3 2 2 5 4 5" xfId="4687"/>
    <cellStyle name="Normal 4 3 2 2 5 5" xfId="4688"/>
    <cellStyle name="Normal 4 3 2 2 5 5 2" xfId="4689"/>
    <cellStyle name="Normal 4 3 2 2 5 5 3" xfId="4690"/>
    <cellStyle name="Normal 4 3 2 2 5 6" xfId="4691"/>
    <cellStyle name="Normal 4 3 2 2 5 7" xfId="4692"/>
    <cellStyle name="Normal 4 3 2 2 5 8" xfId="4693"/>
    <cellStyle name="Normal 4 3 2 2 6" xfId="4694"/>
    <cellStyle name="Normal 4 3 2 2 6 2" xfId="4695"/>
    <cellStyle name="Normal 4 3 2 2 6 2 2" xfId="4696"/>
    <cellStyle name="Normal 4 3 2 2 6 2 2 2" xfId="4697"/>
    <cellStyle name="Normal 4 3 2 2 6 2 2 3" xfId="4698"/>
    <cellStyle name="Normal 4 3 2 2 6 2 3" xfId="4699"/>
    <cellStyle name="Normal 4 3 2 2 6 2 4" xfId="4700"/>
    <cellStyle name="Normal 4 3 2 2 6 2 5" xfId="4701"/>
    <cellStyle name="Normal 4 3 2 2 6 3" xfId="4702"/>
    <cellStyle name="Normal 4 3 2 2 6 3 2" xfId="4703"/>
    <cellStyle name="Normal 4 3 2 2 6 3 2 2" xfId="4704"/>
    <cellStyle name="Normal 4 3 2 2 6 3 2 3" xfId="4705"/>
    <cellStyle name="Normal 4 3 2 2 6 3 3" xfId="4706"/>
    <cellStyle name="Normal 4 3 2 2 6 3 4" xfId="4707"/>
    <cellStyle name="Normal 4 3 2 2 6 3 5" xfId="4708"/>
    <cellStyle name="Normal 4 3 2 2 6 4" xfId="4709"/>
    <cellStyle name="Normal 4 3 2 2 6 4 2" xfId="4710"/>
    <cellStyle name="Normal 4 3 2 2 6 4 3" xfId="4711"/>
    <cellStyle name="Normal 4 3 2 2 6 5" xfId="4712"/>
    <cellStyle name="Normal 4 3 2 2 6 6" xfId="4713"/>
    <cellStyle name="Normal 4 3 2 2 6 7" xfId="4714"/>
    <cellStyle name="Normal 4 3 2 2 7" xfId="4715"/>
    <cellStyle name="Normal 4 3 2 2 7 2" xfId="4716"/>
    <cellStyle name="Normal 4 3 2 2 7 2 2" xfId="4717"/>
    <cellStyle name="Normal 4 3 2 2 7 2 2 2" xfId="4718"/>
    <cellStyle name="Normal 4 3 2 2 7 2 2 3" xfId="4719"/>
    <cellStyle name="Normal 4 3 2 2 7 2 3" xfId="4720"/>
    <cellStyle name="Normal 4 3 2 2 7 2 4" xfId="4721"/>
    <cellStyle name="Normal 4 3 2 2 7 2 5" xfId="4722"/>
    <cellStyle name="Normal 4 3 2 2 7 3" xfId="4723"/>
    <cellStyle name="Normal 4 3 2 2 7 3 2" xfId="4724"/>
    <cellStyle name="Normal 4 3 2 2 7 3 2 2" xfId="4725"/>
    <cellStyle name="Normal 4 3 2 2 7 3 2 3" xfId="4726"/>
    <cellStyle name="Normal 4 3 2 2 7 3 3" xfId="4727"/>
    <cellStyle name="Normal 4 3 2 2 7 3 4" xfId="4728"/>
    <cellStyle name="Normal 4 3 2 2 7 3 5" xfId="4729"/>
    <cellStyle name="Normal 4 3 2 2 7 4" xfId="4730"/>
    <cellStyle name="Normal 4 3 2 2 7 4 2" xfId="4731"/>
    <cellStyle name="Normal 4 3 2 2 7 4 3" xfId="4732"/>
    <cellStyle name="Normal 4 3 2 2 7 5" xfId="4733"/>
    <cellStyle name="Normal 4 3 2 2 7 6" xfId="4734"/>
    <cellStyle name="Normal 4 3 2 2 7 7" xfId="4735"/>
    <cellStyle name="Normal 4 3 2 2 8" xfId="4736"/>
    <cellStyle name="Normal 4 3 2 2 8 2" xfId="4737"/>
    <cellStyle name="Normal 4 3 2 2 8 2 2" xfId="4738"/>
    <cellStyle name="Normal 4 3 2 2 8 2 3" xfId="4739"/>
    <cellStyle name="Normal 4 3 2 2 8 3" xfId="4740"/>
    <cellStyle name="Normal 4 3 2 2 8 4" xfId="4741"/>
    <cellStyle name="Normal 4 3 2 2 8 5" xfId="4742"/>
    <cellStyle name="Normal 4 3 2 2 9" xfId="4743"/>
    <cellStyle name="Normal 4 3 2 2 9 2" xfId="4744"/>
    <cellStyle name="Normal 4 3 2 2 9 2 2" xfId="4745"/>
    <cellStyle name="Normal 4 3 2 2 9 2 3" xfId="4746"/>
    <cellStyle name="Normal 4 3 2 2 9 3" xfId="4747"/>
    <cellStyle name="Normal 4 3 2 2 9 4" xfId="4748"/>
    <cellStyle name="Normal 4 3 2 2 9 5" xfId="4749"/>
    <cellStyle name="Normal 4 3 2 3" xfId="4750"/>
    <cellStyle name="Normal 4 3 2 3 2" xfId="4751"/>
    <cellStyle name="Normal 4 3 2 3 2 2" xfId="4752"/>
    <cellStyle name="Normal 4 3 2 3 2 2 2" xfId="4753"/>
    <cellStyle name="Normal 4 3 2 3 2 2 2 2" xfId="4754"/>
    <cellStyle name="Normal 4 3 2 3 2 2 2 2 2" xfId="4755"/>
    <cellStyle name="Normal 4 3 2 3 2 2 2 2 3" xfId="4756"/>
    <cellStyle name="Normal 4 3 2 3 2 2 2 3" xfId="4757"/>
    <cellStyle name="Normal 4 3 2 3 2 2 2 4" xfId="4758"/>
    <cellStyle name="Normal 4 3 2 3 2 2 2 5" xfId="4759"/>
    <cellStyle name="Normal 4 3 2 3 2 2 3" xfId="4760"/>
    <cellStyle name="Normal 4 3 2 3 2 2 3 2" xfId="4761"/>
    <cellStyle name="Normal 4 3 2 3 2 2 3 2 2" xfId="4762"/>
    <cellStyle name="Normal 4 3 2 3 2 2 3 2 3" xfId="4763"/>
    <cellStyle name="Normal 4 3 2 3 2 2 3 3" xfId="4764"/>
    <cellStyle name="Normal 4 3 2 3 2 2 3 4" xfId="4765"/>
    <cellStyle name="Normal 4 3 2 3 2 2 3 5" xfId="4766"/>
    <cellStyle name="Normal 4 3 2 3 2 2 4" xfId="4767"/>
    <cellStyle name="Normal 4 3 2 3 2 2 4 2" xfId="4768"/>
    <cellStyle name="Normal 4 3 2 3 2 2 4 3" xfId="4769"/>
    <cellStyle name="Normal 4 3 2 3 2 2 5" xfId="4770"/>
    <cellStyle name="Normal 4 3 2 3 2 2 6" xfId="4771"/>
    <cellStyle name="Normal 4 3 2 3 2 2 7" xfId="4772"/>
    <cellStyle name="Normal 4 3 2 3 2 3" xfId="4773"/>
    <cellStyle name="Normal 4 3 2 3 2 3 2" xfId="4774"/>
    <cellStyle name="Normal 4 3 2 3 2 3 2 2" xfId="4775"/>
    <cellStyle name="Normal 4 3 2 3 2 3 2 3" xfId="4776"/>
    <cellStyle name="Normal 4 3 2 3 2 3 3" xfId="4777"/>
    <cellStyle name="Normal 4 3 2 3 2 3 4" xfId="4778"/>
    <cellStyle name="Normal 4 3 2 3 2 3 5" xfId="4779"/>
    <cellStyle name="Normal 4 3 2 3 2 4" xfId="4780"/>
    <cellStyle name="Normal 4 3 2 3 2 4 2" xfId="4781"/>
    <cellStyle name="Normal 4 3 2 3 2 4 2 2" xfId="4782"/>
    <cellStyle name="Normal 4 3 2 3 2 4 2 3" xfId="4783"/>
    <cellStyle name="Normal 4 3 2 3 2 4 3" xfId="4784"/>
    <cellStyle name="Normal 4 3 2 3 2 4 4" xfId="4785"/>
    <cellStyle name="Normal 4 3 2 3 2 4 5" xfId="4786"/>
    <cellStyle name="Normal 4 3 2 3 2 5" xfId="4787"/>
    <cellStyle name="Normal 4 3 2 3 2 5 2" xfId="4788"/>
    <cellStyle name="Normal 4 3 2 3 2 5 3" xfId="4789"/>
    <cellStyle name="Normal 4 3 2 3 2 6" xfId="4790"/>
    <cellStyle name="Normal 4 3 2 3 2 7" xfId="4791"/>
    <cellStyle name="Normal 4 3 2 3 2 8" xfId="4792"/>
    <cellStyle name="Normal 4 3 2 3 3" xfId="4793"/>
    <cellStyle name="Normal 4 3 2 3 3 2" xfId="4794"/>
    <cellStyle name="Normal 4 3 2 3 3 2 2" xfId="4795"/>
    <cellStyle name="Normal 4 3 2 3 3 2 2 2" xfId="4796"/>
    <cellStyle name="Normal 4 3 2 3 3 2 2 3" xfId="4797"/>
    <cellStyle name="Normal 4 3 2 3 3 2 3" xfId="4798"/>
    <cellStyle name="Normal 4 3 2 3 3 2 4" xfId="4799"/>
    <cellStyle name="Normal 4 3 2 3 3 2 5" xfId="4800"/>
    <cellStyle name="Normal 4 3 2 3 3 3" xfId="4801"/>
    <cellStyle name="Normal 4 3 2 3 3 3 2" xfId="4802"/>
    <cellStyle name="Normal 4 3 2 3 3 3 2 2" xfId="4803"/>
    <cellStyle name="Normal 4 3 2 3 3 3 2 3" xfId="4804"/>
    <cellStyle name="Normal 4 3 2 3 3 3 3" xfId="4805"/>
    <cellStyle name="Normal 4 3 2 3 3 3 4" xfId="4806"/>
    <cellStyle name="Normal 4 3 2 3 3 3 5" xfId="4807"/>
    <cellStyle name="Normal 4 3 2 3 3 4" xfId="4808"/>
    <cellStyle name="Normal 4 3 2 3 3 4 2" xfId="4809"/>
    <cellStyle name="Normal 4 3 2 3 3 4 3" xfId="4810"/>
    <cellStyle name="Normal 4 3 2 3 3 5" xfId="4811"/>
    <cellStyle name="Normal 4 3 2 3 3 6" xfId="4812"/>
    <cellStyle name="Normal 4 3 2 3 3 7" xfId="4813"/>
    <cellStyle name="Normal 4 3 2 3 4" xfId="4814"/>
    <cellStyle name="Normal 4 3 2 3 4 2" xfId="4815"/>
    <cellStyle name="Normal 4 3 2 3 4 2 2" xfId="4816"/>
    <cellStyle name="Normal 4 3 2 3 4 2 3" xfId="4817"/>
    <cellStyle name="Normal 4 3 2 3 4 3" xfId="4818"/>
    <cellStyle name="Normal 4 3 2 3 4 4" xfId="4819"/>
    <cellStyle name="Normal 4 3 2 3 4 5" xfId="4820"/>
    <cellStyle name="Normal 4 3 2 3 5" xfId="4821"/>
    <cellStyle name="Normal 4 3 2 3 5 2" xfId="4822"/>
    <cellStyle name="Normal 4 3 2 3 5 2 2" xfId="4823"/>
    <cellStyle name="Normal 4 3 2 3 5 2 3" xfId="4824"/>
    <cellStyle name="Normal 4 3 2 3 5 3" xfId="4825"/>
    <cellStyle name="Normal 4 3 2 3 5 4" xfId="4826"/>
    <cellStyle name="Normal 4 3 2 3 5 5" xfId="4827"/>
    <cellStyle name="Normal 4 3 2 3 6" xfId="4828"/>
    <cellStyle name="Normal 4 3 2 3 6 2" xfId="4829"/>
    <cellStyle name="Normal 4 3 2 3 6 3" xfId="4830"/>
    <cellStyle name="Normal 4 3 2 3 7" xfId="4831"/>
    <cellStyle name="Normal 4 3 2 3 8" xfId="4832"/>
    <cellStyle name="Normal 4 3 2 3 9" xfId="4833"/>
    <cellStyle name="Normal 4 3 2 4" xfId="4834"/>
    <cellStyle name="Normal 4 3 2 4 2" xfId="4835"/>
    <cellStyle name="Normal 4 3 2 4 2 2" xfId="4836"/>
    <cellStyle name="Normal 4 3 2 4 2 2 2" xfId="4837"/>
    <cellStyle name="Normal 4 3 2 4 2 2 2 2" xfId="4838"/>
    <cellStyle name="Normal 4 3 2 4 2 2 2 2 2" xfId="4839"/>
    <cellStyle name="Normal 4 3 2 4 2 2 2 2 3" xfId="4840"/>
    <cellStyle name="Normal 4 3 2 4 2 2 2 3" xfId="4841"/>
    <cellStyle name="Normal 4 3 2 4 2 2 2 4" xfId="4842"/>
    <cellStyle name="Normal 4 3 2 4 2 2 2 5" xfId="4843"/>
    <cellStyle name="Normal 4 3 2 4 2 2 3" xfId="4844"/>
    <cellStyle name="Normal 4 3 2 4 2 2 3 2" xfId="4845"/>
    <cellStyle name="Normal 4 3 2 4 2 2 3 2 2" xfId="4846"/>
    <cellStyle name="Normal 4 3 2 4 2 2 3 2 3" xfId="4847"/>
    <cellStyle name="Normal 4 3 2 4 2 2 3 3" xfId="4848"/>
    <cellStyle name="Normal 4 3 2 4 2 2 3 4" xfId="4849"/>
    <cellStyle name="Normal 4 3 2 4 2 2 3 5" xfId="4850"/>
    <cellStyle name="Normal 4 3 2 4 2 2 4" xfId="4851"/>
    <cellStyle name="Normal 4 3 2 4 2 2 4 2" xfId="4852"/>
    <cellStyle name="Normal 4 3 2 4 2 2 4 3" xfId="4853"/>
    <cellStyle name="Normal 4 3 2 4 2 2 5" xfId="4854"/>
    <cellStyle name="Normal 4 3 2 4 2 2 6" xfId="4855"/>
    <cellStyle name="Normal 4 3 2 4 2 2 7" xfId="4856"/>
    <cellStyle name="Normal 4 3 2 4 2 3" xfId="4857"/>
    <cellStyle name="Normal 4 3 2 4 2 3 2" xfId="4858"/>
    <cellStyle name="Normal 4 3 2 4 2 3 2 2" xfId="4859"/>
    <cellStyle name="Normal 4 3 2 4 2 3 2 3" xfId="4860"/>
    <cellStyle name="Normal 4 3 2 4 2 3 3" xfId="4861"/>
    <cellStyle name="Normal 4 3 2 4 2 3 4" xfId="4862"/>
    <cellStyle name="Normal 4 3 2 4 2 3 5" xfId="4863"/>
    <cellStyle name="Normal 4 3 2 4 2 4" xfId="4864"/>
    <cellStyle name="Normal 4 3 2 4 2 4 2" xfId="4865"/>
    <cellStyle name="Normal 4 3 2 4 2 4 2 2" xfId="4866"/>
    <cellStyle name="Normal 4 3 2 4 2 4 2 3" xfId="4867"/>
    <cellStyle name="Normal 4 3 2 4 2 4 3" xfId="4868"/>
    <cellStyle name="Normal 4 3 2 4 2 4 4" xfId="4869"/>
    <cellStyle name="Normal 4 3 2 4 2 4 5" xfId="4870"/>
    <cellStyle name="Normal 4 3 2 4 2 5" xfId="4871"/>
    <cellStyle name="Normal 4 3 2 4 2 5 2" xfId="4872"/>
    <cellStyle name="Normal 4 3 2 4 2 5 3" xfId="4873"/>
    <cellStyle name="Normal 4 3 2 4 2 6" xfId="4874"/>
    <cellStyle name="Normal 4 3 2 4 2 7" xfId="4875"/>
    <cellStyle name="Normal 4 3 2 4 2 8" xfId="4876"/>
    <cellStyle name="Normal 4 3 2 4 3" xfId="4877"/>
    <cellStyle name="Normal 4 3 2 4 3 2" xfId="4878"/>
    <cellStyle name="Normal 4 3 2 4 3 2 2" xfId="4879"/>
    <cellStyle name="Normal 4 3 2 4 3 2 2 2" xfId="4880"/>
    <cellStyle name="Normal 4 3 2 4 3 2 2 3" xfId="4881"/>
    <cellStyle name="Normal 4 3 2 4 3 2 3" xfId="4882"/>
    <cellStyle name="Normal 4 3 2 4 3 2 4" xfId="4883"/>
    <cellStyle name="Normal 4 3 2 4 3 2 5" xfId="4884"/>
    <cellStyle name="Normal 4 3 2 4 3 3" xfId="4885"/>
    <cellStyle name="Normal 4 3 2 4 3 3 2" xfId="4886"/>
    <cellStyle name="Normal 4 3 2 4 3 3 2 2" xfId="4887"/>
    <cellStyle name="Normal 4 3 2 4 3 3 2 3" xfId="4888"/>
    <cellStyle name="Normal 4 3 2 4 3 3 3" xfId="4889"/>
    <cellStyle name="Normal 4 3 2 4 3 3 4" xfId="4890"/>
    <cellStyle name="Normal 4 3 2 4 3 3 5" xfId="4891"/>
    <cellStyle name="Normal 4 3 2 4 3 4" xfId="4892"/>
    <cellStyle name="Normal 4 3 2 4 3 4 2" xfId="4893"/>
    <cellStyle name="Normal 4 3 2 4 3 4 3" xfId="4894"/>
    <cellStyle name="Normal 4 3 2 4 3 5" xfId="4895"/>
    <cellStyle name="Normal 4 3 2 4 3 6" xfId="4896"/>
    <cellStyle name="Normal 4 3 2 4 3 7" xfId="4897"/>
    <cellStyle name="Normal 4 3 2 4 4" xfId="4898"/>
    <cellStyle name="Normal 4 3 2 4 4 2" xfId="4899"/>
    <cellStyle name="Normal 4 3 2 4 4 2 2" xfId="4900"/>
    <cellStyle name="Normal 4 3 2 4 4 2 3" xfId="4901"/>
    <cellStyle name="Normal 4 3 2 4 4 3" xfId="4902"/>
    <cellStyle name="Normal 4 3 2 4 4 4" xfId="4903"/>
    <cellStyle name="Normal 4 3 2 4 4 5" xfId="4904"/>
    <cellStyle name="Normal 4 3 2 4 5" xfId="4905"/>
    <cellStyle name="Normal 4 3 2 4 5 2" xfId="4906"/>
    <cellStyle name="Normal 4 3 2 4 5 2 2" xfId="4907"/>
    <cellStyle name="Normal 4 3 2 4 5 2 3" xfId="4908"/>
    <cellStyle name="Normal 4 3 2 4 5 3" xfId="4909"/>
    <cellStyle name="Normal 4 3 2 4 5 4" xfId="4910"/>
    <cellStyle name="Normal 4 3 2 4 5 5" xfId="4911"/>
    <cellStyle name="Normal 4 3 2 4 6" xfId="4912"/>
    <cellStyle name="Normal 4 3 2 4 6 2" xfId="4913"/>
    <cellStyle name="Normal 4 3 2 4 6 3" xfId="4914"/>
    <cellStyle name="Normal 4 3 2 4 7" xfId="4915"/>
    <cellStyle name="Normal 4 3 2 4 8" xfId="4916"/>
    <cellStyle name="Normal 4 3 2 4 9" xfId="4917"/>
    <cellStyle name="Normal 4 3 2 5" xfId="4918"/>
    <cellStyle name="Normal 4 3 2 5 2" xfId="4919"/>
    <cellStyle name="Normal 4 3 2 5 2 2" xfId="4920"/>
    <cellStyle name="Normal 4 3 2 5 2 2 2" xfId="4921"/>
    <cellStyle name="Normal 4 3 2 5 2 2 2 2" xfId="4922"/>
    <cellStyle name="Normal 4 3 2 5 2 2 2 2 2" xfId="4923"/>
    <cellStyle name="Normal 4 3 2 5 2 2 2 2 3" xfId="4924"/>
    <cellStyle name="Normal 4 3 2 5 2 2 2 3" xfId="4925"/>
    <cellStyle name="Normal 4 3 2 5 2 2 2 4" xfId="4926"/>
    <cellStyle name="Normal 4 3 2 5 2 2 2 5" xfId="4927"/>
    <cellStyle name="Normal 4 3 2 5 2 2 3" xfId="4928"/>
    <cellStyle name="Normal 4 3 2 5 2 2 3 2" xfId="4929"/>
    <cellStyle name="Normal 4 3 2 5 2 2 3 2 2" xfId="4930"/>
    <cellStyle name="Normal 4 3 2 5 2 2 3 2 3" xfId="4931"/>
    <cellStyle name="Normal 4 3 2 5 2 2 3 3" xfId="4932"/>
    <cellStyle name="Normal 4 3 2 5 2 2 3 4" xfId="4933"/>
    <cellStyle name="Normal 4 3 2 5 2 2 3 5" xfId="4934"/>
    <cellStyle name="Normal 4 3 2 5 2 2 4" xfId="4935"/>
    <cellStyle name="Normal 4 3 2 5 2 2 4 2" xfId="4936"/>
    <cellStyle name="Normal 4 3 2 5 2 2 4 3" xfId="4937"/>
    <cellStyle name="Normal 4 3 2 5 2 2 5" xfId="4938"/>
    <cellStyle name="Normal 4 3 2 5 2 2 6" xfId="4939"/>
    <cellStyle name="Normal 4 3 2 5 2 2 7" xfId="4940"/>
    <cellStyle name="Normal 4 3 2 5 2 3" xfId="4941"/>
    <cellStyle name="Normal 4 3 2 5 2 3 2" xfId="4942"/>
    <cellStyle name="Normal 4 3 2 5 2 3 2 2" xfId="4943"/>
    <cellStyle name="Normal 4 3 2 5 2 3 2 3" xfId="4944"/>
    <cellStyle name="Normal 4 3 2 5 2 3 3" xfId="4945"/>
    <cellStyle name="Normal 4 3 2 5 2 3 4" xfId="4946"/>
    <cellStyle name="Normal 4 3 2 5 2 3 5" xfId="4947"/>
    <cellStyle name="Normal 4 3 2 5 2 4" xfId="4948"/>
    <cellStyle name="Normal 4 3 2 5 2 4 2" xfId="4949"/>
    <cellStyle name="Normal 4 3 2 5 2 4 2 2" xfId="4950"/>
    <cellStyle name="Normal 4 3 2 5 2 4 2 3" xfId="4951"/>
    <cellStyle name="Normal 4 3 2 5 2 4 3" xfId="4952"/>
    <cellStyle name="Normal 4 3 2 5 2 4 4" xfId="4953"/>
    <cellStyle name="Normal 4 3 2 5 2 4 5" xfId="4954"/>
    <cellStyle name="Normal 4 3 2 5 2 5" xfId="4955"/>
    <cellStyle name="Normal 4 3 2 5 2 5 2" xfId="4956"/>
    <cellStyle name="Normal 4 3 2 5 2 5 3" xfId="4957"/>
    <cellStyle name="Normal 4 3 2 5 2 6" xfId="4958"/>
    <cellStyle name="Normal 4 3 2 5 2 7" xfId="4959"/>
    <cellStyle name="Normal 4 3 2 5 2 8" xfId="4960"/>
    <cellStyle name="Normal 4 3 2 5 3" xfId="4961"/>
    <cellStyle name="Normal 4 3 2 5 3 2" xfId="4962"/>
    <cellStyle name="Normal 4 3 2 5 3 2 2" xfId="4963"/>
    <cellStyle name="Normal 4 3 2 5 3 2 2 2" xfId="4964"/>
    <cellStyle name="Normal 4 3 2 5 3 2 2 3" xfId="4965"/>
    <cellStyle name="Normal 4 3 2 5 3 2 3" xfId="4966"/>
    <cellStyle name="Normal 4 3 2 5 3 2 4" xfId="4967"/>
    <cellStyle name="Normal 4 3 2 5 3 2 5" xfId="4968"/>
    <cellStyle name="Normal 4 3 2 5 3 3" xfId="4969"/>
    <cellStyle name="Normal 4 3 2 5 3 3 2" xfId="4970"/>
    <cellStyle name="Normal 4 3 2 5 3 3 2 2" xfId="4971"/>
    <cellStyle name="Normal 4 3 2 5 3 3 2 3" xfId="4972"/>
    <cellStyle name="Normal 4 3 2 5 3 3 3" xfId="4973"/>
    <cellStyle name="Normal 4 3 2 5 3 3 4" xfId="4974"/>
    <cellStyle name="Normal 4 3 2 5 3 3 5" xfId="4975"/>
    <cellStyle name="Normal 4 3 2 5 3 4" xfId="4976"/>
    <cellStyle name="Normal 4 3 2 5 3 4 2" xfId="4977"/>
    <cellStyle name="Normal 4 3 2 5 3 4 3" xfId="4978"/>
    <cellStyle name="Normal 4 3 2 5 3 5" xfId="4979"/>
    <cellStyle name="Normal 4 3 2 5 3 6" xfId="4980"/>
    <cellStyle name="Normal 4 3 2 5 3 7" xfId="4981"/>
    <cellStyle name="Normal 4 3 2 5 4" xfId="4982"/>
    <cellStyle name="Normal 4 3 2 5 4 2" xfId="4983"/>
    <cellStyle name="Normal 4 3 2 5 4 2 2" xfId="4984"/>
    <cellStyle name="Normal 4 3 2 5 4 2 3" xfId="4985"/>
    <cellStyle name="Normal 4 3 2 5 4 3" xfId="4986"/>
    <cellStyle name="Normal 4 3 2 5 4 4" xfId="4987"/>
    <cellStyle name="Normal 4 3 2 5 4 5" xfId="4988"/>
    <cellStyle name="Normal 4 3 2 5 5" xfId="4989"/>
    <cellStyle name="Normal 4 3 2 5 5 2" xfId="4990"/>
    <cellStyle name="Normal 4 3 2 5 5 2 2" xfId="4991"/>
    <cellStyle name="Normal 4 3 2 5 5 2 3" xfId="4992"/>
    <cellStyle name="Normal 4 3 2 5 5 3" xfId="4993"/>
    <cellStyle name="Normal 4 3 2 5 5 4" xfId="4994"/>
    <cellStyle name="Normal 4 3 2 5 5 5" xfId="4995"/>
    <cellStyle name="Normal 4 3 2 5 6" xfId="4996"/>
    <cellStyle name="Normal 4 3 2 5 6 2" xfId="4997"/>
    <cellStyle name="Normal 4 3 2 5 6 3" xfId="4998"/>
    <cellStyle name="Normal 4 3 2 5 7" xfId="4999"/>
    <cellStyle name="Normal 4 3 2 5 8" xfId="5000"/>
    <cellStyle name="Normal 4 3 2 5 9" xfId="5001"/>
    <cellStyle name="Normal 4 3 2 6" xfId="5002"/>
    <cellStyle name="Normal 4 3 2 6 2" xfId="5003"/>
    <cellStyle name="Normal 4 3 2 6 2 2" xfId="5004"/>
    <cellStyle name="Normal 4 3 2 6 2 2 2" xfId="5005"/>
    <cellStyle name="Normal 4 3 2 6 2 2 2 2" xfId="5006"/>
    <cellStyle name="Normal 4 3 2 6 2 2 2 3" xfId="5007"/>
    <cellStyle name="Normal 4 3 2 6 2 2 3" xfId="5008"/>
    <cellStyle name="Normal 4 3 2 6 2 2 4" xfId="5009"/>
    <cellStyle name="Normal 4 3 2 6 2 2 5" xfId="5010"/>
    <cellStyle name="Normal 4 3 2 6 2 3" xfId="5011"/>
    <cellStyle name="Normal 4 3 2 6 2 3 2" xfId="5012"/>
    <cellStyle name="Normal 4 3 2 6 2 3 2 2" xfId="5013"/>
    <cellStyle name="Normal 4 3 2 6 2 3 2 3" xfId="5014"/>
    <cellStyle name="Normal 4 3 2 6 2 3 3" xfId="5015"/>
    <cellStyle name="Normal 4 3 2 6 2 3 4" xfId="5016"/>
    <cellStyle name="Normal 4 3 2 6 2 3 5" xfId="5017"/>
    <cellStyle name="Normal 4 3 2 6 2 4" xfId="5018"/>
    <cellStyle name="Normal 4 3 2 6 2 4 2" xfId="5019"/>
    <cellStyle name="Normal 4 3 2 6 2 4 3" xfId="5020"/>
    <cellStyle name="Normal 4 3 2 6 2 5" xfId="5021"/>
    <cellStyle name="Normal 4 3 2 6 2 6" xfId="5022"/>
    <cellStyle name="Normal 4 3 2 6 2 7" xfId="5023"/>
    <cellStyle name="Normal 4 3 2 6 3" xfId="5024"/>
    <cellStyle name="Normal 4 3 2 6 3 2" xfId="5025"/>
    <cellStyle name="Normal 4 3 2 6 3 2 2" xfId="5026"/>
    <cellStyle name="Normal 4 3 2 6 3 2 3" xfId="5027"/>
    <cellStyle name="Normal 4 3 2 6 3 3" xfId="5028"/>
    <cellStyle name="Normal 4 3 2 6 3 4" xfId="5029"/>
    <cellStyle name="Normal 4 3 2 6 3 5" xfId="5030"/>
    <cellStyle name="Normal 4 3 2 6 4" xfId="5031"/>
    <cellStyle name="Normal 4 3 2 6 4 2" xfId="5032"/>
    <cellStyle name="Normal 4 3 2 6 4 2 2" xfId="5033"/>
    <cellStyle name="Normal 4 3 2 6 4 2 3" xfId="5034"/>
    <cellStyle name="Normal 4 3 2 6 4 3" xfId="5035"/>
    <cellStyle name="Normal 4 3 2 6 4 4" xfId="5036"/>
    <cellStyle name="Normal 4 3 2 6 4 5" xfId="5037"/>
    <cellStyle name="Normal 4 3 2 6 5" xfId="5038"/>
    <cellStyle name="Normal 4 3 2 6 5 2" xfId="5039"/>
    <cellStyle name="Normal 4 3 2 6 5 3" xfId="5040"/>
    <cellStyle name="Normal 4 3 2 6 6" xfId="5041"/>
    <cellStyle name="Normal 4 3 2 6 7" xfId="5042"/>
    <cellStyle name="Normal 4 3 2 6 8" xfId="5043"/>
    <cellStyle name="Normal 4 3 2 7" xfId="5044"/>
    <cellStyle name="Normal 4 3 2 7 2" xfId="5045"/>
    <cellStyle name="Normal 4 3 2 7 2 2" xfId="5046"/>
    <cellStyle name="Normal 4 3 2 7 2 2 2" xfId="5047"/>
    <cellStyle name="Normal 4 3 2 7 2 2 3" xfId="5048"/>
    <cellStyle name="Normal 4 3 2 7 2 3" xfId="5049"/>
    <cellStyle name="Normal 4 3 2 7 2 4" xfId="5050"/>
    <cellStyle name="Normal 4 3 2 7 2 5" xfId="5051"/>
    <cellStyle name="Normal 4 3 2 7 3" xfId="5052"/>
    <cellStyle name="Normal 4 3 2 7 3 2" xfId="5053"/>
    <cellStyle name="Normal 4 3 2 7 3 2 2" xfId="5054"/>
    <cellStyle name="Normal 4 3 2 7 3 2 3" xfId="5055"/>
    <cellStyle name="Normal 4 3 2 7 3 3" xfId="5056"/>
    <cellStyle name="Normal 4 3 2 7 3 4" xfId="5057"/>
    <cellStyle name="Normal 4 3 2 7 3 5" xfId="5058"/>
    <cellStyle name="Normal 4 3 2 7 4" xfId="5059"/>
    <cellStyle name="Normal 4 3 2 7 4 2" xfId="5060"/>
    <cellStyle name="Normal 4 3 2 7 4 3" xfId="5061"/>
    <cellStyle name="Normal 4 3 2 7 5" xfId="5062"/>
    <cellStyle name="Normal 4 3 2 7 6" xfId="5063"/>
    <cellStyle name="Normal 4 3 2 7 7" xfId="5064"/>
    <cellStyle name="Normal 4 3 2 8" xfId="5065"/>
    <cellStyle name="Normal 4 3 2 8 2" xfId="5066"/>
    <cellStyle name="Normal 4 3 2 8 2 2" xfId="5067"/>
    <cellStyle name="Normal 4 3 2 8 2 2 2" xfId="5068"/>
    <cellStyle name="Normal 4 3 2 8 2 2 3" xfId="5069"/>
    <cellStyle name="Normal 4 3 2 8 2 3" xfId="5070"/>
    <cellStyle name="Normal 4 3 2 8 2 4" xfId="5071"/>
    <cellStyle name="Normal 4 3 2 8 2 5" xfId="5072"/>
    <cellStyle name="Normal 4 3 2 8 3" xfId="5073"/>
    <cellStyle name="Normal 4 3 2 8 3 2" xfId="5074"/>
    <cellStyle name="Normal 4 3 2 8 3 2 2" xfId="5075"/>
    <cellStyle name="Normal 4 3 2 8 3 2 3" xfId="5076"/>
    <cellStyle name="Normal 4 3 2 8 3 3" xfId="5077"/>
    <cellStyle name="Normal 4 3 2 8 3 4" xfId="5078"/>
    <cellStyle name="Normal 4 3 2 8 3 5" xfId="5079"/>
    <cellStyle name="Normal 4 3 2 8 4" xfId="5080"/>
    <cellStyle name="Normal 4 3 2 8 4 2" xfId="5081"/>
    <cellStyle name="Normal 4 3 2 8 4 3" xfId="5082"/>
    <cellStyle name="Normal 4 3 2 8 5" xfId="5083"/>
    <cellStyle name="Normal 4 3 2 8 6" xfId="5084"/>
    <cellStyle name="Normal 4 3 2 8 7" xfId="5085"/>
    <cellStyle name="Normal 4 3 2 9" xfId="5086"/>
    <cellStyle name="Normal 4 3 2 9 2" xfId="5087"/>
    <cellStyle name="Normal 4 3 2 9 2 2" xfId="5088"/>
    <cellStyle name="Normal 4 3 2 9 2 3" xfId="5089"/>
    <cellStyle name="Normal 4 3 2 9 3" xfId="5090"/>
    <cellStyle name="Normal 4 3 2 9 4" xfId="5091"/>
    <cellStyle name="Normal 4 3 2 9 5" xfId="5092"/>
    <cellStyle name="Normal 4 3 3" xfId="5093"/>
    <cellStyle name="Normal 4 3 3 10" xfId="5094"/>
    <cellStyle name="Normal 4 3 3 10 2" xfId="5095"/>
    <cellStyle name="Normal 4 3 3 10 2 2" xfId="5096"/>
    <cellStyle name="Normal 4 3 3 10 2 3" xfId="5097"/>
    <cellStyle name="Normal 4 3 3 10 3" xfId="5098"/>
    <cellStyle name="Normal 4 3 3 10 4" xfId="5099"/>
    <cellStyle name="Normal 4 3 3 10 5" xfId="5100"/>
    <cellStyle name="Normal 4 3 3 11" xfId="5101"/>
    <cellStyle name="Normal 4 3 3 11 2" xfId="5102"/>
    <cellStyle name="Normal 4 3 3 11 3" xfId="5103"/>
    <cellStyle name="Normal 4 3 3 12" xfId="5104"/>
    <cellStyle name="Normal 4 3 3 13" xfId="5105"/>
    <cellStyle name="Normal 4 3 3 14" xfId="5106"/>
    <cellStyle name="Normal 4 3 3 2" xfId="5107"/>
    <cellStyle name="Normal 4 3 3 2 10" xfId="5108"/>
    <cellStyle name="Normal 4 3 3 2 11" xfId="5109"/>
    <cellStyle name="Normal 4 3 3 2 12" xfId="5110"/>
    <cellStyle name="Normal 4 3 3 2 2" xfId="5111"/>
    <cellStyle name="Normal 4 3 3 2 2 2" xfId="5112"/>
    <cellStyle name="Normal 4 3 3 2 2 2 2" xfId="5113"/>
    <cellStyle name="Normal 4 3 3 2 2 2 2 2" xfId="5114"/>
    <cellStyle name="Normal 4 3 3 2 2 2 2 2 2" xfId="5115"/>
    <cellStyle name="Normal 4 3 3 2 2 2 2 2 2 2" xfId="5116"/>
    <cellStyle name="Normal 4 3 3 2 2 2 2 2 2 3" xfId="5117"/>
    <cellStyle name="Normal 4 3 3 2 2 2 2 2 3" xfId="5118"/>
    <cellStyle name="Normal 4 3 3 2 2 2 2 2 4" xfId="5119"/>
    <cellStyle name="Normal 4 3 3 2 2 2 2 2 5" xfId="5120"/>
    <cellStyle name="Normal 4 3 3 2 2 2 2 3" xfId="5121"/>
    <cellStyle name="Normal 4 3 3 2 2 2 2 3 2" xfId="5122"/>
    <cellStyle name="Normal 4 3 3 2 2 2 2 3 2 2" xfId="5123"/>
    <cellStyle name="Normal 4 3 3 2 2 2 2 3 2 3" xfId="5124"/>
    <cellStyle name="Normal 4 3 3 2 2 2 2 3 3" xfId="5125"/>
    <cellStyle name="Normal 4 3 3 2 2 2 2 3 4" xfId="5126"/>
    <cellStyle name="Normal 4 3 3 2 2 2 2 3 5" xfId="5127"/>
    <cellStyle name="Normal 4 3 3 2 2 2 2 4" xfId="5128"/>
    <cellStyle name="Normal 4 3 3 2 2 2 2 4 2" xfId="5129"/>
    <cellStyle name="Normal 4 3 3 2 2 2 2 4 3" xfId="5130"/>
    <cellStyle name="Normal 4 3 3 2 2 2 2 5" xfId="5131"/>
    <cellStyle name="Normal 4 3 3 2 2 2 2 6" xfId="5132"/>
    <cellStyle name="Normal 4 3 3 2 2 2 2 7" xfId="5133"/>
    <cellStyle name="Normal 4 3 3 2 2 2 3" xfId="5134"/>
    <cellStyle name="Normal 4 3 3 2 2 2 3 2" xfId="5135"/>
    <cellStyle name="Normal 4 3 3 2 2 2 3 2 2" xfId="5136"/>
    <cellStyle name="Normal 4 3 3 2 2 2 3 2 3" xfId="5137"/>
    <cellStyle name="Normal 4 3 3 2 2 2 3 3" xfId="5138"/>
    <cellStyle name="Normal 4 3 3 2 2 2 3 4" xfId="5139"/>
    <cellStyle name="Normal 4 3 3 2 2 2 3 5" xfId="5140"/>
    <cellStyle name="Normal 4 3 3 2 2 2 4" xfId="5141"/>
    <cellStyle name="Normal 4 3 3 2 2 2 4 2" xfId="5142"/>
    <cellStyle name="Normal 4 3 3 2 2 2 4 2 2" xfId="5143"/>
    <cellStyle name="Normal 4 3 3 2 2 2 4 2 3" xfId="5144"/>
    <cellStyle name="Normal 4 3 3 2 2 2 4 3" xfId="5145"/>
    <cellStyle name="Normal 4 3 3 2 2 2 4 4" xfId="5146"/>
    <cellStyle name="Normal 4 3 3 2 2 2 4 5" xfId="5147"/>
    <cellStyle name="Normal 4 3 3 2 2 2 5" xfId="5148"/>
    <cellStyle name="Normal 4 3 3 2 2 2 5 2" xfId="5149"/>
    <cellStyle name="Normal 4 3 3 2 2 2 5 3" xfId="5150"/>
    <cellStyle name="Normal 4 3 3 2 2 2 6" xfId="5151"/>
    <cellStyle name="Normal 4 3 3 2 2 2 7" xfId="5152"/>
    <cellStyle name="Normal 4 3 3 2 2 2 8" xfId="5153"/>
    <cellStyle name="Normal 4 3 3 2 2 3" xfId="5154"/>
    <cellStyle name="Normal 4 3 3 2 2 3 2" xfId="5155"/>
    <cellStyle name="Normal 4 3 3 2 2 3 2 2" xfId="5156"/>
    <cellStyle name="Normal 4 3 3 2 2 3 2 2 2" xfId="5157"/>
    <cellStyle name="Normal 4 3 3 2 2 3 2 2 3" xfId="5158"/>
    <cellStyle name="Normal 4 3 3 2 2 3 2 3" xfId="5159"/>
    <cellStyle name="Normal 4 3 3 2 2 3 2 4" xfId="5160"/>
    <cellStyle name="Normal 4 3 3 2 2 3 2 5" xfId="5161"/>
    <cellStyle name="Normal 4 3 3 2 2 3 3" xfId="5162"/>
    <cellStyle name="Normal 4 3 3 2 2 3 3 2" xfId="5163"/>
    <cellStyle name="Normal 4 3 3 2 2 3 3 2 2" xfId="5164"/>
    <cellStyle name="Normal 4 3 3 2 2 3 3 2 3" xfId="5165"/>
    <cellStyle name="Normal 4 3 3 2 2 3 3 3" xfId="5166"/>
    <cellStyle name="Normal 4 3 3 2 2 3 3 4" xfId="5167"/>
    <cellStyle name="Normal 4 3 3 2 2 3 3 5" xfId="5168"/>
    <cellStyle name="Normal 4 3 3 2 2 3 4" xfId="5169"/>
    <cellStyle name="Normal 4 3 3 2 2 3 4 2" xfId="5170"/>
    <cellStyle name="Normal 4 3 3 2 2 3 4 3" xfId="5171"/>
    <cellStyle name="Normal 4 3 3 2 2 3 5" xfId="5172"/>
    <cellStyle name="Normal 4 3 3 2 2 3 6" xfId="5173"/>
    <cellStyle name="Normal 4 3 3 2 2 3 7" xfId="5174"/>
    <cellStyle name="Normal 4 3 3 2 2 4" xfId="5175"/>
    <cellStyle name="Normal 4 3 3 2 2 4 2" xfId="5176"/>
    <cellStyle name="Normal 4 3 3 2 2 4 2 2" xfId="5177"/>
    <cellStyle name="Normal 4 3 3 2 2 4 2 3" xfId="5178"/>
    <cellStyle name="Normal 4 3 3 2 2 4 3" xfId="5179"/>
    <cellStyle name="Normal 4 3 3 2 2 4 4" xfId="5180"/>
    <cellStyle name="Normal 4 3 3 2 2 4 5" xfId="5181"/>
    <cellStyle name="Normal 4 3 3 2 2 5" xfId="5182"/>
    <cellStyle name="Normal 4 3 3 2 2 5 2" xfId="5183"/>
    <cellStyle name="Normal 4 3 3 2 2 5 2 2" xfId="5184"/>
    <cellStyle name="Normal 4 3 3 2 2 5 2 3" xfId="5185"/>
    <cellStyle name="Normal 4 3 3 2 2 5 3" xfId="5186"/>
    <cellStyle name="Normal 4 3 3 2 2 5 4" xfId="5187"/>
    <cellStyle name="Normal 4 3 3 2 2 5 5" xfId="5188"/>
    <cellStyle name="Normal 4 3 3 2 2 6" xfId="5189"/>
    <cellStyle name="Normal 4 3 3 2 2 6 2" xfId="5190"/>
    <cellStyle name="Normal 4 3 3 2 2 6 3" xfId="5191"/>
    <cellStyle name="Normal 4 3 3 2 2 7" xfId="5192"/>
    <cellStyle name="Normal 4 3 3 2 2 8" xfId="5193"/>
    <cellStyle name="Normal 4 3 3 2 2 9" xfId="5194"/>
    <cellStyle name="Normal 4 3 3 2 3" xfId="5195"/>
    <cellStyle name="Normal 4 3 3 2 3 2" xfId="5196"/>
    <cellStyle name="Normal 4 3 3 2 3 2 2" xfId="5197"/>
    <cellStyle name="Normal 4 3 3 2 3 2 2 2" xfId="5198"/>
    <cellStyle name="Normal 4 3 3 2 3 2 2 2 2" xfId="5199"/>
    <cellStyle name="Normal 4 3 3 2 3 2 2 2 2 2" xfId="5200"/>
    <cellStyle name="Normal 4 3 3 2 3 2 2 2 2 3" xfId="5201"/>
    <cellStyle name="Normal 4 3 3 2 3 2 2 2 3" xfId="5202"/>
    <cellStyle name="Normal 4 3 3 2 3 2 2 2 4" xfId="5203"/>
    <cellStyle name="Normal 4 3 3 2 3 2 2 2 5" xfId="5204"/>
    <cellStyle name="Normal 4 3 3 2 3 2 2 3" xfId="5205"/>
    <cellStyle name="Normal 4 3 3 2 3 2 2 3 2" xfId="5206"/>
    <cellStyle name="Normal 4 3 3 2 3 2 2 3 2 2" xfId="5207"/>
    <cellStyle name="Normal 4 3 3 2 3 2 2 3 2 3" xfId="5208"/>
    <cellStyle name="Normal 4 3 3 2 3 2 2 3 3" xfId="5209"/>
    <cellStyle name="Normal 4 3 3 2 3 2 2 3 4" xfId="5210"/>
    <cellStyle name="Normal 4 3 3 2 3 2 2 3 5" xfId="5211"/>
    <cellStyle name="Normal 4 3 3 2 3 2 2 4" xfId="5212"/>
    <cellStyle name="Normal 4 3 3 2 3 2 2 4 2" xfId="5213"/>
    <cellStyle name="Normal 4 3 3 2 3 2 2 4 3" xfId="5214"/>
    <cellStyle name="Normal 4 3 3 2 3 2 2 5" xfId="5215"/>
    <cellStyle name="Normal 4 3 3 2 3 2 2 6" xfId="5216"/>
    <cellStyle name="Normal 4 3 3 2 3 2 2 7" xfId="5217"/>
    <cellStyle name="Normal 4 3 3 2 3 2 3" xfId="5218"/>
    <cellStyle name="Normal 4 3 3 2 3 2 3 2" xfId="5219"/>
    <cellStyle name="Normal 4 3 3 2 3 2 3 2 2" xfId="5220"/>
    <cellStyle name="Normal 4 3 3 2 3 2 3 2 3" xfId="5221"/>
    <cellStyle name="Normal 4 3 3 2 3 2 3 3" xfId="5222"/>
    <cellStyle name="Normal 4 3 3 2 3 2 3 4" xfId="5223"/>
    <cellStyle name="Normal 4 3 3 2 3 2 3 5" xfId="5224"/>
    <cellStyle name="Normal 4 3 3 2 3 2 4" xfId="5225"/>
    <cellStyle name="Normal 4 3 3 2 3 2 4 2" xfId="5226"/>
    <cellStyle name="Normal 4 3 3 2 3 2 4 2 2" xfId="5227"/>
    <cellStyle name="Normal 4 3 3 2 3 2 4 2 3" xfId="5228"/>
    <cellStyle name="Normal 4 3 3 2 3 2 4 3" xfId="5229"/>
    <cellStyle name="Normal 4 3 3 2 3 2 4 4" xfId="5230"/>
    <cellStyle name="Normal 4 3 3 2 3 2 4 5" xfId="5231"/>
    <cellStyle name="Normal 4 3 3 2 3 2 5" xfId="5232"/>
    <cellStyle name="Normal 4 3 3 2 3 2 5 2" xfId="5233"/>
    <cellStyle name="Normal 4 3 3 2 3 2 5 3" xfId="5234"/>
    <cellStyle name="Normal 4 3 3 2 3 2 6" xfId="5235"/>
    <cellStyle name="Normal 4 3 3 2 3 2 7" xfId="5236"/>
    <cellStyle name="Normal 4 3 3 2 3 2 8" xfId="5237"/>
    <cellStyle name="Normal 4 3 3 2 3 3" xfId="5238"/>
    <cellStyle name="Normal 4 3 3 2 3 3 2" xfId="5239"/>
    <cellStyle name="Normal 4 3 3 2 3 3 2 2" xfId="5240"/>
    <cellStyle name="Normal 4 3 3 2 3 3 2 2 2" xfId="5241"/>
    <cellStyle name="Normal 4 3 3 2 3 3 2 2 3" xfId="5242"/>
    <cellStyle name="Normal 4 3 3 2 3 3 2 3" xfId="5243"/>
    <cellStyle name="Normal 4 3 3 2 3 3 2 4" xfId="5244"/>
    <cellStyle name="Normal 4 3 3 2 3 3 2 5" xfId="5245"/>
    <cellStyle name="Normal 4 3 3 2 3 3 3" xfId="5246"/>
    <cellStyle name="Normal 4 3 3 2 3 3 3 2" xfId="5247"/>
    <cellStyle name="Normal 4 3 3 2 3 3 3 2 2" xfId="5248"/>
    <cellStyle name="Normal 4 3 3 2 3 3 3 2 3" xfId="5249"/>
    <cellStyle name="Normal 4 3 3 2 3 3 3 3" xfId="5250"/>
    <cellStyle name="Normal 4 3 3 2 3 3 3 4" xfId="5251"/>
    <cellStyle name="Normal 4 3 3 2 3 3 3 5" xfId="5252"/>
    <cellStyle name="Normal 4 3 3 2 3 3 4" xfId="5253"/>
    <cellStyle name="Normal 4 3 3 2 3 3 4 2" xfId="5254"/>
    <cellStyle name="Normal 4 3 3 2 3 3 4 3" xfId="5255"/>
    <cellStyle name="Normal 4 3 3 2 3 3 5" xfId="5256"/>
    <cellStyle name="Normal 4 3 3 2 3 3 6" xfId="5257"/>
    <cellStyle name="Normal 4 3 3 2 3 3 7" xfId="5258"/>
    <cellStyle name="Normal 4 3 3 2 3 4" xfId="5259"/>
    <cellStyle name="Normal 4 3 3 2 3 4 2" xfId="5260"/>
    <cellStyle name="Normal 4 3 3 2 3 4 2 2" xfId="5261"/>
    <cellStyle name="Normal 4 3 3 2 3 4 2 3" xfId="5262"/>
    <cellStyle name="Normal 4 3 3 2 3 4 3" xfId="5263"/>
    <cellStyle name="Normal 4 3 3 2 3 4 4" xfId="5264"/>
    <cellStyle name="Normal 4 3 3 2 3 4 5" xfId="5265"/>
    <cellStyle name="Normal 4 3 3 2 3 5" xfId="5266"/>
    <cellStyle name="Normal 4 3 3 2 3 5 2" xfId="5267"/>
    <cellStyle name="Normal 4 3 3 2 3 5 2 2" xfId="5268"/>
    <cellStyle name="Normal 4 3 3 2 3 5 2 3" xfId="5269"/>
    <cellStyle name="Normal 4 3 3 2 3 5 3" xfId="5270"/>
    <cellStyle name="Normal 4 3 3 2 3 5 4" xfId="5271"/>
    <cellStyle name="Normal 4 3 3 2 3 5 5" xfId="5272"/>
    <cellStyle name="Normal 4 3 3 2 3 6" xfId="5273"/>
    <cellStyle name="Normal 4 3 3 2 3 6 2" xfId="5274"/>
    <cellStyle name="Normal 4 3 3 2 3 6 3" xfId="5275"/>
    <cellStyle name="Normal 4 3 3 2 3 7" xfId="5276"/>
    <cellStyle name="Normal 4 3 3 2 3 8" xfId="5277"/>
    <cellStyle name="Normal 4 3 3 2 3 9" xfId="5278"/>
    <cellStyle name="Normal 4 3 3 2 4" xfId="5279"/>
    <cellStyle name="Normal 4 3 3 2 4 2" xfId="5280"/>
    <cellStyle name="Normal 4 3 3 2 4 2 2" xfId="5281"/>
    <cellStyle name="Normal 4 3 3 2 4 2 2 2" xfId="5282"/>
    <cellStyle name="Normal 4 3 3 2 4 2 2 2 2" xfId="5283"/>
    <cellStyle name="Normal 4 3 3 2 4 2 2 2 2 2" xfId="5284"/>
    <cellStyle name="Normal 4 3 3 2 4 2 2 2 2 3" xfId="5285"/>
    <cellStyle name="Normal 4 3 3 2 4 2 2 2 3" xfId="5286"/>
    <cellStyle name="Normal 4 3 3 2 4 2 2 2 4" xfId="5287"/>
    <cellStyle name="Normal 4 3 3 2 4 2 2 2 5" xfId="5288"/>
    <cellStyle name="Normal 4 3 3 2 4 2 2 3" xfId="5289"/>
    <cellStyle name="Normal 4 3 3 2 4 2 2 3 2" xfId="5290"/>
    <cellStyle name="Normal 4 3 3 2 4 2 2 3 2 2" xfId="5291"/>
    <cellStyle name="Normal 4 3 3 2 4 2 2 3 2 3" xfId="5292"/>
    <cellStyle name="Normal 4 3 3 2 4 2 2 3 3" xfId="5293"/>
    <cellStyle name="Normal 4 3 3 2 4 2 2 3 4" xfId="5294"/>
    <cellStyle name="Normal 4 3 3 2 4 2 2 3 5" xfId="5295"/>
    <cellStyle name="Normal 4 3 3 2 4 2 2 4" xfId="5296"/>
    <cellStyle name="Normal 4 3 3 2 4 2 2 4 2" xfId="5297"/>
    <cellStyle name="Normal 4 3 3 2 4 2 2 4 3" xfId="5298"/>
    <cellStyle name="Normal 4 3 3 2 4 2 2 5" xfId="5299"/>
    <cellStyle name="Normal 4 3 3 2 4 2 2 6" xfId="5300"/>
    <cellStyle name="Normal 4 3 3 2 4 2 2 7" xfId="5301"/>
    <cellStyle name="Normal 4 3 3 2 4 2 3" xfId="5302"/>
    <cellStyle name="Normal 4 3 3 2 4 2 3 2" xfId="5303"/>
    <cellStyle name="Normal 4 3 3 2 4 2 3 2 2" xfId="5304"/>
    <cellStyle name="Normal 4 3 3 2 4 2 3 2 3" xfId="5305"/>
    <cellStyle name="Normal 4 3 3 2 4 2 3 3" xfId="5306"/>
    <cellStyle name="Normal 4 3 3 2 4 2 3 4" xfId="5307"/>
    <cellStyle name="Normal 4 3 3 2 4 2 3 5" xfId="5308"/>
    <cellStyle name="Normal 4 3 3 2 4 2 4" xfId="5309"/>
    <cellStyle name="Normal 4 3 3 2 4 2 4 2" xfId="5310"/>
    <cellStyle name="Normal 4 3 3 2 4 2 4 2 2" xfId="5311"/>
    <cellStyle name="Normal 4 3 3 2 4 2 4 2 3" xfId="5312"/>
    <cellStyle name="Normal 4 3 3 2 4 2 4 3" xfId="5313"/>
    <cellStyle name="Normal 4 3 3 2 4 2 4 4" xfId="5314"/>
    <cellStyle name="Normal 4 3 3 2 4 2 4 5" xfId="5315"/>
    <cellStyle name="Normal 4 3 3 2 4 2 5" xfId="5316"/>
    <cellStyle name="Normal 4 3 3 2 4 2 5 2" xfId="5317"/>
    <cellStyle name="Normal 4 3 3 2 4 2 5 3" xfId="5318"/>
    <cellStyle name="Normal 4 3 3 2 4 2 6" xfId="5319"/>
    <cellStyle name="Normal 4 3 3 2 4 2 7" xfId="5320"/>
    <cellStyle name="Normal 4 3 3 2 4 2 8" xfId="5321"/>
    <cellStyle name="Normal 4 3 3 2 4 3" xfId="5322"/>
    <cellStyle name="Normal 4 3 3 2 4 3 2" xfId="5323"/>
    <cellStyle name="Normal 4 3 3 2 4 3 2 2" xfId="5324"/>
    <cellStyle name="Normal 4 3 3 2 4 3 2 2 2" xfId="5325"/>
    <cellStyle name="Normal 4 3 3 2 4 3 2 2 3" xfId="5326"/>
    <cellStyle name="Normal 4 3 3 2 4 3 2 3" xfId="5327"/>
    <cellStyle name="Normal 4 3 3 2 4 3 2 4" xfId="5328"/>
    <cellStyle name="Normal 4 3 3 2 4 3 2 5" xfId="5329"/>
    <cellStyle name="Normal 4 3 3 2 4 3 3" xfId="5330"/>
    <cellStyle name="Normal 4 3 3 2 4 3 3 2" xfId="5331"/>
    <cellStyle name="Normal 4 3 3 2 4 3 3 2 2" xfId="5332"/>
    <cellStyle name="Normal 4 3 3 2 4 3 3 2 3" xfId="5333"/>
    <cellStyle name="Normal 4 3 3 2 4 3 3 3" xfId="5334"/>
    <cellStyle name="Normal 4 3 3 2 4 3 3 4" xfId="5335"/>
    <cellStyle name="Normal 4 3 3 2 4 3 3 5" xfId="5336"/>
    <cellStyle name="Normal 4 3 3 2 4 3 4" xfId="5337"/>
    <cellStyle name="Normal 4 3 3 2 4 3 4 2" xfId="5338"/>
    <cellStyle name="Normal 4 3 3 2 4 3 4 3" xfId="5339"/>
    <cellStyle name="Normal 4 3 3 2 4 3 5" xfId="5340"/>
    <cellStyle name="Normal 4 3 3 2 4 3 6" xfId="5341"/>
    <cellStyle name="Normal 4 3 3 2 4 3 7" xfId="5342"/>
    <cellStyle name="Normal 4 3 3 2 4 4" xfId="5343"/>
    <cellStyle name="Normal 4 3 3 2 4 4 2" xfId="5344"/>
    <cellStyle name="Normal 4 3 3 2 4 4 2 2" xfId="5345"/>
    <cellStyle name="Normal 4 3 3 2 4 4 2 3" xfId="5346"/>
    <cellStyle name="Normal 4 3 3 2 4 4 3" xfId="5347"/>
    <cellStyle name="Normal 4 3 3 2 4 4 4" xfId="5348"/>
    <cellStyle name="Normal 4 3 3 2 4 4 5" xfId="5349"/>
    <cellStyle name="Normal 4 3 3 2 4 5" xfId="5350"/>
    <cellStyle name="Normal 4 3 3 2 4 5 2" xfId="5351"/>
    <cellStyle name="Normal 4 3 3 2 4 5 2 2" xfId="5352"/>
    <cellStyle name="Normal 4 3 3 2 4 5 2 3" xfId="5353"/>
    <cellStyle name="Normal 4 3 3 2 4 5 3" xfId="5354"/>
    <cellStyle name="Normal 4 3 3 2 4 5 4" xfId="5355"/>
    <cellStyle name="Normal 4 3 3 2 4 5 5" xfId="5356"/>
    <cellStyle name="Normal 4 3 3 2 4 6" xfId="5357"/>
    <cellStyle name="Normal 4 3 3 2 4 6 2" xfId="5358"/>
    <cellStyle name="Normal 4 3 3 2 4 6 3" xfId="5359"/>
    <cellStyle name="Normal 4 3 3 2 4 7" xfId="5360"/>
    <cellStyle name="Normal 4 3 3 2 4 8" xfId="5361"/>
    <cellStyle name="Normal 4 3 3 2 4 9" xfId="5362"/>
    <cellStyle name="Normal 4 3 3 2 5" xfId="5363"/>
    <cellStyle name="Normal 4 3 3 2 5 2" xfId="5364"/>
    <cellStyle name="Normal 4 3 3 2 5 2 2" xfId="5365"/>
    <cellStyle name="Normal 4 3 3 2 5 2 2 2" xfId="5366"/>
    <cellStyle name="Normal 4 3 3 2 5 2 2 2 2" xfId="5367"/>
    <cellStyle name="Normal 4 3 3 2 5 2 2 2 3" xfId="5368"/>
    <cellStyle name="Normal 4 3 3 2 5 2 2 3" xfId="5369"/>
    <cellStyle name="Normal 4 3 3 2 5 2 2 4" xfId="5370"/>
    <cellStyle name="Normal 4 3 3 2 5 2 2 5" xfId="5371"/>
    <cellStyle name="Normal 4 3 3 2 5 2 3" xfId="5372"/>
    <cellStyle name="Normal 4 3 3 2 5 2 3 2" xfId="5373"/>
    <cellStyle name="Normal 4 3 3 2 5 2 3 2 2" xfId="5374"/>
    <cellStyle name="Normal 4 3 3 2 5 2 3 2 3" xfId="5375"/>
    <cellStyle name="Normal 4 3 3 2 5 2 3 3" xfId="5376"/>
    <cellStyle name="Normal 4 3 3 2 5 2 3 4" xfId="5377"/>
    <cellStyle name="Normal 4 3 3 2 5 2 3 5" xfId="5378"/>
    <cellStyle name="Normal 4 3 3 2 5 2 4" xfId="5379"/>
    <cellStyle name="Normal 4 3 3 2 5 2 4 2" xfId="5380"/>
    <cellStyle name="Normal 4 3 3 2 5 2 4 3" xfId="5381"/>
    <cellStyle name="Normal 4 3 3 2 5 2 5" xfId="5382"/>
    <cellStyle name="Normal 4 3 3 2 5 2 6" xfId="5383"/>
    <cellStyle name="Normal 4 3 3 2 5 2 7" xfId="5384"/>
    <cellStyle name="Normal 4 3 3 2 5 3" xfId="5385"/>
    <cellStyle name="Normal 4 3 3 2 5 3 2" xfId="5386"/>
    <cellStyle name="Normal 4 3 3 2 5 3 2 2" xfId="5387"/>
    <cellStyle name="Normal 4 3 3 2 5 3 2 3" xfId="5388"/>
    <cellStyle name="Normal 4 3 3 2 5 3 3" xfId="5389"/>
    <cellStyle name="Normal 4 3 3 2 5 3 4" xfId="5390"/>
    <cellStyle name="Normal 4 3 3 2 5 3 5" xfId="5391"/>
    <cellStyle name="Normal 4 3 3 2 5 4" xfId="5392"/>
    <cellStyle name="Normal 4 3 3 2 5 4 2" xfId="5393"/>
    <cellStyle name="Normal 4 3 3 2 5 4 2 2" xfId="5394"/>
    <cellStyle name="Normal 4 3 3 2 5 4 2 3" xfId="5395"/>
    <cellStyle name="Normal 4 3 3 2 5 4 3" xfId="5396"/>
    <cellStyle name="Normal 4 3 3 2 5 4 4" xfId="5397"/>
    <cellStyle name="Normal 4 3 3 2 5 4 5" xfId="5398"/>
    <cellStyle name="Normal 4 3 3 2 5 5" xfId="5399"/>
    <cellStyle name="Normal 4 3 3 2 5 5 2" xfId="5400"/>
    <cellStyle name="Normal 4 3 3 2 5 5 3" xfId="5401"/>
    <cellStyle name="Normal 4 3 3 2 5 6" xfId="5402"/>
    <cellStyle name="Normal 4 3 3 2 5 7" xfId="5403"/>
    <cellStyle name="Normal 4 3 3 2 5 8" xfId="5404"/>
    <cellStyle name="Normal 4 3 3 2 6" xfId="5405"/>
    <cellStyle name="Normal 4 3 3 2 6 2" xfId="5406"/>
    <cellStyle name="Normal 4 3 3 2 6 2 2" xfId="5407"/>
    <cellStyle name="Normal 4 3 3 2 6 2 2 2" xfId="5408"/>
    <cellStyle name="Normal 4 3 3 2 6 2 2 3" xfId="5409"/>
    <cellStyle name="Normal 4 3 3 2 6 2 3" xfId="5410"/>
    <cellStyle name="Normal 4 3 3 2 6 2 4" xfId="5411"/>
    <cellStyle name="Normal 4 3 3 2 6 2 5" xfId="5412"/>
    <cellStyle name="Normal 4 3 3 2 6 3" xfId="5413"/>
    <cellStyle name="Normal 4 3 3 2 6 3 2" xfId="5414"/>
    <cellStyle name="Normal 4 3 3 2 6 3 2 2" xfId="5415"/>
    <cellStyle name="Normal 4 3 3 2 6 3 2 3" xfId="5416"/>
    <cellStyle name="Normal 4 3 3 2 6 3 3" xfId="5417"/>
    <cellStyle name="Normal 4 3 3 2 6 3 4" xfId="5418"/>
    <cellStyle name="Normal 4 3 3 2 6 3 5" xfId="5419"/>
    <cellStyle name="Normal 4 3 3 2 6 4" xfId="5420"/>
    <cellStyle name="Normal 4 3 3 2 6 4 2" xfId="5421"/>
    <cellStyle name="Normal 4 3 3 2 6 4 3" xfId="5422"/>
    <cellStyle name="Normal 4 3 3 2 6 5" xfId="5423"/>
    <cellStyle name="Normal 4 3 3 2 6 6" xfId="5424"/>
    <cellStyle name="Normal 4 3 3 2 6 7" xfId="5425"/>
    <cellStyle name="Normal 4 3 3 2 7" xfId="5426"/>
    <cellStyle name="Normal 4 3 3 2 7 2" xfId="5427"/>
    <cellStyle name="Normal 4 3 3 2 7 2 2" xfId="5428"/>
    <cellStyle name="Normal 4 3 3 2 7 2 3" xfId="5429"/>
    <cellStyle name="Normal 4 3 3 2 7 3" xfId="5430"/>
    <cellStyle name="Normal 4 3 3 2 7 4" xfId="5431"/>
    <cellStyle name="Normal 4 3 3 2 7 5" xfId="5432"/>
    <cellStyle name="Normal 4 3 3 2 8" xfId="5433"/>
    <cellStyle name="Normal 4 3 3 2 8 2" xfId="5434"/>
    <cellStyle name="Normal 4 3 3 2 8 2 2" xfId="5435"/>
    <cellStyle name="Normal 4 3 3 2 8 2 3" xfId="5436"/>
    <cellStyle name="Normal 4 3 3 2 8 3" xfId="5437"/>
    <cellStyle name="Normal 4 3 3 2 8 4" xfId="5438"/>
    <cellStyle name="Normal 4 3 3 2 8 5" xfId="5439"/>
    <cellStyle name="Normal 4 3 3 2 9" xfId="5440"/>
    <cellStyle name="Normal 4 3 3 2 9 2" xfId="5441"/>
    <cellStyle name="Normal 4 3 3 2 9 3" xfId="5442"/>
    <cellStyle name="Normal 4 3 3 3" xfId="5443"/>
    <cellStyle name="Normal 4 3 3 3 2" xfId="5444"/>
    <cellStyle name="Normal 4 3 3 3 2 2" xfId="5445"/>
    <cellStyle name="Normal 4 3 3 3 2 2 2" xfId="5446"/>
    <cellStyle name="Normal 4 3 3 3 2 2 2 2" xfId="5447"/>
    <cellStyle name="Normal 4 3 3 3 2 2 2 2 2" xfId="5448"/>
    <cellStyle name="Normal 4 3 3 3 2 2 2 2 3" xfId="5449"/>
    <cellStyle name="Normal 4 3 3 3 2 2 2 3" xfId="5450"/>
    <cellStyle name="Normal 4 3 3 3 2 2 2 4" xfId="5451"/>
    <cellStyle name="Normal 4 3 3 3 2 2 2 5" xfId="5452"/>
    <cellStyle name="Normal 4 3 3 3 2 2 3" xfId="5453"/>
    <cellStyle name="Normal 4 3 3 3 2 2 3 2" xfId="5454"/>
    <cellStyle name="Normal 4 3 3 3 2 2 3 2 2" xfId="5455"/>
    <cellStyle name="Normal 4 3 3 3 2 2 3 2 3" xfId="5456"/>
    <cellStyle name="Normal 4 3 3 3 2 2 3 3" xfId="5457"/>
    <cellStyle name="Normal 4 3 3 3 2 2 3 4" xfId="5458"/>
    <cellStyle name="Normal 4 3 3 3 2 2 3 5" xfId="5459"/>
    <cellStyle name="Normal 4 3 3 3 2 2 4" xfId="5460"/>
    <cellStyle name="Normal 4 3 3 3 2 2 4 2" xfId="5461"/>
    <cellStyle name="Normal 4 3 3 3 2 2 4 3" xfId="5462"/>
    <cellStyle name="Normal 4 3 3 3 2 2 5" xfId="5463"/>
    <cellStyle name="Normal 4 3 3 3 2 2 6" xfId="5464"/>
    <cellStyle name="Normal 4 3 3 3 2 2 7" xfId="5465"/>
    <cellStyle name="Normal 4 3 3 3 2 3" xfId="5466"/>
    <cellStyle name="Normal 4 3 3 3 2 3 2" xfId="5467"/>
    <cellStyle name="Normal 4 3 3 3 2 3 2 2" xfId="5468"/>
    <cellStyle name="Normal 4 3 3 3 2 3 2 3" xfId="5469"/>
    <cellStyle name="Normal 4 3 3 3 2 3 3" xfId="5470"/>
    <cellStyle name="Normal 4 3 3 3 2 3 4" xfId="5471"/>
    <cellStyle name="Normal 4 3 3 3 2 3 5" xfId="5472"/>
    <cellStyle name="Normal 4 3 3 3 2 4" xfId="5473"/>
    <cellStyle name="Normal 4 3 3 3 2 4 2" xfId="5474"/>
    <cellStyle name="Normal 4 3 3 3 2 4 2 2" xfId="5475"/>
    <cellStyle name="Normal 4 3 3 3 2 4 2 3" xfId="5476"/>
    <cellStyle name="Normal 4 3 3 3 2 4 3" xfId="5477"/>
    <cellStyle name="Normal 4 3 3 3 2 4 4" xfId="5478"/>
    <cellStyle name="Normal 4 3 3 3 2 4 5" xfId="5479"/>
    <cellStyle name="Normal 4 3 3 3 2 5" xfId="5480"/>
    <cellStyle name="Normal 4 3 3 3 2 5 2" xfId="5481"/>
    <cellStyle name="Normal 4 3 3 3 2 5 3" xfId="5482"/>
    <cellStyle name="Normal 4 3 3 3 2 6" xfId="5483"/>
    <cellStyle name="Normal 4 3 3 3 2 7" xfId="5484"/>
    <cellStyle name="Normal 4 3 3 3 2 8" xfId="5485"/>
    <cellStyle name="Normal 4 3 3 3 3" xfId="5486"/>
    <cellStyle name="Normal 4 3 3 3 3 2" xfId="5487"/>
    <cellStyle name="Normal 4 3 3 3 3 2 2" xfId="5488"/>
    <cellStyle name="Normal 4 3 3 3 3 2 2 2" xfId="5489"/>
    <cellStyle name="Normal 4 3 3 3 3 2 2 3" xfId="5490"/>
    <cellStyle name="Normal 4 3 3 3 3 2 3" xfId="5491"/>
    <cellStyle name="Normal 4 3 3 3 3 2 4" xfId="5492"/>
    <cellStyle name="Normal 4 3 3 3 3 2 5" xfId="5493"/>
    <cellStyle name="Normal 4 3 3 3 3 3" xfId="5494"/>
    <cellStyle name="Normal 4 3 3 3 3 3 2" xfId="5495"/>
    <cellStyle name="Normal 4 3 3 3 3 3 2 2" xfId="5496"/>
    <cellStyle name="Normal 4 3 3 3 3 3 2 3" xfId="5497"/>
    <cellStyle name="Normal 4 3 3 3 3 3 3" xfId="5498"/>
    <cellStyle name="Normal 4 3 3 3 3 3 4" xfId="5499"/>
    <cellStyle name="Normal 4 3 3 3 3 3 5" xfId="5500"/>
    <cellStyle name="Normal 4 3 3 3 3 4" xfId="5501"/>
    <cellStyle name="Normal 4 3 3 3 3 4 2" xfId="5502"/>
    <cellStyle name="Normal 4 3 3 3 3 4 3" xfId="5503"/>
    <cellStyle name="Normal 4 3 3 3 3 5" xfId="5504"/>
    <cellStyle name="Normal 4 3 3 3 3 6" xfId="5505"/>
    <cellStyle name="Normal 4 3 3 3 3 7" xfId="5506"/>
    <cellStyle name="Normal 4 3 3 3 4" xfId="5507"/>
    <cellStyle name="Normal 4 3 3 3 4 2" xfId="5508"/>
    <cellStyle name="Normal 4 3 3 3 4 2 2" xfId="5509"/>
    <cellStyle name="Normal 4 3 3 3 4 2 3" xfId="5510"/>
    <cellStyle name="Normal 4 3 3 3 4 3" xfId="5511"/>
    <cellStyle name="Normal 4 3 3 3 4 4" xfId="5512"/>
    <cellStyle name="Normal 4 3 3 3 4 5" xfId="5513"/>
    <cellStyle name="Normal 4 3 3 3 5" xfId="5514"/>
    <cellStyle name="Normal 4 3 3 3 5 2" xfId="5515"/>
    <cellStyle name="Normal 4 3 3 3 5 2 2" xfId="5516"/>
    <cellStyle name="Normal 4 3 3 3 5 2 3" xfId="5517"/>
    <cellStyle name="Normal 4 3 3 3 5 3" xfId="5518"/>
    <cellStyle name="Normal 4 3 3 3 5 4" xfId="5519"/>
    <cellStyle name="Normal 4 3 3 3 5 5" xfId="5520"/>
    <cellStyle name="Normal 4 3 3 3 6" xfId="5521"/>
    <cellStyle name="Normal 4 3 3 3 6 2" xfId="5522"/>
    <cellStyle name="Normal 4 3 3 3 6 3" xfId="5523"/>
    <cellStyle name="Normal 4 3 3 3 7" xfId="5524"/>
    <cellStyle name="Normal 4 3 3 3 8" xfId="5525"/>
    <cellStyle name="Normal 4 3 3 3 9" xfId="5526"/>
    <cellStyle name="Normal 4 3 3 4" xfId="5527"/>
    <cellStyle name="Normal 4 3 3 4 2" xfId="5528"/>
    <cellStyle name="Normal 4 3 3 4 2 2" xfId="5529"/>
    <cellStyle name="Normal 4 3 3 4 2 2 2" xfId="5530"/>
    <cellStyle name="Normal 4 3 3 4 2 2 2 2" xfId="5531"/>
    <cellStyle name="Normal 4 3 3 4 2 2 2 2 2" xfId="5532"/>
    <cellStyle name="Normal 4 3 3 4 2 2 2 2 3" xfId="5533"/>
    <cellStyle name="Normal 4 3 3 4 2 2 2 3" xfId="5534"/>
    <cellStyle name="Normal 4 3 3 4 2 2 2 4" xfId="5535"/>
    <cellStyle name="Normal 4 3 3 4 2 2 2 5" xfId="5536"/>
    <cellStyle name="Normal 4 3 3 4 2 2 3" xfId="5537"/>
    <cellStyle name="Normal 4 3 3 4 2 2 3 2" xfId="5538"/>
    <cellStyle name="Normal 4 3 3 4 2 2 3 2 2" xfId="5539"/>
    <cellStyle name="Normal 4 3 3 4 2 2 3 2 3" xfId="5540"/>
    <cellStyle name="Normal 4 3 3 4 2 2 3 3" xfId="5541"/>
    <cellStyle name="Normal 4 3 3 4 2 2 3 4" xfId="5542"/>
    <cellStyle name="Normal 4 3 3 4 2 2 3 5" xfId="5543"/>
    <cellStyle name="Normal 4 3 3 4 2 2 4" xfId="5544"/>
    <cellStyle name="Normal 4 3 3 4 2 2 4 2" xfId="5545"/>
    <cellStyle name="Normal 4 3 3 4 2 2 4 3" xfId="5546"/>
    <cellStyle name="Normal 4 3 3 4 2 2 5" xfId="5547"/>
    <cellStyle name="Normal 4 3 3 4 2 2 6" xfId="5548"/>
    <cellStyle name="Normal 4 3 3 4 2 2 7" xfId="5549"/>
    <cellStyle name="Normal 4 3 3 4 2 3" xfId="5550"/>
    <cellStyle name="Normal 4 3 3 4 2 3 2" xfId="5551"/>
    <cellStyle name="Normal 4 3 3 4 2 3 2 2" xfId="5552"/>
    <cellStyle name="Normal 4 3 3 4 2 3 2 3" xfId="5553"/>
    <cellStyle name="Normal 4 3 3 4 2 3 3" xfId="5554"/>
    <cellStyle name="Normal 4 3 3 4 2 3 4" xfId="5555"/>
    <cellStyle name="Normal 4 3 3 4 2 3 5" xfId="5556"/>
    <cellStyle name="Normal 4 3 3 4 2 4" xfId="5557"/>
    <cellStyle name="Normal 4 3 3 4 2 4 2" xfId="5558"/>
    <cellStyle name="Normal 4 3 3 4 2 4 2 2" xfId="5559"/>
    <cellStyle name="Normal 4 3 3 4 2 4 2 3" xfId="5560"/>
    <cellStyle name="Normal 4 3 3 4 2 4 3" xfId="5561"/>
    <cellStyle name="Normal 4 3 3 4 2 4 4" xfId="5562"/>
    <cellStyle name="Normal 4 3 3 4 2 4 5" xfId="5563"/>
    <cellStyle name="Normal 4 3 3 4 2 5" xfId="5564"/>
    <cellStyle name="Normal 4 3 3 4 2 5 2" xfId="5565"/>
    <cellStyle name="Normal 4 3 3 4 2 5 3" xfId="5566"/>
    <cellStyle name="Normal 4 3 3 4 2 6" xfId="5567"/>
    <cellStyle name="Normal 4 3 3 4 2 7" xfId="5568"/>
    <cellStyle name="Normal 4 3 3 4 2 8" xfId="5569"/>
    <cellStyle name="Normal 4 3 3 4 3" xfId="5570"/>
    <cellStyle name="Normal 4 3 3 4 3 2" xfId="5571"/>
    <cellStyle name="Normal 4 3 3 4 3 2 2" xfId="5572"/>
    <cellStyle name="Normal 4 3 3 4 3 2 2 2" xfId="5573"/>
    <cellStyle name="Normal 4 3 3 4 3 2 2 3" xfId="5574"/>
    <cellStyle name="Normal 4 3 3 4 3 2 3" xfId="5575"/>
    <cellStyle name="Normal 4 3 3 4 3 2 4" xfId="5576"/>
    <cellStyle name="Normal 4 3 3 4 3 2 5" xfId="5577"/>
    <cellStyle name="Normal 4 3 3 4 3 3" xfId="5578"/>
    <cellStyle name="Normal 4 3 3 4 3 3 2" xfId="5579"/>
    <cellStyle name="Normal 4 3 3 4 3 3 2 2" xfId="5580"/>
    <cellStyle name="Normal 4 3 3 4 3 3 2 3" xfId="5581"/>
    <cellStyle name="Normal 4 3 3 4 3 3 3" xfId="5582"/>
    <cellStyle name="Normal 4 3 3 4 3 3 4" xfId="5583"/>
    <cellStyle name="Normal 4 3 3 4 3 3 5" xfId="5584"/>
    <cellStyle name="Normal 4 3 3 4 3 4" xfId="5585"/>
    <cellStyle name="Normal 4 3 3 4 3 4 2" xfId="5586"/>
    <cellStyle name="Normal 4 3 3 4 3 4 3" xfId="5587"/>
    <cellStyle name="Normal 4 3 3 4 3 5" xfId="5588"/>
    <cellStyle name="Normal 4 3 3 4 3 6" xfId="5589"/>
    <cellStyle name="Normal 4 3 3 4 3 7" xfId="5590"/>
    <cellStyle name="Normal 4 3 3 4 4" xfId="5591"/>
    <cellStyle name="Normal 4 3 3 4 4 2" xfId="5592"/>
    <cellStyle name="Normal 4 3 3 4 4 2 2" xfId="5593"/>
    <cellStyle name="Normal 4 3 3 4 4 2 3" xfId="5594"/>
    <cellStyle name="Normal 4 3 3 4 4 3" xfId="5595"/>
    <cellStyle name="Normal 4 3 3 4 4 4" xfId="5596"/>
    <cellStyle name="Normal 4 3 3 4 4 5" xfId="5597"/>
    <cellStyle name="Normal 4 3 3 4 5" xfId="5598"/>
    <cellStyle name="Normal 4 3 3 4 5 2" xfId="5599"/>
    <cellStyle name="Normal 4 3 3 4 5 2 2" xfId="5600"/>
    <cellStyle name="Normal 4 3 3 4 5 2 3" xfId="5601"/>
    <cellStyle name="Normal 4 3 3 4 5 3" xfId="5602"/>
    <cellStyle name="Normal 4 3 3 4 5 4" xfId="5603"/>
    <cellStyle name="Normal 4 3 3 4 5 5" xfId="5604"/>
    <cellStyle name="Normal 4 3 3 4 6" xfId="5605"/>
    <cellStyle name="Normal 4 3 3 4 6 2" xfId="5606"/>
    <cellStyle name="Normal 4 3 3 4 6 3" xfId="5607"/>
    <cellStyle name="Normal 4 3 3 4 7" xfId="5608"/>
    <cellStyle name="Normal 4 3 3 4 8" xfId="5609"/>
    <cellStyle name="Normal 4 3 3 4 9" xfId="5610"/>
    <cellStyle name="Normal 4 3 3 5" xfId="5611"/>
    <cellStyle name="Normal 4 3 3 5 2" xfId="5612"/>
    <cellStyle name="Normal 4 3 3 5 2 2" xfId="5613"/>
    <cellStyle name="Normal 4 3 3 5 2 2 2" xfId="5614"/>
    <cellStyle name="Normal 4 3 3 5 2 2 2 2" xfId="5615"/>
    <cellStyle name="Normal 4 3 3 5 2 2 2 2 2" xfId="5616"/>
    <cellStyle name="Normal 4 3 3 5 2 2 2 2 3" xfId="5617"/>
    <cellStyle name="Normal 4 3 3 5 2 2 2 3" xfId="5618"/>
    <cellStyle name="Normal 4 3 3 5 2 2 2 4" xfId="5619"/>
    <cellStyle name="Normal 4 3 3 5 2 2 2 5" xfId="5620"/>
    <cellStyle name="Normal 4 3 3 5 2 2 3" xfId="5621"/>
    <cellStyle name="Normal 4 3 3 5 2 2 3 2" xfId="5622"/>
    <cellStyle name="Normal 4 3 3 5 2 2 3 2 2" xfId="5623"/>
    <cellStyle name="Normal 4 3 3 5 2 2 3 2 3" xfId="5624"/>
    <cellStyle name="Normal 4 3 3 5 2 2 3 3" xfId="5625"/>
    <cellStyle name="Normal 4 3 3 5 2 2 3 4" xfId="5626"/>
    <cellStyle name="Normal 4 3 3 5 2 2 3 5" xfId="5627"/>
    <cellStyle name="Normal 4 3 3 5 2 2 4" xfId="5628"/>
    <cellStyle name="Normal 4 3 3 5 2 2 4 2" xfId="5629"/>
    <cellStyle name="Normal 4 3 3 5 2 2 4 3" xfId="5630"/>
    <cellStyle name="Normal 4 3 3 5 2 2 5" xfId="5631"/>
    <cellStyle name="Normal 4 3 3 5 2 2 6" xfId="5632"/>
    <cellStyle name="Normal 4 3 3 5 2 2 7" xfId="5633"/>
    <cellStyle name="Normal 4 3 3 5 2 3" xfId="5634"/>
    <cellStyle name="Normal 4 3 3 5 2 3 2" xfId="5635"/>
    <cellStyle name="Normal 4 3 3 5 2 3 2 2" xfId="5636"/>
    <cellStyle name="Normal 4 3 3 5 2 3 2 3" xfId="5637"/>
    <cellStyle name="Normal 4 3 3 5 2 3 3" xfId="5638"/>
    <cellStyle name="Normal 4 3 3 5 2 3 4" xfId="5639"/>
    <cellStyle name="Normal 4 3 3 5 2 3 5" xfId="5640"/>
    <cellStyle name="Normal 4 3 3 5 2 4" xfId="5641"/>
    <cellStyle name="Normal 4 3 3 5 2 4 2" xfId="5642"/>
    <cellStyle name="Normal 4 3 3 5 2 4 2 2" xfId="5643"/>
    <cellStyle name="Normal 4 3 3 5 2 4 2 3" xfId="5644"/>
    <cellStyle name="Normal 4 3 3 5 2 4 3" xfId="5645"/>
    <cellStyle name="Normal 4 3 3 5 2 4 4" xfId="5646"/>
    <cellStyle name="Normal 4 3 3 5 2 4 5" xfId="5647"/>
    <cellStyle name="Normal 4 3 3 5 2 5" xfId="5648"/>
    <cellStyle name="Normal 4 3 3 5 2 5 2" xfId="5649"/>
    <cellStyle name="Normal 4 3 3 5 2 5 3" xfId="5650"/>
    <cellStyle name="Normal 4 3 3 5 2 6" xfId="5651"/>
    <cellStyle name="Normal 4 3 3 5 2 7" xfId="5652"/>
    <cellStyle name="Normal 4 3 3 5 2 8" xfId="5653"/>
    <cellStyle name="Normal 4 3 3 5 3" xfId="5654"/>
    <cellStyle name="Normal 4 3 3 5 3 2" xfId="5655"/>
    <cellStyle name="Normal 4 3 3 5 3 2 2" xfId="5656"/>
    <cellStyle name="Normal 4 3 3 5 3 2 2 2" xfId="5657"/>
    <cellStyle name="Normal 4 3 3 5 3 2 2 3" xfId="5658"/>
    <cellStyle name="Normal 4 3 3 5 3 2 3" xfId="5659"/>
    <cellStyle name="Normal 4 3 3 5 3 2 4" xfId="5660"/>
    <cellStyle name="Normal 4 3 3 5 3 2 5" xfId="5661"/>
    <cellStyle name="Normal 4 3 3 5 3 3" xfId="5662"/>
    <cellStyle name="Normal 4 3 3 5 3 3 2" xfId="5663"/>
    <cellStyle name="Normal 4 3 3 5 3 3 2 2" xfId="5664"/>
    <cellStyle name="Normal 4 3 3 5 3 3 2 3" xfId="5665"/>
    <cellStyle name="Normal 4 3 3 5 3 3 3" xfId="5666"/>
    <cellStyle name="Normal 4 3 3 5 3 3 4" xfId="5667"/>
    <cellStyle name="Normal 4 3 3 5 3 3 5" xfId="5668"/>
    <cellStyle name="Normal 4 3 3 5 3 4" xfId="5669"/>
    <cellStyle name="Normal 4 3 3 5 3 4 2" xfId="5670"/>
    <cellStyle name="Normal 4 3 3 5 3 4 3" xfId="5671"/>
    <cellStyle name="Normal 4 3 3 5 3 5" xfId="5672"/>
    <cellStyle name="Normal 4 3 3 5 3 6" xfId="5673"/>
    <cellStyle name="Normal 4 3 3 5 3 7" xfId="5674"/>
    <cellStyle name="Normal 4 3 3 5 4" xfId="5675"/>
    <cellStyle name="Normal 4 3 3 5 4 2" xfId="5676"/>
    <cellStyle name="Normal 4 3 3 5 4 2 2" xfId="5677"/>
    <cellStyle name="Normal 4 3 3 5 4 2 3" xfId="5678"/>
    <cellStyle name="Normal 4 3 3 5 4 3" xfId="5679"/>
    <cellStyle name="Normal 4 3 3 5 4 4" xfId="5680"/>
    <cellStyle name="Normal 4 3 3 5 4 5" xfId="5681"/>
    <cellStyle name="Normal 4 3 3 5 5" xfId="5682"/>
    <cellStyle name="Normal 4 3 3 5 5 2" xfId="5683"/>
    <cellStyle name="Normal 4 3 3 5 5 2 2" xfId="5684"/>
    <cellStyle name="Normal 4 3 3 5 5 2 3" xfId="5685"/>
    <cellStyle name="Normal 4 3 3 5 5 3" xfId="5686"/>
    <cellStyle name="Normal 4 3 3 5 5 4" xfId="5687"/>
    <cellStyle name="Normal 4 3 3 5 5 5" xfId="5688"/>
    <cellStyle name="Normal 4 3 3 5 6" xfId="5689"/>
    <cellStyle name="Normal 4 3 3 5 6 2" xfId="5690"/>
    <cellStyle name="Normal 4 3 3 5 6 3" xfId="5691"/>
    <cellStyle name="Normal 4 3 3 5 7" xfId="5692"/>
    <cellStyle name="Normal 4 3 3 5 8" xfId="5693"/>
    <cellStyle name="Normal 4 3 3 5 9" xfId="5694"/>
    <cellStyle name="Normal 4 3 3 6" xfId="5695"/>
    <cellStyle name="Normal 4 3 3 6 2" xfId="5696"/>
    <cellStyle name="Normal 4 3 3 6 2 2" xfId="5697"/>
    <cellStyle name="Normal 4 3 3 6 2 2 2" xfId="5698"/>
    <cellStyle name="Normal 4 3 3 6 2 2 2 2" xfId="5699"/>
    <cellStyle name="Normal 4 3 3 6 2 2 2 3" xfId="5700"/>
    <cellStyle name="Normal 4 3 3 6 2 2 3" xfId="5701"/>
    <cellStyle name="Normal 4 3 3 6 2 2 4" xfId="5702"/>
    <cellStyle name="Normal 4 3 3 6 2 2 5" xfId="5703"/>
    <cellStyle name="Normal 4 3 3 6 2 3" xfId="5704"/>
    <cellStyle name="Normal 4 3 3 6 2 3 2" xfId="5705"/>
    <cellStyle name="Normal 4 3 3 6 2 3 2 2" xfId="5706"/>
    <cellStyle name="Normal 4 3 3 6 2 3 2 3" xfId="5707"/>
    <cellStyle name="Normal 4 3 3 6 2 3 3" xfId="5708"/>
    <cellStyle name="Normal 4 3 3 6 2 3 4" xfId="5709"/>
    <cellStyle name="Normal 4 3 3 6 2 3 5" xfId="5710"/>
    <cellStyle name="Normal 4 3 3 6 2 4" xfId="5711"/>
    <cellStyle name="Normal 4 3 3 6 2 4 2" xfId="5712"/>
    <cellStyle name="Normal 4 3 3 6 2 4 3" xfId="5713"/>
    <cellStyle name="Normal 4 3 3 6 2 5" xfId="5714"/>
    <cellStyle name="Normal 4 3 3 6 2 6" xfId="5715"/>
    <cellStyle name="Normal 4 3 3 6 2 7" xfId="5716"/>
    <cellStyle name="Normal 4 3 3 6 3" xfId="5717"/>
    <cellStyle name="Normal 4 3 3 6 3 2" xfId="5718"/>
    <cellStyle name="Normal 4 3 3 6 3 2 2" xfId="5719"/>
    <cellStyle name="Normal 4 3 3 6 3 2 3" xfId="5720"/>
    <cellStyle name="Normal 4 3 3 6 3 3" xfId="5721"/>
    <cellStyle name="Normal 4 3 3 6 3 4" xfId="5722"/>
    <cellStyle name="Normal 4 3 3 6 3 5" xfId="5723"/>
    <cellStyle name="Normal 4 3 3 6 4" xfId="5724"/>
    <cellStyle name="Normal 4 3 3 6 4 2" xfId="5725"/>
    <cellStyle name="Normal 4 3 3 6 4 2 2" xfId="5726"/>
    <cellStyle name="Normal 4 3 3 6 4 2 3" xfId="5727"/>
    <cellStyle name="Normal 4 3 3 6 4 3" xfId="5728"/>
    <cellStyle name="Normal 4 3 3 6 4 4" xfId="5729"/>
    <cellStyle name="Normal 4 3 3 6 4 5" xfId="5730"/>
    <cellStyle name="Normal 4 3 3 6 5" xfId="5731"/>
    <cellStyle name="Normal 4 3 3 6 5 2" xfId="5732"/>
    <cellStyle name="Normal 4 3 3 6 5 3" xfId="5733"/>
    <cellStyle name="Normal 4 3 3 6 6" xfId="5734"/>
    <cellStyle name="Normal 4 3 3 6 7" xfId="5735"/>
    <cellStyle name="Normal 4 3 3 6 8" xfId="5736"/>
    <cellStyle name="Normal 4 3 3 7" xfId="5737"/>
    <cellStyle name="Normal 4 3 3 7 2" xfId="5738"/>
    <cellStyle name="Normal 4 3 3 7 2 2" xfId="5739"/>
    <cellStyle name="Normal 4 3 3 7 2 2 2" xfId="5740"/>
    <cellStyle name="Normal 4 3 3 7 2 2 3" xfId="5741"/>
    <cellStyle name="Normal 4 3 3 7 2 3" xfId="5742"/>
    <cellStyle name="Normal 4 3 3 7 2 4" xfId="5743"/>
    <cellStyle name="Normal 4 3 3 7 2 5" xfId="5744"/>
    <cellStyle name="Normal 4 3 3 7 3" xfId="5745"/>
    <cellStyle name="Normal 4 3 3 7 3 2" xfId="5746"/>
    <cellStyle name="Normal 4 3 3 7 3 2 2" xfId="5747"/>
    <cellStyle name="Normal 4 3 3 7 3 2 3" xfId="5748"/>
    <cellStyle name="Normal 4 3 3 7 3 3" xfId="5749"/>
    <cellStyle name="Normal 4 3 3 7 3 4" xfId="5750"/>
    <cellStyle name="Normal 4 3 3 7 3 5" xfId="5751"/>
    <cellStyle name="Normal 4 3 3 7 4" xfId="5752"/>
    <cellStyle name="Normal 4 3 3 7 4 2" xfId="5753"/>
    <cellStyle name="Normal 4 3 3 7 4 3" xfId="5754"/>
    <cellStyle name="Normal 4 3 3 7 5" xfId="5755"/>
    <cellStyle name="Normal 4 3 3 7 6" xfId="5756"/>
    <cellStyle name="Normal 4 3 3 7 7" xfId="5757"/>
    <cellStyle name="Normal 4 3 3 8" xfId="5758"/>
    <cellStyle name="Normal 4 3 3 8 2" xfId="5759"/>
    <cellStyle name="Normal 4 3 3 8 2 2" xfId="5760"/>
    <cellStyle name="Normal 4 3 3 8 2 2 2" xfId="5761"/>
    <cellStyle name="Normal 4 3 3 8 2 2 3" xfId="5762"/>
    <cellStyle name="Normal 4 3 3 8 2 3" xfId="5763"/>
    <cellStyle name="Normal 4 3 3 8 2 4" xfId="5764"/>
    <cellStyle name="Normal 4 3 3 8 2 5" xfId="5765"/>
    <cellStyle name="Normal 4 3 3 8 3" xfId="5766"/>
    <cellStyle name="Normal 4 3 3 8 3 2" xfId="5767"/>
    <cellStyle name="Normal 4 3 3 8 3 2 2" xfId="5768"/>
    <cellStyle name="Normal 4 3 3 8 3 2 3" xfId="5769"/>
    <cellStyle name="Normal 4 3 3 8 3 3" xfId="5770"/>
    <cellStyle name="Normal 4 3 3 8 3 4" xfId="5771"/>
    <cellStyle name="Normal 4 3 3 8 3 5" xfId="5772"/>
    <cellStyle name="Normal 4 3 3 8 4" xfId="5773"/>
    <cellStyle name="Normal 4 3 3 8 4 2" xfId="5774"/>
    <cellStyle name="Normal 4 3 3 8 4 3" xfId="5775"/>
    <cellStyle name="Normal 4 3 3 8 5" xfId="5776"/>
    <cellStyle name="Normal 4 3 3 8 6" xfId="5777"/>
    <cellStyle name="Normal 4 3 3 8 7" xfId="5778"/>
    <cellStyle name="Normal 4 3 3 9" xfId="5779"/>
    <cellStyle name="Normal 4 3 3 9 2" xfId="5780"/>
    <cellStyle name="Normal 4 3 3 9 2 2" xfId="5781"/>
    <cellStyle name="Normal 4 3 3 9 2 3" xfId="5782"/>
    <cellStyle name="Normal 4 3 3 9 3" xfId="5783"/>
    <cellStyle name="Normal 4 3 3 9 4" xfId="5784"/>
    <cellStyle name="Normal 4 3 3 9 5" xfId="5785"/>
    <cellStyle name="Normal 4 3 4" xfId="5786"/>
    <cellStyle name="Normal 4 3 4 10" xfId="5787"/>
    <cellStyle name="Normal 4 3 4 11" xfId="5788"/>
    <cellStyle name="Normal 4 3 4 12" xfId="5789"/>
    <cellStyle name="Normal 4 3 4 2" xfId="5790"/>
    <cellStyle name="Normal 4 3 4 2 2" xfId="5791"/>
    <cellStyle name="Normal 4 3 4 2 2 2" xfId="5792"/>
    <cellStyle name="Normal 4 3 4 2 2 2 2" xfId="5793"/>
    <cellStyle name="Normal 4 3 4 2 2 2 2 2" xfId="5794"/>
    <cellStyle name="Normal 4 3 4 2 2 2 2 2 2" xfId="5795"/>
    <cellStyle name="Normal 4 3 4 2 2 2 2 2 3" xfId="5796"/>
    <cellStyle name="Normal 4 3 4 2 2 2 2 3" xfId="5797"/>
    <cellStyle name="Normal 4 3 4 2 2 2 2 4" xfId="5798"/>
    <cellStyle name="Normal 4 3 4 2 2 2 2 5" xfId="5799"/>
    <cellStyle name="Normal 4 3 4 2 2 2 3" xfId="5800"/>
    <cellStyle name="Normal 4 3 4 2 2 2 3 2" xfId="5801"/>
    <cellStyle name="Normal 4 3 4 2 2 2 3 2 2" xfId="5802"/>
    <cellStyle name="Normal 4 3 4 2 2 2 3 2 3" xfId="5803"/>
    <cellStyle name="Normal 4 3 4 2 2 2 3 3" xfId="5804"/>
    <cellStyle name="Normal 4 3 4 2 2 2 3 4" xfId="5805"/>
    <cellStyle name="Normal 4 3 4 2 2 2 3 5" xfId="5806"/>
    <cellStyle name="Normal 4 3 4 2 2 2 4" xfId="5807"/>
    <cellStyle name="Normal 4 3 4 2 2 2 4 2" xfId="5808"/>
    <cellStyle name="Normal 4 3 4 2 2 2 4 3" xfId="5809"/>
    <cellStyle name="Normal 4 3 4 2 2 2 5" xfId="5810"/>
    <cellStyle name="Normal 4 3 4 2 2 2 6" xfId="5811"/>
    <cellStyle name="Normal 4 3 4 2 2 2 7" xfId="5812"/>
    <cellStyle name="Normal 4 3 4 2 2 3" xfId="5813"/>
    <cellStyle name="Normal 4 3 4 2 2 3 2" xfId="5814"/>
    <cellStyle name="Normal 4 3 4 2 2 3 2 2" xfId="5815"/>
    <cellStyle name="Normal 4 3 4 2 2 3 2 3" xfId="5816"/>
    <cellStyle name="Normal 4 3 4 2 2 3 3" xfId="5817"/>
    <cellStyle name="Normal 4 3 4 2 2 3 4" xfId="5818"/>
    <cellStyle name="Normal 4 3 4 2 2 3 5" xfId="5819"/>
    <cellStyle name="Normal 4 3 4 2 2 4" xfId="5820"/>
    <cellStyle name="Normal 4 3 4 2 2 4 2" xfId="5821"/>
    <cellStyle name="Normal 4 3 4 2 2 4 2 2" xfId="5822"/>
    <cellStyle name="Normal 4 3 4 2 2 4 2 3" xfId="5823"/>
    <cellStyle name="Normal 4 3 4 2 2 4 3" xfId="5824"/>
    <cellStyle name="Normal 4 3 4 2 2 4 4" xfId="5825"/>
    <cellStyle name="Normal 4 3 4 2 2 4 5" xfId="5826"/>
    <cellStyle name="Normal 4 3 4 2 2 5" xfId="5827"/>
    <cellStyle name="Normal 4 3 4 2 2 5 2" xfId="5828"/>
    <cellStyle name="Normal 4 3 4 2 2 5 3" xfId="5829"/>
    <cellStyle name="Normal 4 3 4 2 2 6" xfId="5830"/>
    <cellStyle name="Normal 4 3 4 2 2 7" xfId="5831"/>
    <cellStyle name="Normal 4 3 4 2 2 8" xfId="5832"/>
    <cellStyle name="Normal 4 3 4 2 3" xfId="5833"/>
    <cellStyle name="Normal 4 3 4 2 3 2" xfId="5834"/>
    <cellStyle name="Normal 4 3 4 2 3 2 2" xfId="5835"/>
    <cellStyle name="Normal 4 3 4 2 3 2 2 2" xfId="5836"/>
    <cellStyle name="Normal 4 3 4 2 3 2 2 3" xfId="5837"/>
    <cellStyle name="Normal 4 3 4 2 3 2 3" xfId="5838"/>
    <cellStyle name="Normal 4 3 4 2 3 2 4" xfId="5839"/>
    <cellStyle name="Normal 4 3 4 2 3 2 5" xfId="5840"/>
    <cellStyle name="Normal 4 3 4 2 3 3" xfId="5841"/>
    <cellStyle name="Normal 4 3 4 2 3 3 2" xfId="5842"/>
    <cellStyle name="Normal 4 3 4 2 3 3 2 2" xfId="5843"/>
    <cellStyle name="Normal 4 3 4 2 3 3 2 3" xfId="5844"/>
    <cellStyle name="Normal 4 3 4 2 3 3 3" xfId="5845"/>
    <cellStyle name="Normal 4 3 4 2 3 3 4" xfId="5846"/>
    <cellStyle name="Normal 4 3 4 2 3 3 5" xfId="5847"/>
    <cellStyle name="Normal 4 3 4 2 3 4" xfId="5848"/>
    <cellStyle name="Normal 4 3 4 2 3 4 2" xfId="5849"/>
    <cellStyle name="Normal 4 3 4 2 3 4 3" xfId="5850"/>
    <cellStyle name="Normal 4 3 4 2 3 5" xfId="5851"/>
    <cellStyle name="Normal 4 3 4 2 3 6" xfId="5852"/>
    <cellStyle name="Normal 4 3 4 2 3 7" xfId="5853"/>
    <cellStyle name="Normal 4 3 4 2 4" xfId="5854"/>
    <cellStyle name="Normal 4 3 4 2 4 2" xfId="5855"/>
    <cellStyle name="Normal 4 3 4 2 4 2 2" xfId="5856"/>
    <cellStyle name="Normal 4 3 4 2 4 2 3" xfId="5857"/>
    <cellStyle name="Normal 4 3 4 2 4 3" xfId="5858"/>
    <cellStyle name="Normal 4 3 4 2 4 4" xfId="5859"/>
    <cellStyle name="Normal 4 3 4 2 4 5" xfId="5860"/>
    <cellStyle name="Normal 4 3 4 2 5" xfId="5861"/>
    <cellStyle name="Normal 4 3 4 2 5 2" xfId="5862"/>
    <cellStyle name="Normal 4 3 4 2 5 2 2" xfId="5863"/>
    <cellStyle name="Normal 4 3 4 2 5 2 3" xfId="5864"/>
    <cellStyle name="Normal 4 3 4 2 5 3" xfId="5865"/>
    <cellStyle name="Normal 4 3 4 2 5 4" xfId="5866"/>
    <cellStyle name="Normal 4 3 4 2 5 5" xfId="5867"/>
    <cellStyle name="Normal 4 3 4 2 6" xfId="5868"/>
    <cellStyle name="Normal 4 3 4 2 6 2" xfId="5869"/>
    <cellStyle name="Normal 4 3 4 2 6 3" xfId="5870"/>
    <cellStyle name="Normal 4 3 4 2 7" xfId="5871"/>
    <cellStyle name="Normal 4 3 4 2 8" xfId="5872"/>
    <cellStyle name="Normal 4 3 4 2 9" xfId="5873"/>
    <cellStyle name="Normal 4 3 4 3" xfId="5874"/>
    <cellStyle name="Normal 4 3 4 3 2" xfId="5875"/>
    <cellStyle name="Normal 4 3 4 3 2 2" xfId="5876"/>
    <cellStyle name="Normal 4 3 4 3 2 2 2" xfId="5877"/>
    <cellStyle name="Normal 4 3 4 3 2 2 2 2" xfId="5878"/>
    <cellStyle name="Normal 4 3 4 3 2 2 2 2 2" xfId="5879"/>
    <cellStyle name="Normal 4 3 4 3 2 2 2 2 3" xfId="5880"/>
    <cellStyle name="Normal 4 3 4 3 2 2 2 3" xfId="5881"/>
    <cellStyle name="Normal 4 3 4 3 2 2 2 4" xfId="5882"/>
    <cellStyle name="Normal 4 3 4 3 2 2 2 5" xfId="5883"/>
    <cellStyle name="Normal 4 3 4 3 2 2 3" xfId="5884"/>
    <cellStyle name="Normal 4 3 4 3 2 2 3 2" xfId="5885"/>
    <cellStyle name="Normal 4 3 4 3 2 2 3 2 2" xfId="5886"/>
    <cellStyle name="Normal 4 3 4 3 2 2 3 2 3" xfId="5887"/>
    <cellStyle name="Normal 4 3 4 3 2 2 3 3" xfId="5888"/>
    <cellStyle name="Normal 4 3 4 3 2 2 3 4" xfId="5889"/>
    <cellStyle name="Normal 4 3 4 3 2 2 3 5" xfId="5890"/>
    <cellStyle name="Normal 4 3 4 3 2 2 4" xfId="5891"/>
    <cellStyle name="Normal 4 3 4 3 2 2 4 2" xfId="5892"/>
    <cellStyle name="Normal 4 3 4 3 2 2 4 3" xfId="5893"/>
    <cellStyle name="Normal 4 3 4 3 2 2 5" xfId="5894"/>
    <cellStyle name="Normal 4 3 4 3 2 2 6" xfId="5895"/>
    <cellStyle name="Normal 4 3 4 3 2 2 7" xfId="5896"/>
    <cellStyle name="Normal 4 3 4 3 2 3" xfId="5897"/>
    <cellStyle name="Normal 4 3 4 3 2 3 2" xfId="5898"/>
    <cellStyle name="Normal 4 3 4 3 2 3 2 2" xfId="5899"/>
    <cellStyle name="Normal 4 3 4 3 2 3 2 3" xfId="5900"/>
    <cellStyle name="Normal 4 3 4 3 2 3 3" xfId="5901"/>
    <cellStyle name="Normal 4 3 4 3 2 3 4" xfId="5902"/>
    <cellStyle name="Normal 4 3 4 3 2 3 5" xfId="5903"/>
    <cellStyle name="Normal 4 3 4 3 2 4" xfId="5904"/>
    <cellStyle name="Normal 4 3 4 3 2 4 2" xfId="5905"/>
    <cellStyle name="Normal 4 3 4 3 2 4 2 2" xfId="5906"/>
    <cellStyle name="Normal 4 3 4 3 2 4 2 3" xfId="5907"/>
    <cellStyle name="Normal 4 3 4 3 2 4 3" xfId="5908"/>
    <cellStyle name="Normal 4 3 4 3 2 4 4" xfId="5909"/>
    <cellStyle name="Normal 4 3 4 3 2 4 5" xfId="5910"/>
    <cellStyle name="Normal 4 3 4 3 2 5" xfId="5911"/>
    <cellStyle name="Normal 4 3 4 3 2 5 2" xfId="5912"/>
    <cellStyle name="Normal 4 3 4 3 2 5 3" xfId="5913"/>
    <cellStyle name="Normal 4 3 4 3 2 6" xfId="5914"/>
    <cellStyle name="Normal 4 3 4 3 2 7" xfId="5915"/>
    <cellStyle name="Normal 4 3 4 3 2 8" xfId="5916"/>
    <cellStyle name="Normal 4 3 4 3 3" xfId="5917"/>
    <cellStyle name="Normal 4 3 4 3 3 2" xfId="5918"/>
    <cellStyle name="Normal 4 3 4 3 3 2 2" xfId="5919"/>
    <cellStyle name="Normal 4 3 4 3 3 2 2 2" xfId="5920"/>
    <cellStyle name="Normal 4 3 4 3 3 2 2 3" xfId="5921"/>
    <cellStyle name="Normal 4 3 4 3 3 2 3" xfId="5922"/>
    <cellStyle name="Normal 4 3 4 3 3 2 4" xfId="5923"/>
    <cellStyle name="Normal 4 3 4 3 3 2 5" xfId="5924"/>
    <cellStyle name="Normal 4 3 4 3 3 3" xfId="5925"/>
    <cellStyle name="Normal 4 3 4 3 3 3 2" xfId="5926"/>
    <cellStyle name="Normal 4 3 4 3 3 3 2 2" xfId="5927"/>
    <cellStyle name="Normal 4 3 4 3 3 3 2 3" xfId="5928"/>
    <cellStyle name="Normal 4 3 4 3 3 3 3" xfId="5929"/>
    <cellStyle name="Normal 4 3 4 3 3 3 4" xfId="5930"/>
    <cellStyle name="Normal 4 3 4 3 3 3 5" xfId="5931"/>
    <cellStyle name="Normal 4 3 4 3 3 4" xfId="5932"/>
    <cellStyle name="Normal 4 3 4 3 3 4 2" xfId="5933"/>
    <cellStyle name="Normal 4 3 4 3 3 4 3" xfId="5934"/>
    <cellStyle name="Normal 4 3 4 3 3 5" xfId="5935"/>
    <cellStyle name="Normal 4 3 4 3 3 6" xfId="5936"/>
    <cellStyle name="Normal 4 3 4 3 3 7" xfId="5937"/>
    <cellStyle name="Normal 4 3 4 3 4" xfId="5938"/>
    <cellStyle name="Normal 4 3 4 3 4 2" xfId="5939"/>
    <cellStyle name="Normal 4 3 4 3 4 2 2" xfId="5940"/>
    <cellStyle name="Normal 4 3 4 3 4 2 3" xfId="5941"/>
    <cellStyle name="Normal 4 3 4 3 4 3" xfId="5942"/>
    <cellStyle name="Normal 4 3 4 3 4 4" xfId="5943"/>
    <cellStyle name="Normal 4 3 4 3 4 5" xfId="5944"/>
    <cellStyle name="Normal 4 3 4 3 5" xfId="5945"/>
    <cellStyle name="Normal 4 3 4 3 5 2" xfId="5946"/>
    <cellStyle name="Normal 4 3 4 3 5 2 2" xfId="5947"/>
    <cellStyle name="Normal 4 3 4 3 5 2 3" xfId="5948"/>
    <cellStyle name="Normal 4 3 4 3 5 3" xfId="5949"/>
    <cellStyle name="Normal 4 3 4 3 5 4" xfId="5950"/>
    <cellStyle name="Normal 4 3 4 3 5 5" xfId="5951"/>
    <cellStyle name="Normal 4 3 4 3 6" xfId="5952"/>
    <cellStyle name="Normal 4 3 4 3 6 2" xfId="5953"/>
    <cellStyle name="Normal 4 3 4 3 6 3" xfId="5954"/>
    <cellStyle name="Normal 4 3 4 3 7" xfId="5955"/>
    <cellStyle name="Normal 4 3 4 3 8" xfId="5956"/>
    <cellStyle name="Normal 4 3 4 3 9" xfId="5957"/>
    <cellStyle name="Normal 4 3 4 4" xfId="5958"/>
    <cellStyle name="Normal 4 3 4 4 2" xfId="5959"/>
    <cellStyle name="Normal 4 3 4 4 2 2" xfId="5960"/>
    <cellStyle name="Normal 4 3 4 4 2 2 2" xfId="5961"/>
    <cellStyle name="Normal 4 3 4 4 2 2 2 2" xfId="5962"/>
    <cellStyle name="Normal 4 3 4 4 2 2 2 2 2" xfId="5963"/>
    <cellStyle name="Normal 4 3 4 4 2 2 2 2 3" xfId="5964"/>
    <cellStyle name="Normal 4 3 4 4 2 2 2 3" xfId="5965"/>
    <cellStyle name="Normal 4 3 4 4 2 2 2 4" xfId="5966"/>
    <cellStyle name="Normal 4 3 4 4 2 2 2 5" xfId="5967"/>
    <cellStyle name="Normal 4 3 4 4 2 2 3" xfId="5968"/>
    <cellStyle name="Normal 4 3 4 4 2 2 3 2" xfId="5969"/>
    <cellStyle name="Normal 4 3 4 4 2 2 3 2 2" xfId="5970"/>
    <cellStyle name="Normal 4 3 4 4 2 2 3 2 3" xfId="5971"/>
    <cellStyle name="Normal 4 3 4 4 2 2 3 3" xfId="5972"/>
    <cellStyle name="Normal 4 3 4 4 2 2 3 4" xfId="5973"/>
    <cellStyle name="Normal 4 3 4 4 2 2 3 5" xfId="5974"/>
    <cellStyle name="Normal 4 3 4 4 2 2 4" xfId="5975"/>
    <cellStyle name="Normal 4 3 4 4 2 2 4 2" xfId="5976"/>
    <cellStyle name="Normal 4 3 4 4 2 2 4 3" xfId="5977"/>
    <cellStyle name="Normal 4 3 4 4 2 2 5" xfId="5978"/>
    <cellStyle name="Normal 4 3 4 4 2 2 6" xfId="5979"/>
    <cellStyle name="Normal 4 3 4 4 2 2 7" xfId="5980"/>
    <cellStyle name="Normal 4 3 4 4 2 3" xfId="5981"/>
    <cellStyle name="Normal 4 3 4 4 2 3 2" xfId="5982"/>
    <cellStyle name="Normal 4 3 4 4 2 3 2 2" xfId="5983"/>
    <cellStyle name="Normal 4 3 4 4 2 3 2 3" xfId="5984"/>
    <cellStyle name="Normal 4 3 4 4 2 3 3" xfId="5985"/>
    <cellStyle name="Normal 4 3 4 4 2 3 4" xfId="5986"/>
    <cellStyle name="Normal 4 3 4 4 2 3 5" xfId="5987"/>
    <cellStyle name="Normal 4 3 4 4 2 4" xfId="5988"/>
    <cellStyle name="Normal 4 3 4 4 2 4 2" xfId="5989"/>
    <cellStyle name="Normal 4 3 4 4 2 4 2 2" xfId="5990"/>
    <cellStyle name="Normal 4 3 4 4 2 4 2 3" xfId="5991"/>
    <cellStyle name="Normal 4 3 4 4 2 4 3" xfId="5992"/>
    <cellStyle name="Normal 4 3 4 4 2 4 4" xfId="5993"/>
    <cellStyle name="Normal 4 3 4 4 2 4 5" xfId="5994"/>
    <cellStyle name="Normal 4 3 4 4 2 5" xfId="5995"/>
    <cellStyle name="Normal 4 3 4 4 2 5 2" xfId="5996"/>
    <cellStyle name="Normal 4 3 4 4 2 5 3" xfId="5997"/>
    <cellStyle name="Normal 4 3 4 4 2 6" xfId="5998"/>
    <cellStyle name="Normal 4 3 4 4 2 7" xfId="5999"/>
    <cellStyle name="Normal 4 3 4 4 2 8" xfId="6000"/>
    <cellStyle name="Normal 4 3 4 4 3" xfId="6001"/>
    <cellStyle name="Normal 4 3 4 4 3 2" xfId="6002"/>
    <cellStyle name="Normal 4 3 4 4 3 2 2" xfId="6003"/>
    <cellStyle name="Normal 4 3 4 4 3 2 2 2" xfId="6004"/>
    <cellStyle name="Normal 4 3 4 4 3 2 2 3" xfId="6005"/>
    <cellStyle name="Normal 4 3 4 4 3 2 3" xfId="6006"/>
    <cellStyle name="Normal 4 3 4 4 3 2 4" xfId="6007"/>
    <cellStyle name="Normal 4 3 4 4 3 2 5" xfId="6008"/>
    <cellStyle name="Normal 4 3 4 4 3 3" xfId="6009"/>
    <cellStyle name="Normal 4 3 4 4 3 3 2" xfId="6010"/>
    <cellStyle name="Normal 4 3 4 4 3 3 2 2" xfId="6011"/>
    <cellStyle name="Normal 4 3 4 4 3 3 2 3" xfId="6012"/>
    <cellStyle name="Normal 4 3 4 4 3 3 3" xfId="6013"/>
    <cellStyle name="Normal 4 3 4 4 3 3 4" xfId="6014"/>
    <cellStyle name="Normal 4 3 4 4 3 3 5" xfId="6015"/>
    <cellStyle name="Normal 4 3 4 4 3 4" xfId="6016"/>
    <cellStyle name="Normal 4 3 4 4 3 4 2" xfId="6017"/>
    <cellStyle name="Normal 4 3 4 4 3 4 3" xfId="6018"/>
    <cellStyle name="Normal 4 3 4 4 3 5" xfId="6019"/>
    <cellStyle name="Normal 4 3 4 4 3 6" xfId="6020"/>
    <cellStyle name="Normal 4 3 4 4 3 7" xfId="6021"/>
    <cellStyle name="Normal 4 3 4 4 4" xfId="6022"/>
    <cellStyle name="Normal 4 3 4 4 4 2" xfId="6023"/>
    <cellStyle name="Normal 4 3 4 4 4 2 2" xfId="6024"/>
    <cellStyle name="Normal 4 3 4 4 4 2 3" xfId="6025"/>
    <cellStyle name="Normal 4 3 4 4 4 3" xfId="6026"/>
    <cellStyle name="Normal 4 3 4 4 4 4" xfId="6027"/>
    <cellStyle name="Normal 4 3 4 4 4 5" xfId="6028"/>
    <cellStyle name="Normal 4 3 4 4 5" xfId="6029"/>
    <cellStyle name="Normal 4 3 4 4 5 2" xfId="6030"/>
    <cellStyle name="Normal 4 3 4 4 5 2 2" xfId="6031"/>
    <cellStyle name="Normal 4 3 4 4 5 2 3" xfId="6032"/>
    <cellStyle name="Normal 4 3 4 4 5 3" xfId="6033"/>
    <cellStyle name="Normal 4 3 4 4 5 4" xfId="6034"/>
    <cellStyle name="Normal 4 3 4 4 5 5" xfId="6035"/>
    <cellStyle name="Normal 4 3 4 4 6" xfId="6036"/>
    <cellStyle name="Normal 4 3 4 4 6 2" xfId="6037"/>
    <cellStyle name="Normal 4 3 4 4 6 3" xfId="6038"/>
    <cellStyle name="Normal 4 3 4 4 7" xfId="6039"/>
    <cellStyle name="Normal 4 3 4 4 8" xfId="6040"/>
    <cellStyle name="Normal 4 3 4 4 9" xfId="6041"/>
    <cellStyle name="Normal 4 3 4 5" xfId="6042"/>
    <cellStyle name="Normal 4 3 4 5 2" xfId="6043"/>
    <cellStyle name="Normal 4 3 4 5 2 2" xfId="6044"/>
    <cellStyle name="Normal 4 3 4 5 2 2 2" xfId="6045"/>
    <cellStyle name="Normal 4 3 4 5 2 2 2 2" xfId="6046"/>
    <cellStyle name="Normal 4 3 4 5 2 2 2 3" xfId="6047"/>
    <cellStyle name="Normal 4 3 4 5 2 2 3" xfId="6048"/>
    <cellStyle name="Normal 4 3 4 5 2 2 4" xfId="6049"/>
    <cellStyle name="Normal 4 3 4 5 2 2 5" xfId="6050"/>
    <cellStyle name="Normal 4 3 4 5 2 3" xfId="6051"/>
    <cellStyle name="Normal 4 3 4 5 2 3 2" xfId="6052"/>
    <cellStyle name="Normal 4 3 4 5 2 3 2 2" xfId="6053"/>
    <cellStyle name="Normal 4 3 4 5 2 3 2 3" xfId="6054"/>
    <cellStyle name="Normal 4 3 4 5 2 3 3" xfId="6055"/>
    <cellStyle name="Normal 4 3 4 5 2 3 4" xfId="6056"/>
    <cellStyle name="Normal 4 3 4 5 2 3 5" xfId="6057"/>
    <cellStyle name="Normal 4 3 4 5 2 4" xfId="6058"/>
    <cellStyle name="Normal 4 3 4 5 2 4 2" xfId="6059"/>
    <cellStyle name="Normal 4 3 4 5 2 4 3" xfId="6060"/>
    <cellStyle name="Normal 4 3 4 5 2 5" xfId="6061"/>
    <cellStyle name="Normal 4 3 4 5 2 6" xfId="6062"/>
    <cellStyle name="Normal 4 3 4 5 2 7" xfId="6063"/>
    <cellStyle name="Normal 4 3 4 5 3" xfId="6064"/>
    <cellStyle name="Normal 4 3 4 5 3 2" xfId="6065"/>
    <cellStyle name="Normal 4 3 4 5 3 2 2" xfId="6066"/>
    <cellStyle name="Normal 4 3 4 5 3 2 3" xfId="6067"/>
    <cellStyle name="Normal 4 3 4 5 3 3" xfId="6068"/>
    <cellStyle name="Normal 4 3 4 5 3 4" xfId="6069"/>
    <cellStyle name="Normal 4 3 4 5 3 5" xfId="6070"/>
    <cellStyle name="Normal 4 3 4 5 4" xfId="6071"/>
    <cellStyle name="Normal 4 3 4 5 4 2" xfId="6072"/>
    <cellStyle name="Normal 4 3 4 5 4 2 2" xfId="6073"/>
    <cellStyle name="Normal 4 3 4 5 4 2 3" xfId="6074"/>
    <cellStyle name="Normal 4 3 4 5 4 3" xfId="6075"/>
    <cellStyle name="Normal 4 3 4 5 4 4" xfId="6076"/>
    <cellStyle name="Normal 4 3 4 5 4 5" xfId="6077"/>
    <cellStyle name="Normal 4 3 4 5 5" xfId="6078"/>
    <cellStyle name="Normal 4 3 4 5 5 2" xfId="6079"/>
    <cellStyle name="Normal 4 3 4 5 5 3" xfId="6080"/>
    <cellStyle name="Normal 4 3 4 5 6" xfId="6081"/>
    <cellStyle name="Normal 4 3 4 5 7" xfId="6082"/>
    <cellStyle name="Normal 4 3 4 5 8" xfId="6083"/>
    <cellStyle name="Normal 4 3 4 6" xfId="6084"/>
    <cellStyle name="Normal 4 3 4 6 2" xfId="6085"/>
    <cellStyle name="Normal 4 3 4 6 2 2" xfId="6086"/>
    <cellStyle name="Normal 4 3 4 6 2 2 2" xfId="6087"/>
    <cellStyle name="Normal 4 3 4 6 2 2 3" xfId="6088"/>
    <cellStyle name="Normal 4 3 4 6 2 3" xfId="6089"/>
    <cellStyle name="Normal 4 3 4 6 2 4" xfId="6090"/>
    <cellStyle name="Normal 4 3 4 6 2 5" xfId="6091"/>
    <cellStyle name="Normal 4 3 4 6 3" xfId="6092"/>
    <cellStyle name="Normal 4 3 4 6 3 2" xfId="6093"/>
    <cellStyle name="Normal 4 3 4 6 3 2 2" xfId="6094"/>
    <cellStyle name="Normal 4 3 4 6 3 2 3" xfId="6095"/>
    <cellStyle name="Normal 4 3 4 6 3 3" xfId="6096"/>
    <cellStyle name="Normal 4 3 4 6 3 4" xfId="6097"/>
    <cellStyle name="Normal 4 3 4 6 3 5" xfId="6098"/>
    <cellStyle name="Normal 4 3 4 6 4" xfId="6099"/>
    <cellStyle name="Normal 4 3 4 6 4 2" xfId="6100"/>
    <cellStyle name="Normal 4 3 4 6 4 3" xfId="6101"/>
    <cellStyle name="Normal 4 3 4 6 5" xfId="6102"/>
    <cellStyle name="Normal 4 3 4 6 6" xfId="6103"/>
    <cellStyle name="Normal 4 3 4 6 7" xfId="6104"/>
    <cellStyle name="Normal 4 3 4 7" xfId="6105"/>
    <cellStyle name="Normal 4 3 4 7 2" xfId="6106"/>
    <cellStyle name="Normal 4 3 4 7 2 2" xfId="6107"/>
    <cellStyle name="Normal 4 3 4 7 2 3" xfId="6108"/>
    <cellStyle name="Normal 4 3 4 7 3" xfId="6109"/>
    <cellStyle name="Normal 4 3 4 7 4" xfId="6110"/>
    <cellStyle name="Normal 4 3 4 7 5" xfId="6111"/>
    <cellStyle name="Normal 4 3 4 8" xfId="6112"/>
    <cellStyle name="Normal 4 3 4 8 2" xfId="6113"/>
    <cellStyle name="Normal 4 3 4 8 2 2" xfId="6114"/>
    <cellStyle name="Normal 4 3 4 8 2 3" xfId="6115"/>
    <cellStyle name="Normal 4 3 4 8 3" xfId="6116"/>
    <cellStyle name="Normal 4 3 4 8 4" xfId="6117"/>
    <cellStyle name="Normal 4 3 4 8 5" xfId="6118"/>
    <cellStyle name="Normal 4 3 4 9" xfId="6119"/>
    <cellStyle name="Normal 4 3 4 9 2" xfId="6120"/>
    <cellStyle name="Normal 4 3 4 9 3" xfId="6121"/>
    <cellStyle name="Normal 4 3 5" xfId="6122"/>
    <cellStyle name="Normal 4 3 5 2" xfId="6123"/>
    <cellStyle name="Normal 4 3 5 2 2" xfId="6124"/>
    <cellStyle name="Normal 4 3 5 2 2 2" xfId="6125"/>
    <cellStyle name="Normal 4 3 5 2 2 2 2" xfId="6126"/>
    <cellStyle name="Normal 4 3 5 2 2 2 2 2" xfId="6127"/>
    <cellStyle name="Normal 4 3 5 2 2 2 2 3" xfId="6128"/>
    <cellStyle name="Normal 4 3 5 2 2 2 3" xfId="6129"/>
    <cellStyle name="Normal 4 3 5 2 2 2 4" xfId="6130"/>
    <cellStyle name="Normal 4 3 5 2 2 2 5" xfId="6131"/>
    <cellStyle name="Normal 4 3 5 2 2 3" xfId="6132"/>
    <cellStyle name="Normal 4 3 5 2 2 3 2" xfId="6133"/>
    <cellStyle name="Normal 4 3 5 2 2 3 2 2" xfId="6134"/>
    <cellStyle name="Normal 4 3 5 2 2 3 2 3" xfId="6135"/>
    <cellStyle name="Normal 4 3 5 2 2 3 3" xfId="6136"/>
    <cellStyle name="Normal 4 3 5 2 2 3 4" xfId="6137"/>
    <cellStyle name="Normal 4 3 5 2 2 3 5" xfId="6138"/>
    <cellStyle name="Normal 4 3 5 2 2 4" xfId="6139"/>
    <cellStyle name="Normal 4 3 5 2 2 4 2" xfId="6140"/>
    <cellStyle name="Normal 4 3 5 2 2 4 3" xfId="6141"/>
    <cellStyle name="Normal 4 3 5 2 2 5" xfId="6142"/>
    <cellStyle name="Normal 4 3 5 2 2 6" xfId="6143"/>
    <cellStyle name="Normal 4 3 5 2 2 7" xfId="6144"/>
    <cellStyle name="Normal 4 3 5 2 3" xfId="6145"/>
    <cellStyle name="Normal 4 3 5 2 3 2" xfId="6146"/>
    <cellStyle name="Normal 4 3 5 2 3 2 2" xfId="6147"/>
    <cellStyle name="Normal 4 3 5 2 3 2 3" xfId="6148"/>
    <cellStyle name="Normal 4 3 5 2 3 3" xfId="6149"/>
    <cellStyle name="Normal 4 3 5 2 3 4" xfId="6150"/>
    <cellStyle name="Normal 4 3 5 2 3 5" xfId="6151"/>
    <cellStyle name="Normal 4 3 5 2 4" xfId="6152"/>
    <cellStyle name="Normal 4 3 5 2 4 2" xfId="6153"/>
    <cellStyle name="Normal 4 3 5 2 4 2 2" xfId="6154"/>
    <cellStyle name="Normal 4 3 5 2 4 2 3" xfId="6155"/>
    <cellStyle name="Normal 4 3 5 2 4 3" xfId="6156"/>
    <cellStyle name="Normal 4 3 5 2 4 4" xfId="6157"/>
    <cellStyle name="Normal 4 3 5 2 4 5" xfId="6158"/>
    <cellStyle name="Normal 4 3 5 2 5" xfId="6159"/>
    <cellStyle name="Normal 4 3 5 2 5 2" xfId="6160"/>
    <cellStyle name="Normal 4 3 5 2 5 3" xfId="6161"/>
    <cellStyle name="Normal 4 3 5 2 6" xfId="6162"/>
    <cellStyle name="Normal 4 3 5 2 7" xfId="6163"/>
    <cellStyle name="Normal 4 3 5 2 8" xfId="6164"/>
    <cellStyle name="Normal 4 3 5 3" xfId="6165"/>
    <cellStyle name="Normal 4 3 5 3 2" xfId="6166"/>
    <cellStyle name="Normal 4 3 5 3 2 2" xfId="6167"/>
    <cellStyle name="Normal 4 3 5 3 2 2 2" xfId="6168"/>
    <cellStyle name="Normal 4 3 5 3 2 2 3" xfId="6169"/>
    <cellStyle name="Normal 4 3 5 3 2 3" xfId="6170"/>
    <cellStyle name="Normal 4 3 5 3 2 4" xfId="6171"/>
    <cellStyle name="Normal 4 3 5 3 2 5" xfId="6172"/>
    <cellStyle name="Normal 4 3 5 3 3" xfId="6173"/>
    <cellStyle name="Normal 4 3 5 3 3 2" xfId="6174"/>
    <cellStyle name="Normal 4 3 5 3 3 2 2" xfId="6175"/>
    <cellStyle name="Normal 4 3 5 3 3 2 3" xfId="6176"/>
    <cellStyle name="Normal 4 3 5 3 3 3" xfId="6177"/>
    <cellStyle name="Normal 4 3 5 3 3 4" xfId="6178"/>
    <cellStyle name="Normal 4 3 5 3 3 5" xfId="6179"/>
    <cellStyle name="Normal 4 3 5 3 4" xfId="6180"/>
    <cellStyle name="Normal 4 3 5 3 4 2" xfId="6181"/>
    <cellStyle name="Normal 4 3 5 3 4 3" xfId="6182"/>
    <cellStyle name="Normal 4 3 5 3 5" xfId="6183"/>
    <cellStyle name="Normal 4 3 5 3 6" xfId="6184"/>
    <cellStyle name="Normal 4 3 5 3 7" xfId="6185"/>
    <cellStyle name="Normal 4 3 5 4" xfId="6186"/>
    <cellStyle name="Normal 4 3 5 4 2" xfId="6187"/>
    <cellStyle name="Normal 4 3 5 4 2 2" xfId="6188"/>
    <cellStyle name="Normal 4 3 5 4 2 3" xfId="6189"/>
    <cellStyle name="Normal 4 3 5 4 3" xfId="6190"/>
    <cellStyle name="Normal 4 3 5 4 4" xfId="6191"/>
    <cellStyle name="Normal 4 3 5 4 5" xfId="6192"/>
    <cellStyle name="Normal 4 3 5 5" xfId="6193"/>
    <cellStyle name="Normal 4 3 5 5 2" xfId="6194"/>
    <cellStyle name="Normal 4 3 5 5 2 2" xfId="6195"/>
    <cellStyle name="Normal 4 3 5 5 2 3" xfId="6196"/>
    <cellStyle name="Normal 4 3 5 5 3" xfId="6197"/>
    <cellStyle name="Normal 4 3 5 5 4" xfId="6198"/>
    <cellStyle name="Normal 4 3 5 5 5" xfId="6199"/>
    <cellStyle name="Normal 4 3 5 6" xfId="6200"/>
    <cellStyle name="Normal 4 3 5 6 2" xfId="6201"/>
    <cellStyle name="Normal 4 3 5 6 3" xfId="6202"/>
    <cellStyle name="Normal 4 3 5 7" xfId="6203"/>
    <cellStyle name="Normal 4 3 5 8" xfId="6204"/>
    <cellStyle name="Normal 4 3 5 9" xfId="6205"/>
    <cellStyle name="Normal 4 3 6" xfId="6206"/>
    <cellStyle name="Normal 4 3 6 2" xfId="6207"/>
    <cellStyle name="Normal 4 3 6 2 2" xfId="6208"/>
    <cellStyle name="Normal 4 3 6 2 2 2" xfId="6209"/>
    <cellStyle name="Normal 4 3 6 2 2 2 2" xfId="6210"/>
    <cellStyle name="Normal 4 3 6 2 2 2 2 2" xfId="6211"/>
    <cellStyle name="Normal 4 3 6 2 2 2 2 3" xfId="6212"/>
    <cellStyle name="Normal 4 3 6 2 2 2 3" xfId="6213"/>
    <cellStyle name="Normal 4 3 6 2 2 2 4" xfId="6214"/>
    <cellStyle name="Normal 4 3 6 2 2 2 5" xfId="6215"/>
    <cellStyle name="Normal 4 3 6 2 2 3" xfId="6216"/>
    <cellStyle name="Normal 4 3 6 2 2 3 2" xfId="6217"/>
    <cellStyle name="Normal 4 3 6 2 2 3 2 2" xfId="6218"/>
    <cellStyle name="Normal 4 3 6 2 2 3 2 3" xfId="6219"/>
    <cellStyle name="Normal 4 3 6 2 2 3 3" xfId="6220"/>
    <cellStyle name="Normal 4 3 6 2 2 3 4" xfId="6221"/>
    <cellStyle name="Normal 4 3 6 2 2 3 5" xfId="6222"/>
    <cellStyle name="Normal 4 3 6 2 2 4" xfId="6223"/>
    <cellStyle name="Normal 4 3 6 2 2 4 2" xfId="6224"/>
    <cellStyle name="Normal 4 3 6 2 2 4 3" xfId="6225"/>
    <cellStyle name="Normal 4 3 6 2 2 5" xfId="6226"/>
    <cellStyle name="Normal 4 3 6 2 2 6" xfId="6227"/>
    <cellStyle name="Normal 4 3 6 2 2 7" xfId="6228"/>
    <cellStyle name="Normal 4 3 6 2 3" xfId="6229"/>
    <cellStyle name="Normal 4 3 6 2 3 2" xfId="6230"/>
    <cellStyle name="Normal 4 3 6 2 3 2 2" xfId="6231"/>
    <cellStyle name="Normal 4 3 6 2 3 2 3" xfId="6232"/>
    <cellStyle name="Normal 4 3 6 2 3 3" xfId="6233"/>
    <cellStyle name="Normal 4 3 6 2 3 4" xfId="6234"/>
    <cellStyle name="Normal 4 3 6 2 3 5" xfId="6235"/>
    <cellStyle name="Normal 4 3 6 2 4" xfId="6236"/>
    <cellStyle name="Normal 4 3 6 2 4 2" xfId="6237"/>
    <cellStyle name="Normal 4 3 6 2 4 2 2" xfId="6238"/>
    <cellStyle name="Normal 4 3 6 2 4 2 3" xfId="6239"/>
    <cellStyle name="Normal 4 3 6 2 4 3" xfId="6240"/>
    <cellStyle name="Normal 4 3 6 2 4 4" xfId="6241"/>
    <cellStyle name="Normal 4 3 6 2 4 5" xfId="6242"/>
    <cellStyle name="Normal 4 3 6 2 5" xfId="6243"/>
    <cellStyle name="Normal 4 3 6 2 5 2" xfId="6244"/>
    <cellStyle name="Normal 4 3 6 2 5 3" xfId="6245"/>
    <cellStyle name="Normal 4 3 6 2 6" xfId="6246"/>
    <cellStyle name="Normal 4 3 6 2 7" xfId="6247"/>
    <cellStyle name="Normal 4 3 6 2 8" xfId="6248"/>
    <cellStyle name="Normal 4 3 6 3" xfId="6249"/>
    <cellStyle name="Normal 4 3 6 3 2" xfId="6250"/>
    <cellStyle name="Normal 4 3 6 3 2 2" xfId="6251"/>
    <cellStyle name="Normal 4 3 6 3 2 2 2" xfId="6252"/>
    <cellStyle name="Normal 4 3 6 3 2 2 3" xfId="6253"/>
    <cellStyle name="Normal 4 3 6 3 2 3" xfId="6254"/>
    <cellStyle name="Normal 4 3 6 3 2 4" xfId="6255"/>
    <cellStyle name="Normal 4 3 6 3 2 5" xfId="6256"/>
    <cellStyle name="Normal 4 3 6 3 3" xfId="6257"/>
    <cellStyle name="Normal 4 3 6 3 3 2" xfId="6258"/>
    <cellStyle name="Normal 4 3 6 3 3 2 2" xfId="6259"/>
    <cellStyle name="Normal 4 3 6 3 3 2 3" xfId="6260"/>
    <cellStyle name="Normal 4 3 6 3 3 3" xfId="6261"/>
    <cellStyle name="Normal 4 3 6 3 3 4" xfId="6262"/>
    <cellStyle name="Normal 4 3 6 3 3 5" xfId="6263"/>
    <cellStyle name="Normal 4 3 6 3 4" xfId="6264"/>
    <cellStyle name="Normal 4 3 6 3 4 2" xfId="6265"/>
    <cellStyle name="Normal 4 3 6 3 4 3" xfId="6266"/>
    <cellStyle name="Normal 4 3 6 3 5" xfId="6267"/>
    <cellStyle name="Normal 4 3 6 3 6" xfId="6268"/>
    <cellStyle name="Normal 4 3 6 3 7" xfId="6269"/>
    <cellStyle name="Normal 4 3 6 4" xfId="6270"/>
    <cellStyle name="Normal 4 3 6 4 2" xfId="6271"/>
    <cellStyle name="Normal 4 3 6 4 2 2" xfId="6272"/>
    <cellStyle name="Normal 4 3 6 4 2 3" xfId="6273"/>
    <cellStyle name="Normal 4 3 6 4 3" xfId="6274"/>
    <cellStyle name="Normal 4 3 6 4 4" xfId="6275"/>
    <cellStyle name="Normal 4 3 6 4 5" xfId="6276"/>
    <cellStyle name="Normal 4 3 6 5" xfId="6277"/>
    <cellStyle name="Normal 4 3 6 5 2" xfId="6278"/>
    <cellStyle name="Normal 4 3 6 5 2 2" xfId="6279"/>
    <cellStyle name="Normal 4 3 6 5 2 3" xfId="6280"/>
    <cellStyle name="Normal 4 3 6 5 3" xfId="6281"/>
    <cellStyle name="Normal 4 3 6 5 4" xfId="6282"/>
    <cellStyle name="Normal 4 3 6 5 5" xfId="6283"/>
    <cellStyle name="Normal 4 3 6 6" xfId="6284"/>
    <cellStyle name="Normal 4 3 6 6 2" xfId="6285"/>
    <cellStyle name="Normal 4 3 6 6 3" xfId="6286"/>
    <cellStyle name="Normal 4 3 6 7" xfId="6287"/>
    <cellStyle name="Normal 4 3 6 8" xfId="6288"/>
    <cellStyle name="Normal 4 3 6 9" xfId="6289"/>
    <cellStyle name="Normal 4 3 7" xfId="6290"/>
    <cellStyle name="Normal 4 3 7 2" xfId="6291"/>
    <cellStyle name="Normal 4 3 7 2 2" xfId="6292"/>
    <cellStyle name="Normal 4 3 7 2 2 2" xfId="6293"/>
    <cellStyle name="Normal 4 3 7 2 2 2 2" xfId="6294"/>
    <cellStyle name="Normal 4 3 7 2 2 2 2 2" xfId="6295"/>
    <cellStyle name="Normal 4 3 7 2 2 2 2 3" xfId="6296"/>
    <cellStyle name="Normal 4 3 7 2 2 2 3" xfId="6297"/>
    <cellStyle name="Normal 4 3 7 2 2 2 4" xfId="6298"/>
    <cellStyle name="Normal 4 3 7 2 2 2 5" xfId="6299"/>
    <cellStyle name="Normal 4 3 7 2 2 3" xfId="6300"/>
    <cellStyle name="Normal 4 3 7 2 2 3 2" xfId="6301"/>
    <cellStyle name="Normal 4 3 7 2 2 3 2 2" xfId="6302"/>
    <cellStyle name="Normal 4 3 7 2 2 3 2 3" xfId="6303"/>
    <cellStyle name="Normal 4 3 7 2 2 3 3" xfId="6304"/>
    <cellStyle name="Normal 4 3 7 2 2 3 4" xfId="6305"/>
    <cellStyle name="Normal 4 3 7 2 2 3 5" xfId="6306"/>
    <cellStyle name="Normal 4 3 7 2 2 4" xfId="6307"/>
    <cellStyle name="Normal 4 3 7 2 2 4 2" xfId="6308"/>
    <cellStyle name="Normal 4 3 7 2 2 4 3" xfId="6309"/>
    <cellStyle name="Normal 4 3 7 2 2 5" xfId="6310"/>
    <cellStyle name="Normal 4 3 7 2 2 6" xfId="6311"/>
    <cellStyle name="Normal 4 3 7 2 2 7" xfId="6312"/>
    <cellStyle name="Normal 4 3 7 2 3" xfId="6313"/>
    <cellStyle name="Normal 4 3 7 2 3 2" xfId="6314"/>
    <cellStyle name="Normal 4 3 7 2 3 2 2" xfId="6315"/>
    <cellStyle name="Normal 4 3 7 2 3 2 3" xfId="6316"/>
    <cellStyle name="Normal 4 3 7 2 3 3" xfId="6317"/>
    <cellStyle name="Normal 4 3 7 2 3 4" xfId="6318"/>
    <cellStyle name="Normal 4 3 7 2 3 5" xfId="6319"/>
    <cellStyle name="Normal 4 3 7 2 4" xfId="6320"/>
    <cellStyle name="Normal 4 3 7 2 4 2" xfId="6321"/>
    <cellStyle name="Normal 4 3 7 2 4 2 2" xfId="6322"/>
    <cellStyle name="Normal 4 3 7 2 4 2 3" xfId="6323"/>
    <cellStyle name="Normal 4 3 7 2 4 3" xfId="6324"/>
    <cellStyle name="Normal 4 3 7 2 4 4" xfId="6325"/>
    <cellStyle name="Normal 4 3 7 2 4 5" xfId="6326"/>
    <cellStyle name="Normal 4 3 7 2 5" xfId="6327"/>
    <cellStyle name="Normal 4 3 7 2 5 2" xfId="6328"/>
    <cellStyle name="Normal 4 3 7 2 5 3" xfId="6329"/>
    <cellStyle name="Normal 4 3 7 2 6" xfId="6330"/>
    <cellStyle name="Normal 4 3 7 2 7" xfId="6331"/>
    <cellStyle name="Normal 4 3 7 2 8" xfId="6332"/>
    <cellStyle name="Normal 4 3 7 3" xfId="6333"/>
    <cellStyle name="Normal 4 3 7 3 2" xfId="6334"/>
    <cellStyle name="Normal 4 3 7 3 2 2" xfId="6335"/>
    <cellStyle name="Normal 4 3 7 3 2 2 2" xfId="6336"/>
    <cellStyle name="Normal 4 3 7 3 2 2 3" xfId="6337"/>
    <cellStyle name="Normal 4 3 7 3 2 3" xfId="6338"/>
    <cellStyle name="Normal 4 3 7 3 2 4" xfId="6339"/>
    <cellStyle name="Normal 4 3 7 3 2 5" xfId="6340"/>
    <cellStyle name="Normal 4 3 7 3 3" xfId="6341"/>
    <cellStyle name="Normal 4 3 7 3 3 2" xfId="6342"/>
    <cellStyle name="Normal 4 3 7 3 3 2 2" xfId="6343"/>
    <cellStyle name="Normal 4 3 7 3 3 2 3" xfId="6344"/>
    <cellStyle name="Normal 4 3 7 3 3 3" xfId="6345"/>
    <cellStyle name="Normal 4 3 7 3 3 4" xfId="6346"/>
    <cellStyle name="Normal 4 3 7 3 3 5" xfId="6347"/>
    <cellStyle name="Normal 4 3 7 3 4" xfId="6348"/>
    <cellStyle name="Normal 4 3 7 3 4 2" xfId="6349"/>
    <cellStyle name="Normal 4 3 7 3 4 3" xfId="6350"/>
    <cellStyle name="Normal 4 3 7 3 5" xfId="6351"/>
    <cellStyle name="Normal 4 3 7 3 6" xfId="6352"/>
    <cellStyle name="Normal 4 3 7 3 7" xfId="6353"/>
    <cellStyle name="Normal 4 3 7 4" xfId="6354"/>
    <cellStyle name="Normal 4 3 7 4 2" xfId="6355"/>
    <cellStyle name="Normal 4 3 7 4 2 2" xfId="6356"/>
    <cellStyle name="Normal 4 3 7 4 2 3" xfId="6357"/>
    <cellStyle name="Normal 4 3 7 4 3" xfId="6358"/>
    <cellStyle name="Normal 4 3 7 4 4" xfId="6359"/>
    <cellStyle name="Normal 4 3 7 4 5" xfId="6360"/>
    <cellStyle name="Normal 4 3 7 5" xfId="6361"/>
    <cellStyle name="Normal 4 3 7 5 2" xfId="6362"/>
    <cellStyle name="Normal 4 3 7 5 2 2" xfId="6363"/>
    <cellStyle name="Normal 4 3 7 5 2 3" xfId="6364"/>
    <cellStyle name="Normal 4 3 7 5 3" xfId="6365"/>
    <cellStyle name="Normal 4 3 7 5 4" xfId="6366"/>
    <cellStyle name="Normal 4 3 7 5 5" xfId="6367"/>
    <cellStyle name="Normal 4 3 7 6" xfId="6368"/>
    <cellStyle name="Normal 4 3 7 6 2" xfId="6369"/>
    <cellStyle name="Normal 4 3 7 6 3" xfId="6370"/>
    <cellStyle name="Normal 4 3 7 7" xfId="6371"/>
    <cellStyle name="Normal 4 3 7 8" xfId="6372"/>
    <cellStyle name="Normal 4 3 7 9" xfId="6373"/>
    <cellStyle name="Normal 4 3 8" xfId="6374"/>
    <cellStyle name="Normal 4 3 8 2" xfId="6375"/>
    <cellStyle name="Normal 4 3 8 2 2" xfId="6376"/>
    <cellStyle name="Normal 4 3 8 2 2 2" xfId="6377"/>
    <cellStyle name="Normal 4 3 8 2 2 2 2" xfId="6378"/>
    <cellStyle name="Normal 4 3 8 2 2 2 3" xfId="6379"/>
    <cellStyle name="Normal 4 3 8 2 2 3" xfId="6380"/>
    <cellStyle name="Normal 4 3 8 2 2 4" xfId="6381"/>
    <cellStyle name="Normal 4 3 8 2 2 5" xfId="6382"/>
    <cellStyle name="Normal 4 3 8 2 3" xfId="6383"/>
    <cellStyle name="Normal 4 3 8 2 3 2" xfId="6384"/>
    <cellStyle name="Normal 4 3 8 2 3 2 2" xfId="6385"/>
    <cellStyle name="Normal 4 3 8 2 3 2 3" xfId="6386"/>
    <cellStyle name="Normal 4 3 8 2 3 3" xfId="6387"/>
    <cellStyle name="Normal 4 3 8 2 3 4" xfId="6388"/>
    <cellStyle name="Normal 4 3 8 2 3 5" xfId="6389"/>
    <cellStyle name="Normal 4 3 8 2 4" xfId="6390"/>
    <cellStyle name="Normal 4 3 8 2 4 2" xfId="6391"/>
    <cellStyle name="Normal 4 3 8 2 4 3" xfId="6392"/>
    <cellStyle name="Normal 4 3 8 2 5" xfId="6393"/>
    <cellStyle name="Normal 4 3 8 2 6" xfId="6394"/>
    <cellStyle name="Normal 4 3 8 2 7" xfId="6395"/>
    <cellStyle name="Normal 4 3 8 3" xfId="6396"/>
    <cellStyle name="Normal 4 3 8 3 2" xfId="6397"/>
    <cellStyle name="Normal 4 3 8 3 2 2" xfId="6398"/>
    <cellStyle name="Normal 4 3 8 3 2 3" xfId="6399"/>
    <cellStyle name="Normal 4 3 8 3 3" xfId="6400"/>
    <cellStyle name="Normal 4 3 8 3 4" xfId="6401"/>
    <cellStyle name="Normal 4 3 8 3 5" xfId="6402"/>
    <cellStyle name="Normal 4 3 8 4" xfId="6403"/>
    <cellStyle name="Normal 4 3 8 4 2" xfId="6404"/>
    <cellStyle name="Normal 4 3 8 4 2 2" xfId="6405"/>
    <cellStyle name="Normal 4 3 8 4 2 3" xfId="6406"/>
    <cellStyle name="Normal 4 3 8 4 3" xfId="6407"/>
    <cellStyle name="Normal 4 3 8 4 4" xfId="6408"/>
    <cellStyle name="Normal 4 3 8 4 5" xfId="6409"/>
    <cellStyle name="Normal 4 3 8 5" xfId="6410"/>
    <cellStyle name="Normal 4 3 8 5 2" xfId="6411"/>
    <cellStyle name="Normal 4 3 8 5 3" xfId="6412"/>
    <cellStyle name="Normal 4 3 8 6" xfId="6413"/>
    <cellStyle name="Normal 4 3 8 7" xfId="6414"/>
    <cellStyle name="Normal 4 3 8 8" xfId="6415"/>
    <cellStyle name="Normal 4 3 9" xfId="6416"/>
    <cellStyle name="Normal 4 3 9 2" xfId="6417"/>
    <cellStyle name="Normal 4 3 9 2 2" xfId="6418"/>
    <cellStyle name="Normal 4 3 9 2 2 2" xfId="6419"/>
    <cellStyle name="Normal 4 3 9 2 2 3" xfId="6420"/>
    <cellStyle name="Normal 4 3 9 2 3" xfId="6421"/>
    <cellStyle name="Normal 4 3 9 2 4" xfId="6422"/>
    <cellStyle name="Normal 4 3 9 2 5" xfId="6423"/>
    <cellStyle name="Normal 4 3 9 3" xfId="6424"/>
    <cellStyle name="Normal 4 3 9 3 2" xfId="6425"/>
    <cellStyle name="Normal 4 3 9 3 2 2" xfId="6426"/>
    <cellStyle name="Normal 4 3 9 3 2 3" xfId="6427"/>
    <cellStyle name="Normal 4 3 9 3 3" xfId="6428"/>
    <cellStyle name="Normal 4 3 9 3 4" xfId="6429"/>
    <cellStyle name="Normal 4 3 9 3 5" xfId="6430"/>
    <cellStyle name="Normal 4 3 9 4" xfId="6431"/>
    <cellStyle name="Normal 4 3 9 4 2" xfId="6432"/>
    <cellStyle name="Normal 4 3 9 4 3" xfId="6433"/>
    <cellStyle name="Normal 4 3 9 5" xfId="6434"/>
    <cellStyle name="Normal 4 3 9 6" xfId="6435"/>
    <cellStyle name="Normal 4 3 9 7" xfId="6436"/>
    <cellStyle name="Normal 4 4" xfId="601"/>
    <cellStyle name="Normal 4 4 10" xfId="6437"/>
    <cellStyle name="Normal 4 4 10 2" xfId="6438"/>
    <cellStyle name="Normal 4 4 10 2 2" xfId="6439"/>
    <cellStyle name="Normal 4 4 10 2 3" xfId="6440"/>
    <cellStyle name="Normal 4 4 10 3" xfId="6441"/>
    <cellStyle name="Normal 4 4 10 4" xfId="6442"/>
    <cellStyle name="Normal 4 4 10 5" xfId="6443"/>
    <cellStyle name="Normal 4 4 11" xfId="6444"/>
    <cellStyle name="Normal 4 4 11 2" xfId="6445"/>
    <cellStyle name="Normal 4 4 11 3" xfId="6446"/>
    <cellStyle name="Normal 4 4 12" xfId="6447"/>
    <cellStyle name="Normal 4 4 13" xfId="6448"/>
    <cellStyle name="Normal 4 4 14" xfId="6449"/>
    <cellStyle name="Normal 4 4 2" xfId="6450"/>
    <cellStyle name="Normal 4 4 2 10" xfId="6451"/>
    <cellStyle name="Normal 4 4 2 10 2" xfId="6452"/>
    <cellStyle name="Normal 4 4 2 10 3" xfId="6453"/>
    <cellStyle name="Normal 4 4 2 11" xfId="6454"/>
    <cellStyle name="Normal 4 4 2 12" xfId="6455"/>
    <cellStyle name="Normal 4 4 2 13" xfId="6456"/>
    <cellStyle name="Normal 4 4 2 2" xfId="6457"/>
    <cellStyle name="Normal 4 4 2 2 2" xfId="6458"/>
    <cellStyle name="Normal 4 4 2 2 2 2" xfId="6459"/>
    <cellStyle name="Normal 4 4 2 2 2 2 2" xfId="6460"/>
    <cellStyle name="Normal 4 4 2 2 2 2 2 2" xfId="6461"/>
    <cellStyle name="Normal 4 4 2 2 2 2 2 2 2" xfId="6462"/>
    <cellStyle name="Normal 4 4 2 2 2 2 2 2 3" xfId="6463"/>
    <cellStyle name="Normal 4 4 2 2 2 2 2 3" xfId="6464"/>
    <cellStyle name="Normal 4 4 2 2 2 2 2 4" xfId="6465"/>
    <cellStyle name="Normal 4 4 2 2 2 2 2 5" xfId="6466"/>
    <cellStyle name="Normal 4 4 2 2 2 2 3" xfId="6467"/>
    <cellStyle name="Normal 4 4 2 2 2 2 3 2" xfId="6468"/>
    <cellStyle name="Normal 4 4 2 2 2 2 3 2 2" xfId="6469"/>
    <cellStyle name="Normal 4 4 2 2 2 2 3 2 3" xfId="6470"/>
    <cellStyle name="Normal 4 4 2 2 2 2 3 3" xfId="6471"/>
    <cellStyle name="Normal 4 4 2 2 2 2 3 4" xfId="6472"/>
    <cellStyle name="Normal 4 4 2 2 2 2 3 5" xfId="6473"/>
    <cellStyle name="Normal 4 4 2 2 2 2 4" xfId="6474"/>
    <cellStyle name="Normal 4 4 2 2 2 2 4 2" xfId="6475"/>
    <cellStyle name="Normal 4 4 2 2 2 2 4 3" xfId="6476"/>
    <cellStyle name="Normal 4 4 2 2 2 2 5" xfId="6477"/>
    <cellStyle name="Normal 4 4 2 2 2 2 6" xfId="6478"/>
    <cellStyle name="Normal 4 4 2 2 2 2 7" xfId="6479"/>
    <cellStyle name="Normal 4 4 2 2 2 3" xfId="6480"/>
    <cellStyle name="Normal 4 4 2 2 2 3 2" xfId="6481"/>
    <cellStyle name="Normal 4 4 2 2 2 3 2 2" xfId="6482"/>
    <cellStyle name="Normal 4 4 2 2 2 3 2 3" xfId="6483"/>
    <cellStyle name="Normal 4 4 2 2 2 3 3" xfId="6484"/>
    <cellStyle name="Normal 4 4 2 2 2 3 4" xfId="6485"/>
    <cellStyle name="Normal 4 4 2 2 2 3 5" xfId="6486"/>
    <cellStyle name="Normal 4 4 2 2 2 4" xfId="6487"/>
    <cellStyle name="Normal 4 4 2 2 2 4 2" xfId="6488"/>
    <cellStyle name="Normal 4 4 2 2 2 4 2 2" xfId="6489"/>
    <cellStyle name="Normal 4 4 2 2 2 4 2 3" xfId="6490"/>
    <cellStyle name="Normal 4 4 2 2 2 4 3" xfId="6491"/>
    <cellStyle name="Normal 4 4 2 2 2 4 4" xfId="6492"/>
    <cellStyle name="Normal 4 4 2 2 2 4 5" xfId="6493"/>
    <cellStyle name="Normal 4 4 2 2 2 5" xfId="6494"/>
    <cellStyle name="Normal 4 4 2 2 2 5 2" xfId="6495"/>
    <cellStyle name="Normal 4 4 2 2 2 5 3" xfId="6496"/>
    <cellStyle name="Normal 4 4 2 2 2 6" xfId="6497"/>
    <cellStyle name="Normal 4 4 2 2 2 7" xfId="6498"/>
    <cellStyle name="Normal 4 4 2 2 2 8" xfId="6499"/>
    <cellStyle name="Normal 4 4 2 2 3" xfId="6500"/>
    <cellStyle name="Normal 4 4 2 2 3 2" xfId="6501"/>
    <cellStyle name="Normal 4 4 2 2 3 2 2" xfId="6502"/>
    <cellStyle name="Normal 4 4 2 2 3 2 2 2" xfId="6503"/>
    <cellStyle name="Normal 4 4 2 2 3 2 2 3" xfId="6504"/>
    <cellStyle name="Normal 4 4 2 2 3 2 3" xfId="6505"/>
    <cellStyle name="Normal 4 4 2 2 3 2 4" xfId="6506"/>
    <cellStyle name="Normal 4 4 2 2 3 2 5" xfId="6507"/>
    <cellStyle name="Normal 4 4 2 2 3 3" xfId="6508"/>
    <cellStyle name="Normal 4 4 2 2 3 3 2" xfId="6509"/>
    <cellStyle name="Normal 4 4 2 2 3 3 2 2" xfId="6510"/>
    <cellStyle name="Normal 4 4 2 2 3 3 2 3" xfId="6511"/>
    <cellStyle name="Normal 4 4 2 2 3 3 3" xfId="6512"/>
    <cellStyle name="Normal 4 4 2 2 3 3 4" xfId="6513"/>
    <cellStyle name="Normal 4 4 2 2 3 3 5" xfId="6514"/>
    <cellStyle name="Normal 4 4 2 2 3 4" xfId="6515"/>
    <cellStyle name="Normal 4 4 2 2 3 4 2" xfId="6516"/>
    <cellStyle name="Normal 4 4 2 2 3 4 3" xfId="6517"/>
    <cellStyle name="Normal 4 4 2 2 3 5" xfId="6518"/>
    <cellStyle name="Normal 4 4 2 2 3 6" xfId="6519"/>
    <cellStyle name="Normal 4 4 2 2 3 7" xfId="6520"/>
    <cellStyle name="Normal 4 4 2 2 4" xfId="6521"/>
    <cellStyle name="Normal 4 4 2 2 4 2" xfId="6522"/>
    <cellStyle name="Normal 4 4 2 2 4 2 2" xfId="6523"/>
    <cellStyle name="Normal 4 4 2 2 4 2 3" xfId="6524"/>
    <cellStyle name="Normal 4 4 2 2 4 3" xfId="6525"/>
    <cellStyle name="Normal 4 4 2 2 4 4" xfId="6526"/>
    <cellStyle name="Normal 4 4 2 2 4 5" xfId="6527"/>
    <cellStyle name="Normal 4 4 2 2 5" xfId="6528"/>
    <cellStyle name="Normal 4 4 2 2 5 2" xfId="6529"/>
    <cellStyle name="Normal 4 4 2 2 5 2 2" xfId="6530"/>
    <cellStyle name="Normal 4 4 2 2 5 2 3" xfId="6531"/>
    <cellStyle name="Normal 4 4 2 2 5 3" xfId="6532"/>
    <cellStyle name="Normal 4 4 2 2 5 4" xfId="6533"/>
    <cellStyle name="Normal 4 4 2 2 5 5" xfId="6534"/>
    <cellStyle name="Normal 4 4 2 2 6" xfId="6535"/>
    <cellStyle name="Normal 4 4 2 2 6 2" xfId="6536"/>
    <cellStyle name="Normal 4 4 2 2 6 3" xfId="6537"/>
    <cellStyle name="Normal 4 4 2 2 7" xfId="6538"/>
    <cellStyle name="Normal 4 4 2 2 8" xfId="6539"/>
    <cellStyle name="Normal 4 4 2 2 9" xfId="6540"/>
    <cellStyle name="Normal 4 4 2 3" xfId="6541"/>
    <cellStyle name="Normal 4 4 2 3 2" xfId="6542"/>
    <cellStyle name="Normal 4 4 2 3 2 2" xfId="6543"/>
    <cellStyle name="Normal 4 4 2 3 2 2 2" xfId="6544"/>
    <cellStyle name="Normal 4 4 2 3 2 2 2 2" xfId="6545"/>
    <cellStyle name="Normal 4 4 2 3 2 2 2 2 2" xfId="6546"/>
    <cellStyle name="Normal 4 4 2 3 2 2 2 2 3" xfId="6547"/>
    <cellStyle name="Normal 4 4 2 3 2 2 2 3" xfId="6548"/>
    <cellStyle name="Normal 4 4 2 3 2 2 2 4" xfId="6549"/>
    <cellStyle name="Normal 4 4 2 3 2 2 2 5" xfId="6550"/>
    <cellStyle name="Normal 4 4 2 3 2 2 3" xfId="6551"/>
    <cellStyle name="Normal 4 4 2 3 2 2 3 2" xfId="6552"/>
    <cellStyle name="Normal 4 4 2 3 2 2 3 2 2" xfId="6553"/>
    <cellStyle name="Normal 4 4 2 3 2 2 3 2 3" xfId="6554"/>
    <cellStyle name="Normal 4 4 2 3 2 2 3 3" xfId="6555"/>
    <cellStyle name="Normal 4 4 2 3 2 2 3 4" xfId="6556"/>
    <cellStyle name="Normal 4 4 2 3 2 2 3 5" xfId="6557"/>
    <cellStyle name="Normal 4 4 2 3 2 2 4" xfId="6558"/>
    <cellStyle name="Normal 4 4 2 3 2 2 4 2" xfId="6559"/>
    <cellStyle name="Normal 4 4 2 3 2 2 4 3" xfId="6560"/>
    <cellStyle name="Normal 4 4 2 3 2 2 5" xfId="6561"/>
    <cellStyle name="Normal 4 4 2 3 2 2 6" xfId="6562"/>
    <cellStyle name="Normal 4 4 2 3 2 2 7" xfId="6563"/>
    <cellStyle name="Normal 4 4 2 3 2 3" xfId="6564"/>
    <cellStyle name="Normal 4 4 2 3 2 3 2" xfId="6565"/>
    <cellStyle name="Normal 4 4 2 3 2 3 2 2" xfId="6566"/>
    <cellStyle name="Normal 4 4 2 3 2 3 2 3" xfId="6567"/>
    <cellStyle name="Normal 4 4 2 3 2 3 3" xfId="6568"/>
    <cellStyle name="Normal 4 4 2 3 2 3 4" xfId="6569"/>
    <cellStyle name="Normal 4 4 2 3 2 3 5" xfId="6570"/>
    <cellStyle name="Normal 4 4 2 3 2 4" xfId="6571"/>
    <cellStyle name="Normal 4 4 2 3 2 4 2" xfId="6572"/>
    <cellStyle name="Normal 4 4 2 3 2 4 2 2" xfId="6573"/>
    <cellStyle name="Normal 4 4 2 3 2 4 2 3" xfId="6574"/>
    <cellStyle name="Normal 4 4 2 3 2 4 3" xfId="6575"/>
    <cellStyle name="Normal 4 4 2 3 2 4 4" xfId="6576"/>
    <cellStyle name="Normal 4 4 2 3 2 4 5" xfId="6577"/>
    <cellStyle name="Normal 4 4 2 3 2 5" xfId="6578"/>
    <cellStyle name="Normal 4 4 2 3 2 5 2" xfId="6579"/>
    <cellStyle name="Normal 4 4 2 3 2 5 3" xfId="6580"/>
    <cellStyle name="Normal 4 4 2 3 2 6" xfId="6581"/>
    <cellStyle name="Normal 4 4 2 3 2 7" xfId="6582"/>
    <cellStyle name="Normal 4 4 2 3 2 8" xfId="6583"/>
    <cellStyle name="Normal 4 4 2 3 3" xfId="6584"/>
    <cellStyle name="Normal 4 4 2 3 3 2" xfId="6585"/>
    <cellStyle name="Normal 4 4 2 3 3 2 2" xfId="6586"/>
    <cellStyle name="Normal 4 4 2 3 3 2 2 2" xfId="6587"/>
    <cellStyle name="Normal 4 4 2 3 3 2 2 3" xfId="6588"/>
    <cellStyle name="Normal 4 4 2 3 3 2 3" xfId="6589"/>
    <cellStyle name="Normal 4 4 2 3 3 2 4" xfId="6590"/>
    <cellStyle name="Normal 4 4 2 3 3 2 5" xfId="6591"/>
    <cellStyle name="Normal 4 4 2 3 3 3" xfId="6592"/>
    <cellStyle name="Normal 4 4 2 3 3 3 2" xfId="6593"/>
    <cellStyle name="Normal 4 4 2 3 3 3 2 2" xfId="6594"/>
    <cellStyle name="Normal 4 4 2 3 3 3 2 3" xfId="6595"/>
    <cellStyle name="Normal 4 4 2 3 3 3 3" xfId="6596"/>
    <cellStyle name="Normal 4 4 2 3 3 3 4" xfId="6597"/>
    <cellStyle name="Normal 4 4 2 3 3 3 5" xfId="6598"/>
    <cellStyle name="Normal 4 4 2 3 3 4" xfId="6599"/>
    <cellStyle name="Normal 4 4 2 3 3 4 2" xfId="6600"/>
    <cellStyle name="Normal 4 4 2 3 3 4 3" xfId="6601"/>
    <cellStyle name="Normal 4 4 2 3 3 5" xfId="6602"/>
    <cellStyle name="Normal 4 4 2 3 3 6" xfId="6603"/>
    <cellStyle name="Normal 4 4 2 3 3 7" xfId="6604"/>
    <cellStyle name="Normal 4 4 2 3 4" xfId="6605"/>
    <cellStyle name="Normal 4 4 2 3 4 2" xfId="6606"/>
    <cellStyle name="Normal 4 4 2 3 4 2 2" xfId="6607"/>
    <cellStyle name="Normal 4 4 2 3 4 2 3" xfId="6608"/>
    <cellStyle name="Normal 4 4 2 3 4 3" xfId="6609"/>
    <cellStyle name="Normal 4 4 2 3 4 4" xfId="6610"/>
    <cellStyle name="Normal 4 4 2 3 4 5" xfId="6611"/>
    <cellStyle name="Normal 4 4 2 3 5" xfId="6612"/>
    <cellStyle name="Normal 4 4 2 3 5 2" xfId="6613"/>
    <cellStyle name="Normal 4 4 2 3 5 2 2" xfId="6614"/>
    <cellStyle name="Normal 4 4 2 3 5 2 3" xfId="6615"/>
    <cellStyle name="Normal 4 4 2 3 5 3" xfId="6616"/>
    <cellStyle name="Normal 4 4 2 3 5 4" xfId="6617"/>
    <cellStyle name="Normal 4 4 2 3 5 5" xfId="6618"/>
    <cellStyle name="Normal 4 4 2 3 6" xfId="6619"/>
    <cellStyle name="Normal 4 4 2 3 6 2" xfId="6620"/>
    <cellStyle name="Normal 4 4 2 3 6 3" xfId="6621"/>
    <cellStyle name="Normal 4 4 2 3 7" xfId="6622"/>
    <cellStyle name="Normal 4 4 2 3 8" xfId="6623"/>
    <cellStyle name="Normal 4 4 2 3 9" xfId="6624"/>
    <cellStyle name="Normal 4 4 2 4" xfId="6625"/>
    <cellStyle name="Normal 4 4 2 4 2" xfId="6626"/>
    <cellStyle name="Normal 4 4 2 4 2 2" xfId="6627"/>
    <cellStyle name="Normal 4 4 2 4 2 2 2" xfId="6628"/>
    <cellStyle name="Normal 4 4 2 4 2 2 2 2" xfId="6629"/>
    <cellStyle name="Normal 4 4 2 4 2 2 2 2 2" xfId="6630"/>
    <cellStyle name="Normal 4 4 2 4 2 2 2 2 3" xfId="6631"/>
    <cellStyle name="Normal 4 4 2 4 2 2 2 3" xfId="6632"/>
    <cellStyle name="Normal 4 4 2 4 2 2 2 4" xfId="6633"/>
    <cellStyle name="Normal 4 4 2 4 2 2 2 5" xfId="6634"/>
    <cellStyle name="Normal 4 4 2 4 2 2 3" xfId="6635"/>
    <cellStyle name="Normal 4 4 2 4 2 2 3 2" xfId="6636"/>
    <cellStyle name="Normal 4 4 2 4 2 2 3 2 2" xfId="6637"/>
    <cellStyle name="Normal 4 4 2 4 2 2 3 2 3" xfId="6638"/>
    <cellStyle name="Normal 4 4 2 4 2 2 3 3" xfId="6639"/>
    <cellStyle name="Normal 4 4 2 4 2 2 3 4" xfId="6640"/>
    <cellStyle name="Normal 4 4 2 4 2 2 3 5" xfId="6641"/>
    <cellStyle name="Normal 4 4 2 4 2 2 4" xfId="6642"/>
    <cellStyle name="Normal 4 4 2 4 2 2 4 2" xfId="6643"/>
    <cellStyle name="Normal 4 4 2 4 2 2 4 3" xfId="6644"/>
    <cellStyle name="Normal 4 4 2 4 2 2 5" xfId="6645"/>
    <cellStyle name="Normal 4 4 2 4 2 2 6" xfId="6646"/>
    <cellStyle name="Normal 4 4 2 4 2 2 7" xfId="6647"/>
    <cellStyle name="Normal 4 4 2 4 2 3" xfId="6648"/>
    <cellStyle name="Normal 4 4 2 4 2 3 2" xfId="6649"/>
    <cellStyle name="Normal 4 4 2 4 2 3 2 2" xfId="6650"/>
    <cellStyle name="Normal 4 4 2 4 2 3 2 3" xfId="6651"/>
    <cellStyle name="Normal 4 4 2 4 2 3 3" xfId="6652"/>
    <cellStyle name="Normal 4 4 2 4 2 3 4" xfId="6653"/>
    <cellStyle name="Normal 4 4 2 4 2 3 5" xfId="6654"/>
    <cellStyle name="Normal 4 4 2 4 2 4" xfId="6655"/>
    <cellStyle name="Normal 4 4 2 4 2 4 2" xfId="6656"/>
    <cellStyle name="Normal 4 4 2 4 2 4 2 2" xfId="6657"/>
    <cellStyle name="Normal 4 4 2 4 2 4 2 3" xfId="6658"/>
    <cellStyle name="Normal 4 4 2 4 2 4 3" xfId="6659"/>
    <cellStyle name="Normal 4 4 2 4 2 4 4" xfId="6660"/>
    <cellStyle name="Normal 4 4 2 4 2 4 5" xfId="6661"/>
    <cellStyle name="Normal 4 4 2 4 2 5" xfId="6662"/>
    <cellStyle name="Normal 4 4 2 4 2 5 2" xfId="6663"/>
    <cellStyle name="Normal 4 4 2 4 2 5 3" xfId="6664"/>
    <cellStyle name="Normal 4 4 2 4 2 6" xfId="6665"/>
    <cellStyle name="Normal 4 4 2 4 2 7" xfId="6666"/>
    <cellStyle name="Normal 4 4 2 4 2 8" xfId="6667"/>
    <cellStyle name="Normal 4 4 2 4 3" xfId="6668"/>
    <cellStyle name="Normal 4 4 2 4 3 2" xfId="6669"/>
    <cellStyle name="Normal 4 4 2 4 3 2 2" xfId="6670"/>
    <cellStyle name="Normal 4 4 2 4 3 2 2 2" xfId="6671"/>
    <cellStyle name="Normal 4 4 2 4 3 2 2 3" xfId="6672"/>
    <cellStyle name="Normal 4 4 2 4 3 2 3" xfId="6673"/>
    <cellStyle name="Normal 4 4 2 4 3 2 4" xfId="6674"/>
    <cellStyle name="Normal 4 4 2 4 3 2 5" xfId="6675"/>
    <cellStyle name="Normal 4 4 2 4 3 3" xfId="6676"/>
    <cellStyle name="Normal 4 4 2 4 3 3 2" xfId="6677"/>
    <cellStyle name="Normal 4 4 2 4 3 3 2 2" xfId="6678"/>
    <cellStyle name="Normal 4 4 2 4 3 3 2 3" xfId="6679"/>
    <cellStyle name="Normal 4 4 2 4 3 3 3" xfId="6680"/>
    <cellStyle name="Normal 4 4 2 4 3 3 4" xfId="6681"/>
    <cellStyle name="Normal 4 4 2 4 3 3 5" xfId="6682"/>
    <cellStyle name="Normal 4 4 2 4 3 4" xfId="6683"/>
    <cellStyle name="Normal 4 4 2 4 3 4 2" xfId="6684"/>
    <cellStyle name="Normal 4 4 2 4 3 4 3" xfId="6685"/>
    <cellStyle name="Normal 4 4 2 4 3 5" xfId="6686"/>
    <cellStyle name="Normal 4 4 2 4 3 6" xfId="6687"/>
    <cellStyle name="Normal 4 4 2 4 3 7" xfId="6688"/>
    <cellStyle name="Normal 4 4 2 4 4" xfId="6689"/>
    <cellStyle name="Normal 4 4 2 4 4 2" xfId="6690"/>
    <cellStyle name="Normal 4 4 2 4 4 2 2" xfId="6691"/>
    <cellStyle name="Normal 4 4 2 4 4 2 3" xfId="6692"/>
    <cellStyle name="Normal 4 4 2 4 4 3" xfId="6693"/>
    <cellStyle name="Normal 4 4 2 4 4 4" xfId="6694"/>
    <cellStyle name="Normal 4 4 2 4 4 5" xfId="6695"/>
    <cellStyle name="Normal 4 4 2 4 5" xfId="6696"/>
    <cellStyle name="Normal 4 4 2 4 5 2" xfId="6697"/>
    <cellStyle name="Normal 4 4 2 4 5 2 2" xfId="6698"/>
    <cellStyle name="Normal 4 4 2 4 5 2 3" xfId="6699"/>
    <cellStyle name="Normal 4 4 2 4 5 3" xfId="6700"/>
    <cellStyle name="Normal 4 4 2 4 5 4" xfId="6701"/>
    <cellStyle name="Normal 4 4 2 4 5 5" xfId="6702"/>
    <cellStyle name="Normal 4 4 2 4 6" xfId="6703"/>
    <cellStyle name="Normal 4 4 2 4 6 2" xfId="6704"/>
    <cellStyle name="Normal 4 4 2 4 6 3" xfId="6705"/>
    <cellStyle name="Normal 4 4 2 4 7" xfId="6706"/>
    <cellStyle name="Normal 4 4 2 4 8" xfId="6707"/>
    <cellStyle name="Normal 4 4 2 4 9" xfId="6708"/>
    <cellStyle name="Normal 4 4 2 5" xfId="6709"/>
    <cellStyle name="Normal 4 4 2 5 2" xfId="6710"/>
    <cellStyle name="Normal 4 4 2 5 2 2" xfId="6711"/>
    <cellStyle name="Normal 4 4 2 5 2 2 2" xfId="6712"/>
    <cellStyle name="Normal 4 4 2 5 2 2 2 2" xfId="6713"/>
    <cellStyle name="Normal 4 4 2 5 2 2 2 3" xfId="6714"/>
    <cellStyle name="Normal 4 4 2 5 2 2 3" xfId="6715"/>
    <cellStyle name="Normal 4 4 2 5 2 2 4" xfId="6716"/>
    <cellStyle name="Normal 4 4 2 5 2 2 5" xfId="6717"/>
    <cellStyle name="Normal 4 4 2 5 2 3" xfId="6718"/>
    <cellStyle name="Normal 4 4 2 5 2 3 2" xfId="6719"/>
    <cellStyle name="Normal 4 4 2 5 2 3 2 2" xfId="6720"/>
    <cellStyle name="Normal 4 4 2 5 2 3 2 3" xfId="6721"/>
    <cellStyle name="Normal 4 4 2 5 2 3 3" xfId="6722"/>
    <cellStyle name="Normal 4 4 2 5 2 3 4" xfId="6723"/>
    <cellStyle name="Normal 4 4 2 5 2 3 5" xfId="6724"/>
    <cellStyle name="Normal 4 4 2 5 2 4" xfId="6725"/>
    <cellStyle name="Normal 4 4 2 5 2 4 2" xfId="6726"/>
    <cellStyle name="Normal 4 4 2 5 2 4 3" xfId="6727"/>
    <cellStyle name="Normal 4 4 2 5 2 5" xfId="6728"/>
    <cellStyle name="Normal 4 4 2 5 2 6" xfId="6729"/>
    <cellStyle name="Normal 4 4 2 5 2 7" xfId="6730"/>
    <cellStyle name="Normal 4 4 2 5 3" xfId="6731"/>
    <cellStyle name="Normal 4 4 2 5 3 2" xfId="6732"/>
    <cellStyle name="Normal 4 4 2 5 3 2 2" xfId="6733"/>
    <cellStyle name="Normal 4 4 2 5 3 2 3" xfId="6734"/>
    <cellStyle name="Normal 4 4 2 5 3 3" xfId="6735"/>
    <cellStyle name="Normal 4 4 2 5 3 4" xfId="6736"/>
    <cellStyle name="Normal 4 4 2 5 3 5" xfId="6737"/>
    <cellStyle name="Normal 4 4 2 5 4" xfId="6738"/>
    <cellStyle name="Normal 4 4 2 5 4 2" xfId="6739"/>
    <cellStyle name="Normal 4 4 2 5 4 2 2" xfId="6740"/>
    <cellStyle name="Normal 4 4 2 5 4 2 3" xfId="6741"/>
    <cellStyle name="Normal 4 4 2 5 4 3" xfId="6742"/>
    <cellStyle name="Normal 4 4 2 5 4 4" xfId="6743"/>
    <cellStyle name="Normal 4 4 2 5 4 5" xfId="6744"/>
    <cellStyle name="Normal 4 4 2 5 5" xfId="6745"/>
    <cellStyle name="Normal 4 4 2 5 5 2" xfId="6746"/>
    <cellStyle name="Normal 4 4 2 5 5 3" xfId="6747"/>
    <cellStyle name="Normal 4 4 2 5 6" xfId="6748"/>
    <cellStyle name="Normal 4 4 2 5 7" xfId="6749"/>
    <cellStyle name="Normal 4 4 2 5 8" xfId="6750"/>
    <cellStyle name="Normal 4 4 2 6" xfId="6751"/>
    <cellStyle name="Normal 4 4 2 6 2" xfId="6752"/>
    <cellStyle name="Normal 4 4 2 6 2 2" xfId="6753"/>
    <cellStyle name="Normal 4 4 2 6 2 2 2" xfId="6754"/>
    <cellStyle name="Normal 4 4 2 6 2 2 3" xfId="6755"/>
    <cellStyle name="Normal 4 4 2 6 2 3" xfId="6756"/>
    <cellStyle name="Normal 4 4 2 6 2 4" xfId="6757"/>
    <cellStyle name="Normal 4 4 2 6 2 5" xfId="6758"/>
    <cellStyle name="Normal 4 4 2 6 3" xfId="6759"/>
    <cellStyle name="Normal 4 4 2 6 3 2" xfId="6760"/>
    <cellStyle name="Normal 4 4 2 6 3 2 2" xfId="6761"/>
    <cellStyle name="Normal 4 4 2 6 3 2 3" xfId="6762"/>
    <cellStyle name="Normal 4 4 2 6 3 3" xfId="6763"/>
    <cellStyle name="Normal 4 4 2 6 3 4" xfId="6764"/>
    <cellStyle name="Normal 4 4 2 6 3 5" xfId="6765"/>
    <cellStyle name="Normal 4 4 2 6 4" xfId="6766"/>
    <cellStyle name="Normal 4 4 2 6 4 2" xfId="6767"/>
    <cellStyle name="Normal 4 4 2 6 4 3" xfId="6768"/>
    <cellStyle name="Normal 4 4 2 6 5" xfId="6769"/>
    <cellStyle name="Normal 4 4 2 6 6" xfId="6770"/>
    <cellStyle name="Normal 4 4 2 6 7" xfId="6771"/>
    <cellStyle name="Normal 4 4 2 7" xfId="6772"/>
    <cellStyle name="Normal 4 4 2 7 2" xfId="6773"/>
    <cellStyle name="Normal 4 4 2 7 2 2" xfId="6774"/>
    <cellStyle name="Normal 4 4 2 7 2 2 2" xfId="6775"/>
    <cellStyle name="Normal 4 4 2 7 2 2 3" xfId="6776"/>
    <cellStyle name="Normal 4 4 2 7 2 3" xfId="6777"/>
    <cellStyle name="Normal 4 4 2 7 2 4" xfId="6778"/>
    <cellStyle name="Normal 4 4 2 7 2 5" xfId="6779"/>
    <cellStyle name="Normal 4 4 2 7 3" xfId="6780"/>
    <cellStyle name="Normal 4 4 2 7 3 2" xfId="6781"/>
    <cellStyle name="Normal 4 4 2 7 3 2 2" xfId="6782"/>
    <cellStyle name="Normal 4 4 2 7 3 2 3" xfId="6783"/>
    <cellStyle name="Normal 4 4 2 7 3 3" xfId="6784"/>
    <cellStyle name="Normal 4 4 2 7 3 4" xfId="6785"/>
    <cellStyle name="Normal 4 4 2 7 3 5" xfId="6786"/>
    <cellStyle name="Normal 4 4 2 7 4" xfId="6787"/>
    <cellStyle name="Normal 4 4 2 7 4 2" xfId="6788"/>
    <cellStyle name="Normal 4 4 2 7 4 3" xfId="6789"/>
    <cellStyle name="Normal 4 4 2 7 5" xfId="6790"/>
    <cellStyle name="Normal 4 4 2 7 6" xfId="6791"/>
    <cellStyle name="Normal 4 4 2 7 7" xfId="6792"/>
    <cellStyle name="Normal 4 4 2 8" xfId="6793"/>
    <cellStyle name="Normal 4 4 2 8 2" xfId="6794"/>
    <cellStyle name="Normal 4 4 2 8 2 2" xfId="6795"/>
    <cellStyle name="Normal 4 4 2 8 2 3" xfId="6796"/>
    <cellStyle name="Normal 4 4 2 8 3" xfId="6797"/>
    <cellStyle name="Normal 4 4 2 8 4" xfId="6798"/>
    <cellStyle name="Normal 4 4 2 8 5" xfId="6799"/>
    <cellStyle name="Normal 4 4 2 9" xfId="6800"/>
    <cellStyle name="Normal 4 4 2 9 2" xfId="6801"/>
    <cellStyle name="Normal 4 4 2 9 2 2" xfId="6802"/>
    <cellStyle name="Normal 4 4 2 9 2 3" xfId="6803"/>
    <cellStyle name="Normal 4 4 2 9 3" xfId="6804"/>
    <cellStyle name="Normal 4 4 2 9 4" xfId="6805"/>
    <cellStyle name="Normal 4 4 2 9 5" xfId="6806"/>
    <cellStyle name="Normal 4 4 3" xfId="6807"/>
    <cellStyle name="Normal 4 4 3 2" xfId="6808"/>
    <cellStyle name="Normal 4 4 3 2 2" xfId="6809"/>
    <cellStyle name="Normal 4 4 3 2 2 2" xfId="6810"/>
    <cellStyle name="Normal 4 4 3 2 2 2 2" xfId="6811"/>
    <cellStyle name="Normal 4 4 3 2 2 2 2 2" xfId="6812"/>
    <cellStyle name="Normal 4 4 3 2 2 2 2 3" xfId="6813"/>
    <cellStyle name="Normal 4 4 3 2 2 2 3" xfId="6814"/>
    <cellStyle name="Normal 4 4 3 2 2 2 4" xfId="6815"/>
    <cellStyle name="Normal 4 4 3 2 2 2 5" xfId="6816"/>
    <cellStyle name="Normal 4 4 3 2 2 3" xfId="6817"/>
    <cellStyle name="Normal 4 4 3 2 2 3 2" xfId="6818"/>
    <cellStyle name="Normal 4 4 3 2 2 3 2 2" xfId="6819"/>
    <cellStyle name="Normal 4 4 3 2 2 3 2 3" xfId="6820"/>
    <cellStyle name="Normal 4 4 3 2 2 3 3" xfId="6821"/>
    <cellStyle name="Normal 4 4 3 2 2 3 4" xfId="6822"/>
    <cellStyle name="Normal 4 4 3 2 2 3 5" xfId="6823"/>
    <cellStyle name="Normal 4 4 3 2 2 4" xfId="6824"/>
    <cellStyle name="Normal 4 4 3 2 2 4 2" xfId="6825"/>
    <cellStyle name="Normal 4 4 3 2 2 4 3" xfId="6826"/>
    <cellStyle name="Normal 4 4 3 2 2 5" xfId="6827"/>
    <cellStyle name="Normal 4 4 3 2 2 6" xfId="6828"/>
    <cellStyle name="Normal 4 4 3 2 2 7" xfId="6829"/>
    <cellStyle name="Normal 4 4 3 2 3" xfId="6830"/>
    <cellStyle name="Normal 4 4 3 2 3 2" xfId="6831"/>
    <cellStyle name="Normal 4 4 3 2 3 2 2" xfId="6832"/>
    <cellStyle name="Normal 4 4 3 2 3 2 3" xfId="6833"/>
    <cellStyle name="Normal 4 4 3 2 3 3" xfId="6834"/>
    <cellStyle name="Normal 4 4 3 2 3 4" xfId="6835"/>
    <cellStyle name="Normal 4 4 3 2 3 5" xfId="6836"/>
    <cellStyle name="Normal 4 4 3 2 4" xfId="6837"/>
    <cellStyle name="Normal 4 4 3 2 4 2" xfId="6838"/>
    <cellStyle name="Normal 4 4 3 2 4 2 2" xfId="6839"/>
    <cellStyle name="Normal 4 4 3 2 4 2 3" xfId="6840"/>
    <cellStyle name="Normal 4 4 3 2 4 3" xfId="6841"/>
    <cellStyle name="Normal 4 4 3 2 4 4" xfId="6842"/>
    <cellStyle name="Normal 4 4 3 2 4 5" xfId="6843"/>
    <cellStyle name="Normal 4 4 3 2 5" xfId="6844"/>
    <cellStyle name="Normal 4 4 3 2 5 2" xfId="6845"/>
    <cellStyle name="Normal 4 4 3 2 5 3" xfId="6846"/>
    <cellStyle name="Normal 4 4 3 2 6" xfId="6847"/>
    <cellStyle name="Normal 4 4 3 2 7" xfId="6848"/>
    <cellStyle name="Normal 4 4 3 2 8" xfId="6849"/>
    <cellStyle name="Normal 4 4 3 3" xfId="6850"/>
    <cellStyle name="Normal 4 4 3 3 2" xfId="6851"/>
    <cellStyle name="Normal 4 4 3 3 2 2" xfId="6852"/>
    <cellStyle name="Normal 4 4 3 3 2 2 2" xfId="6853"/>
    <cellStyle name="Normal 4 4 3 3 2 2 3" xfId="6854"/>
    <cellStyle name="Normal 4 4 3 3 2 3" xfId="6855"/>
    <cellStyle name="Normal 4 4 3 3 2 4" xfId="6856"/>
    <cellStyle name="Normal 4 4 3 3 2 5" xfId="6857"/>
    <cellStyle name="Normal 4 4 3 3 3" xfId="6858"/>
    <cellStyle name="Normal 4 4 3 3 3 2" xfId="6859"/>
    <cellStyle name="Normal 4 4 3 3 3 2 2" xfId="6860"/>
    <cellStyle name="Normal 4 4 3 3 3 2 3" xfId="6861"/>
    <cellStyle name="Normal 4 4 3 3 3 3" xfId="6862"/>
    <cellStyle name="Normal 4 4 3 3 3 4" xfId="6863"/>
    <cellStyle name="Normal 4 4 3 3 3 5" xfId="6864"/>
    <cellStyle name="Normal 4 4 3 3 4" xfId="6865"/>
    <cellStyle name="Normal 4 4 3 3 4 2" xfId="6866"/>
    <cellStyle name="Normal 4 4 3 3 4 3" xfId="6867"/>
    <cellStyle name="Normal 4 4 3 3 5" xfId="6868"/>
    <cellStyle name="Normal 4 4 3 3 6" xfId="6869"/>
    <cellStyle name="Normal 4 4 3 3 7" xfId="6870"/>
    <cellStyle name="Normal 4 4 3 4" xfId="6871"/>
    <cellStyle name="Normal 4 4 3 4 2" xfId="6872"/>
    <cellStyle name="Normal 4 4 3 4 2 2" xfId="6873"/>
    <cellStyle name="Normal 4 4 3 4 2 3" xfId="6874"/>
    <cellStyle name="Normal 4 4 3 4 3" xfId="6875"/>
    <cellStyle name="Normal 4 4 3 4 4" xfId="6876"/>
    <cellStyle name="Normal 4 4 3 4 5" xfId="6877"/>
    <cellStyle name="Normal 4 4 3 5" xfId="6878"/>
    <cellStyle name="Normal 4 4 3 5 2" xfId="6879"/>
    <cellStyle name="Normal 4 4 3 5 2 2" xfId="6880"/>
    <cellStyle name="Normal 4 4 3 5 2 3" xfId="6881"/>
    <cellStyle name="Normal 4 4 3 5 3" xfId="6882"/>
    <cellStyle name="Normal 4 4 3 5 4" xfId="6883"/>
    <cellStyle name="Normal 4 4 3 5 5" xfId="6884"/>
    <cellStyle name="Normal 4 4 3 6" xfId="6885"/>
    <cellStyle name="Normal 4 4 3 6 2" xfId="6886"/>
    <cellStyle name="Normal 4 4 3 6 3" xfId="6887"/>
    <cellStyle name="Normal 4 4 3 7" xfId="6888"/>
    <cellStyle name="Normal 4 4 3 8" xfId="6889"/>
    <cellStyle name="Normal 4 4 3 9" xfId="6890"/>
    <cellStyle name="Normal 4 4 4" xfId="6891"/>
    <cellStyle name="Normal 4 4 4 2" xfId="6892"/>
    <cellStyle name="Normal 4 4 4 2 2" xfId="6893"/>
    <cellStyle name="Normal 4 4 4 2 2 2" xfId="6894"/>
    <cellStyle name="Normal 4 4 4 2 2 2 2" xfId="6895"/>
    <cellStyle name="Normal 4 4 4 2 2 2 2 2" xfId="6896"/>
    <cellStyle name="Normal 4 4 4 2 2 2 2 3" xfId="6897"/>
    <cellStyle name="Normal 4 4 4 2 2 2 3" xfId="6898"/>
    <cellStyle name="Normal 4 4 4 2 2 2 4" xfId="6899"/>
    <cellStyle name="Normal 4 4 4 2 2 2 5" xfId="6900"/>
    <cellStyle name="Normal 4 4 4 2 2 3" xfId="6901"/>
    <cellStyle name="Normal 4 4 4 2 2 3 2" xfId="6902"/>
    <cellStyle name="Normal 4 4 4 2 2 3 2 2" xfId="6903"/>
    <cellStyle name="Normal 4 4 4 2 2 3 2 3" xfId="6904"/>
    <cellStyle name="Normal 4 4 4 2 2 3 3" xfId="6905"/>
    <cellStyle name="Normal 4 4 4 2 2 3 4" xfId="6906"/>
    <cellStyle name="Normal 4 4 4 2 2 3 5" xfId="6907"/>
    <cellStyle name="Normal 4 4 4 2 2 4" xfId="6908"/>
    <cellStyle name="Normal 4 4 4 2 2 4 2" xfId="6909"/>
    <cellStyle name="Normal 4 4 4 2 2 4 3" xfId="6910"/>
    <cellStyle name="Normal 4 4 4 2 2 5" xfId="6911"/>
    <cellStyle name="Normal 4 4 4 2 2 6" xfId="6912"/>
    <cellStyle name="Normal 4 4 4 2 2 7" xfId="6913"/>
    <cellStyle name="Normal 4 4 4 2 3" xfId="6914"/>
    <cellStyle name="Normal 4 4 4 2 3 2" xfId="6915"/>
    <cellStyle name="Normal 4 4 4 2 3 2 2" xfId="6916"/>
    <cellStyle name="Normal 4 4 4 2 3 2 3" xfId="6917"/>
    <cellStyle name="Normal 4 4 4 2 3 3" xfId="6918"/>
    <cellStyle name="Normal 4 4 4 2 3 4" xfId="6919"/>
    <cellStyle name="Normal 4 4 4 2 3 5" xfId="6920"/>
    <cellStyle name="Normal 4 4 4 2 4" xfId="6921"/>
    <cellStyle name="Normal 4 4 4 2 4 2" xfId="6922"/>
    <cellStyle name="Normal 4 4 4 2 4 2 2" xfId="6923"/>
    <cellStyle name="Normal 4 4 4 2 4 2 3" xfId="6924"/>
    <cellStyle name="Normal 4 4 4 2 4 3" xfId="6925"/>
    <cellStyle name="Normal 4 4 4 2 4 4" xfId="6926"/>
    <cellStyle name="Normal 4 4 4 2 4 5" xfId="6927"/>
    <cellStyle name="Normal 4 4 4 2 5" xfId="6928"/>
    <cellStyle name="Normal 4 4 4 2 5 2" xfId="6929"/>
    <cellStyle name="Normal 4 4 4 2 5 3" xfId="6930"/>
    <cellStyle name="Normal 4 4 4 2 6" xfId="6931"/>
    <cellStyle name="Normal 4 4 4 2 7" xfId="6932"/>
    <cellStyle name="Normal 4 4 4 2 8" xfId="6933"/>
    <cellStyle name="Normal 4 4 4 3" xfId="6934"/>
    <cellStyle name="Normal 4 4 4 3 2" xfId="6935"/>
    <cellStyle name="Normal 4 4 4 3 2 2" xfId="6936"/>
    <cellStyle name="Normal 4 4 4 3 2 2 2" xfId="6937"/>
    <cellStyle name="Normal 4 4 4 3 2 2 3" xfId="6938"/>
    <cellStyle name="Normal 4 4 4 3 2 3" xfId="6939"/>
    <cellStyle name="Normal 4 4 4 3 2 4" xfId="6940"/>
    <cellStyle name="Normal 4 4 4 3 2 5" xfId="6941"/>
    <cellStyle name="Normal 4 4 4 3 3" xfId="6942"/>
    <cellStyle name="Normal 4 4 4 3 3 2" xfId="6943"/>
    <cellStyle name="Normal 4 4 4 3 3 2 2" xfId="6944"/>
    <cellStyle name="Normal 4 4 4 3 3 2 3" xfId="6945"/>
    <cellStyle name="Normal 4 4 4 3 3 3" xfId="6946"/>
    <cellStyle name="Normal 4 4 4 3 3 4" xfId="6947"/>
    <cellStyle name="Normal 4 4 4 3 3 5" xfId="6948"/>
    <cellStyle name="Normal 4 4 4 3 4" xfId="6949"/>
    <cellStyle name="Normal 4 4 4 3 4 2" xfId="6950"/>
    <cellStyle name="Normal 4 4 4 3 4 3" xfId="6951"/>
    <cellStyle name="Normal 4 4 4 3 5" xfId="6952"/>
    <cellStyle name="Normal 4 4 4 3 6" xfId="6953"/>
    <cellStyle name="Normal 4 4 4 3 7" xfId="6954"/>
    <cellStyle name="Normal 4 4 4 4" xfId="6955"/>
    <cellStyle name="Normal 4 4 4 4 2" xfId="6956"/>
    <cellStyle name="Normal 4 4 4 4 2 2" xfId="6957"/>
    <cellStyle name="Normal 4 4 4 4 2 3" xfId="6958"/>
    <cellStyle name="Normal 4 4 4 4 3" xfId="6959"/>
    <cellStyle name="Normal 4 4 4 4 4" xfId="6960"/>
    <cellStyle name="Normal 4 4 4 4 5" xfId="6961"/>
    <cellStyle name="Normal 4 4 4 5" xfId="6962"/>
    <cellStyle name="Normal 4 4 4 5 2" xfId="6963"/>
    <cellStyle name="Normal 4 4 4 5 2 2" xfId="6964"/>
    <cellStyle name="Normal 4 4 4 5 2 3" xfId="6965"/>
    <cellStyle name="Normal 4 4 4 5 3" xfId="6966"/>
    <cellStyle name="Normal 4 4 4 5 4" xfId="6967"/>
    <cellStyle name="Normal 4 4 4 5 5" xfId="6968"/>
    <cellStyle name="Normal 4 4 4 6" xfId="6969"/>
    <cellStyle name="Normal 4 4 4 6 2" xfId="6970"/>
    <cellStyle name="Normal 4 4 4 6 3" xfId="6971"/>
    <cellStyle name="Normal 4 4 4 7" xfId="6972"/>
    <cellStyle name="Normal 4 4 4 8" xfId="6973"/>
    <cellStyle name="Normal 4 4 4 9" xfId="6974"/>
    <cellStyle name="Normal 4 4 5" xfId="6975"/>
    <cellStyle name="Normal 4 4 5 2" xfId="6976"/>
    <cellStyle name="Normal 4 4 5 2 2" xfId="6977"/>
    <cellStyle name="Normal 4 4 5 2 2 2" xfId="6978"/>
    <cellStyle name="Normal 4 4 5 2 2 2 2" xfId="6979"/>
    <cellStyle name="Normal 4 4 5 2 2 2 2 2" xfId="6980"/>
    <cellStyle name="Normal 4 4 5 2 2 2 2 3" xfId="6981"/>
    <cellStyle name="Normal 4 4 5 2 2 2 3" xfId="6982"/>
    <cellStyle name="Normal 4 4 5 2 2 2 4" xfId="6983"/>
    <cellStyle name="Normal 4 4 5 2 2 2 5" xfId="6984"/>
    <cellStyle name="Normal 4 4 5 2 2 3" xfId="6985"/>
    <cellStyle name="Normal 4 4 5 2 2 3 2" xfId="6986"/>
    <cellStyle name="Normal 4 4 5 2 2 3 2 2" xfId="6987"/>
    <cellStyle name="Normal 4 4 5 2 2 3 2 3" xfId="6988"/>
    <cellStyle name="Normal 4 4 5 2 2 3 3" xfId="6989"/>
    <cellStyle name="Normal 4 4 5 2 2 3 4" xfId="6990"/>
    <cellStyle name="Normal 4 4 5 2 2 3 5" xfId="6991"/>
    <cellStyle name="Normal 4 4 5 2 2 4" xfId="6992"/>
    <cellStyle name="Normal 4 4 5 2 2 4 2" xfId="6993"/>
    <cellStyle name="Normal 4 4 5 2 2 4 3" xfId="6994"/>
    <cellStyle name="Normal 4 4 5 2 2 5" xfId="6995"/>
    <cellStyle name="Normal 4 4 5 2 2 6" xfId="6996"/>
    <cellStyle name="Normal 4 4 5 2 2 7" xfId="6997"/>
    <cellStyle name="Normal 4 4 5 2 3" xfId="6998"/>
    <cellStyle name="Normal 4 4 5 2 3 2" xfId="6999"/>
    <cellStyle name="Normal 4 4 5 2 3 2 2" xfId="7000"/>
    <cellStyle name="Normal 4 4 5 2 3 2 3" xfId="7001"/>
    <cellStyle name="Normal 4 4 5 2 3 3" xfId="7002"/>
    <cellStyle name="Normal 4 4 5 2 3 4" xfId="7003"/>
    <cellStyle name="Normal 4 4 5 2 3 5" xfId="7004"/>
    <cellStyle name="Normal 4 4 5 2 4" xfId="7005"/>
    <cellStyle name="Normal 4 4 5 2 4 2" xfId="7006"/>
    <cellStyle name="Normal 4 4 5 2 4 2 2" xfId="7007"/>
    <cellStyle name="Normal 4 4 5 2 4 2 3" xfId="7008"/>
    <cellStyle name="Normal 4 4 5 2 4 3" xfId="7009"/>
    <cellStyle name="Normal 4 4 5 2 4 4" xfId="7010"/>
    <cellStyle name="Normal 4 4 5 2 4 5" xfId="7011"/>
    <cellStyle name="Normal 4 4 5 2 5" xfId="7012"/>
    <cellStyle name="Normal 4 4 5 2 5 2" xfId="7013"/>
    <cellStyle name="Normal 4 4 5 2 5 3" xfId="7014"/>
    <cellStyle name="Normal 4 4 5 2 6" xfId="7015"/>
    <cellStyle name="Normal 4 4 5 2 7" xfId="7016"/>
    <cellStyle name="Normal 4 4 5 2 8" xfId="7017"/>
    <cellStyle name="Normal 4 4 5 3" xfId="7018"/>
    <cellStyle name="Normal 4 4 5 3 2" xfId="7019"/>
    <cellStyle name="Normal 4 4 5 3 2 2" xfId="7020"/>
    <cellStyle name="Normal 4 4 5 3 2 2 2" xfId="7021"/>
    <cellStyle name="Normal 4 4 5 3 2 2 3" xfId="7022"/>
    <cellStyle name="Normal 4 4 5 3 2 3" xfId="7023"/>
    <cellStyle name="Normal 4 4 5 3 2 4" xfId="7024"/>
    <cellStyle name="Normal 4 4 5 3 2 5" xfId="7025"/>
    <cellStyle name="Normal 4 4 5 3 3" xfId="7026"/>
    <cellStyle name="Normal 4 4 5 3 3 2" xfId="7027"/>
    <cellStyle name="Normal 4 4 5 3 3 2 2" xfId="7028"/>
    <cellStyle name="Normal 4 4 5 3 3 2 3" xfId="7029"/>
    <cellStyle name="Normal 4 4 5 3 3 3" xfId="7030"/>
    <cellStyle name="Normal 4 4 5 3 3 4" xfId="7031"/>
    <cellStyle name="Normal 4 4 5 3 3 5" xfId="7032"/>
    <cellStyle name="Normal 4 4 5 3 4" xfId="7033"/>
    <cellStyle name="Normal 4 4 5 3 4 2" xfId="7034"/>
    <cellStyle name="Normal 4 4 5 3 4 3" xfId="7035"/>
    <cellStyle name="Normal 4 4 5 3 5" xfId="7036"/>
    <cellStyle name="Normal 4 4 5 3 6" xfId="7037"/>
    <cellStyle name="Normal 4 4 5 3 7" xfId="7038"/>
    <cellStyle name="Normal 4 4 5 4" xfId="7039"/>
    <cellStyle name="Normal 4 4 5 4 2" xfId="7040"/>
    <cellStyle name="Normal 4 4 5 4 2 2" xfId="7041"/>
    <cellStyle name="Normal 4 4 5 4 2 3" xfId="7042"/>
    <cellStyle name="Normal 4 4 5 4 3" xfId="7043"/>
    <cellStyle name="Normal 4 4 5 4 4" xfId="7044"/>
    <cellStyle name="Normal 4 4 5 4 5" xfId="7045"/>
    <cellStyle name="Normal 4 4 5 5" xfId="7046"/>
    <cellStyle name="Normal 4 4 5 5 2" xfId="7047"/>
    <cellStyle name="Normal 4 4 5 5 2 2" xfId="7048"/>
    <cellStyle name="Normal 4 4 5 5 2 3" xfId="7049"/>
    <cellStyle name="Normal 4 4 5 5 3" xfId="7050"/>
    <cellStyle name="Normal 4 4 5 5 4" xfId="7051"/>
    <cellStyle name="Normal 4 4 5 5 5" xfId="7052"/>
    <cellStyle name="Normal 4 4 5 6" xfId="7053"/>
    <cellStyle name="Normal 4 4 5 6 2" xfId="7054"/>
    <cellStyle name="Normal 4 4 5 6 3" xfId="7055"/>
    <cellStyle name="Normal 4 4 5 7" xfId="7056"/>
    <cellStyle name="Normal 4 4 5 8" xfId="7057"/>
    <cellStyle name="Normal 4 4 5 9" xfId="7058"/>
    <cellStyle name="Normal 4 4 6" xfId="7059"/>
    <cellStyle name="Normal 4 4 6 2" xfId="7060"/>
    <cellStyle name="Normal 4 4 6 2 2" xfId="7061"/>
    <cellStyle name="Normal 4 4 6 2 2 2" xfId="7062"/>
    <cellStyle name="Normal 4 4 6 2 2 2 2" xfId="7063"/>
    <cellStyle name="Normal 4 4 6 2 2 2 3" xfId="7064"/>
    <cellStyle name="Normal 4 4 6 2 2 3" xfId="7065"/>
    <cellStyle name="Normal 4 4 6 2 2 4" xfId="7066"/>
    <cellStyle name="Normal 4 4 6 2 2 5" xfId="7067"/>
    <cellStyle name="Normal 4 4 6 2 3" xfId="7068"/>
    <cellStyle name="Normal 4 4 6 2 3 2" xfId="7069"/>
    <cellStyle name="Normal 4 4 6 2 3 2 2" xfId="7070"/>
    <cellStyle name="Normal 4 4 6 2 3 2 3" xfId="7071"/>
    <cellStyle name="Normal 4 4 6 2 3 3" xfId="7072"/>
    <cellStyle name="Normal 4 4 6 2 3 4" xfId="7073"/>
    <cellStyle name="Normal 4 4 6 2 3 5" xfId="7074"/>
    <cellStyle name="Normal 4 4 6 2 4" xfId="7075"/>
    <cellStyle name="Normal 4 4 6 2 4 2" xfId="7076"/>
    <cellStyle name="Normal 4 4 6 2 4 3" xfId="7077"/>
    <cellStyle name="Normal 4 4 6 2 5" xfId="7078"/>
    <cellStyle name="Normal 4 4 6 2 6" xfId="7079"/>
    <cellStyle name="Normal 4 4 6 2 7" xfId="7080"/>
    <cellStyle name="Normal 4 4 6 3" xfId="7081"/>
    <cellStyle name="Normal 4 4 6 3 2" xfId="7082"/>
    <cellStyle name="Normal 4 4 6 3 2 2" xfId="7083"/>
    <cellStyle name="Normal 4 4 6 3 2 3" xfId="7084"/>
    <cellStyle name="Normal 4 4 6 3 3" xfId="7085"/>
    <cellStyle name="Normal 4 4 6 3 4" xfId="7086"/>
    <cellStyle name="Normal 4 4 6 3 5" xfId="7087"/>
    <cellStyle name="Normal 4 4 6 4" xfId="7088"/>
    <cellStyle name="Normal 4 4 6 4 2" xfId="7089"/>
    <cellStyle name="Normal 4 4 6 4 2 2" xfId="7090"/>
    <cellStyle name="Normal 4 4 6 4 2 3" xfId="7091"/>
    <cellStyle name="Normal 4 4 6 4 3" xfId="7092"/>
    <cellStyle name="Normal 4 4 6 4 4" xfId="7093"/>
    <cellStyle name="Normal 4 4 6 4 5" xfId="7094"/>
    <cellStyle name="Normal 4 4 6 5" xfId="7095"/>
    <cellStyle name="Normal 4 4 6 5 2" xfId="7096"/>
    <cellStyle name="Normal 4 4 6 5 3" xfId="7097"/>
    <cellStyle name="Normal 4 4 6 6" xfId="7098"/>
    <cellStyle name="Normal 4 4 6 7" xfId="7099"/>
    <cellStyle name="Normal 4 4 6 8" xfId="7100"/>
    <cellStyle name="Normal 4 4 7" xfId="7101"/>
    <cellStyle name="Normal 4 4 7 2" xfId="7102"/>
    <cellStyle name="Normal 4 4 7 2 2" xfId="7103"/>
    <cellStyle name="Normal 4 4 7 2 2 2" xfId="7104"/>
    <cellStyle name="Normal 4 4 7 2 2 3" xfId="7105"/>
    <cellStyle name="Normal 4 4 7 2 3" xfId="7106"/>
    <cellStyle name="Normal 4 4 7 2 4" xfId="7107"/>
    <cellStyle name="Normal 4 4 7 2 5" xfId="7108"/>
    <cellStyle name="Normal 4 4 7 3" xfId="7109"/>
    <cellStyle name="Normal 4 4 7 3 2" xfId="7110"/>
    <cellStyle name="Normal 4 4 7 3 2 2" xfId="7111"/>
    <cellStyle name="Normal 4 4 7 3 2 3" xfId="7112"/>
    <cellStyle name="Normal 4 4 7 3 3" xfId="7113"/>
    <cellStyle name="Normal 4 4 7 3 4" xfId="7114"/>
    <cellStyle name="Normal 4 4 7 3 5" xfId="7115"/>
    <cellStyle name="Normal 4 4 7 4" xfId="7116"/>
    <cellStyle name="Normal 4 4 7 4 2" xfId="7117"/>
    <cellStyle name="Normal 4 4 7 4 3" xfId="7118"/>
    <cellStyle name="Normal 4 4 7 5" xfId="7119"/>
    <cellStyle name="Normal 4 4 7 6" xfId="7120"/>
    <cellStyle name="Normal 4 4 7 7" xfId="7121"/>
    <cellStyle name="Normal 4 4 8" xfId="7122"/>
    <cellStyle name="Normal 4 4 8 2" xfId="7123"/>
    <cellStyle name="Normal 4 4 8 2 2" xfId="7124"/>
    <cellStyle name="Normal 4 4 8 2 2 2" xfId="7125"/>
    <cellStyle name="Normal 4 4 8 2 2 3" xfId="7126"/>
    <cellStyle name="Normal 4 4 8 2 3" xfId="7127"/>
    <cellStyle name="Normal 4 4 8 2 4" xfId="7128"/>
    <cellStyle name="Normal 4 4 8 2 5" xfId="7129"/>
    <cellStyle name="Normal 4 4 8 3" xfId="7130"/>
    <cellStyle name="Normal 4 4 8 3 2" xfId="7131"/>
    <cellStyle name="Normal 4 4 8 3 2 2" xfId="7132"/>
    <cellStyle name="Normal 4 4 8 3 2 3" xfId="7133"/>
    <cellStyle name="Normal 4 4 8 3 3" xfId="7134"/>
    <cellStyle name="Normal 4 4 8 3 4" xfId="7135"/>
    <cellStyle name="Normal 4 4 8 3 5" xfId="7136"/>
    <cellStyle name="Normal 4 4 8 4" xfId="7137"/>
    <cellStyle name="Normal 4 4 8 4 2" xfId="7138"/>
    <cellStyle name="Normal 4 4 8 4 3" xfId="7139"/>
    <cellStyle name="Normal 4 4 8 5" xfId="7140"/>
    <cellStyle name="Normal 4 4 8 6" xfId="7141"/>
    <cellStyle name="Normal 4 4 8 7" xfId="7142"/>
    <cellStyle name="Normal 4 4 9" xfId="7143"/>
    <cellStyle name="Normal 4 4 9 2" xfId="7144"/>
    <cellStyle name="Normal 4 4 9 2 2" xfId="7145"/>
    <cellStyle name="Normal 4 4 9 2 3" xfId="7146"/>
    <cellStyle name="Normal 4 4 9 3" xfId="7147"/>
    <cellStyle name="Normal 4 4 9 4" xfId="7148"/>
    <cellStyle name="Normal 4 4 9 5" xfId="7149"/>
    <cellStyle name="Normal 4 5" xfId="644"/>
    <cellStyle name="Normal 4 5 10" xfId="7150"/>
    <cellStyle name="Normal 4 5 10 2" xfId="7151"/>
    <cellStyle name="Normal 4 5 10 2 2" xfId="7152"/>
    <cellStyle name="Normal 4 5 10 2 3" xfId="7153"/>
    <cellStyle name="Normal 4 5 10 3" xfId="7154"/>
    <cellStyle name="Normal 4 5 10 4" xfId="7155"/>
    <cellStyle name="Normal 4 5 10 5" xfId="7156"/>
    <cellStyle name="Normal 4 5 11" xfId="7157"/>
    <cellStyle name="Normal 4 5 11 2" xfId="7158"/>
    <cellStyle name="Normal 4 5 11 3" xfId="7159"/>
    <cellStyle name="Normal 4 5 12" xfId="7160"/>
    <cellStyle name="Normal 4 5 13" xfId="7161"/>
    <cellStyle name="Normal 4 5 14" xfId="7162"/>
    <cellStyle name="Normal 4 5 2" xfId="749"/>
    <cellStyle name="Normal 4 5 2 10" xfId="7163"/>
    <cellStyle name="Normal 4 5 2 11" xfId="7164"/>
    <cellStyle name="Normal 4 5 2 12" xfId="7165"/>
    <cellStyle name="Normal 4 5 2 2" xfId="7166"/>
    <cellStyle name="Normal 4 5 2 2 2" xfId="7167"/>
    <cellStyle name="Normal 4 5 2 2 2 2" xfId="7168"/>
    <cellStyle name="Normal 4 5 2 2 2 2 2" xfId="7169"/>
    <cellStyle name="Normal 4 5 2 2 2 2 2 2" xfId="7170"/>
    <cellStyle name="Normal 4 5 2 2 2 2 2 2 2" xfId="7171"/>
    <cellStyle name="Normal 4 5 2 2 2 2 2 2 3" xfId="7172"/>
    <cellStyle name="Normal 4 5 2 2 2 2 2 3" xfId="7173"/>
    <cellStyle name="Normal 4 5 2 2 2 2 2 4" xfId="7174"/>
    <cellStyle name="Normal 4 5 2 2 2 2 2 5" xfId="7175"/>
    <cellStyle name="Normal 4 5 2 2 2 2 3" xfId="7176"/>
    <cellStyle name="Normal 4 5 2 2 2 2 3 2" xfId="7177"/>
    <cellStyle name="Normal 4 5 2 2 2 2 3 2 2" xfId="7178"/>
    <cellStyle name="Normal 4 5 2 2 2 2 3 2 3" xfId="7179"/>
    <cellStyle name="Normal 4 5 2 2 2 2 3 3" xfId="7180"/>
    <cellStyle name="Normal 4 5 2 2 2 2 3 4" xfId="7181"/>
    <cellStyle name="Normal 4 5 2 2 2 2 3 5" xfId="7182"/>
    <cellStyle name="Normal 4 5 2 2 2 2 4" xfId="7183"/>
    <cellStyle name="Normal 4 5 2 2 2 2 4 2" xfId="7184"/>
    <cellStyle name="Normal 4 5 2 2 2 2 4 3" xfId="7185"/>
    <cellStyle name="Normal 4 5 2 2 2 2 5" xfId="7186"/>
    <cellStyle name="Normal 4 5 2 2 2 2 6" xfId="7187"/>
    <cellStyle name="Normal 4 5 2 2 2 2 7" xfId="7188"/>
    <cellStyle name="Normal 4 5 2 2 2 3" xfId="7189"/>
    <cellStyle name="Normal 4 5 2 2 2 3 2" xfId="7190"/>
    <cellStyle name="Normal 4 5 2 2 2 3 2 2" xfId="7191"/>
    <cellStyle name="Normal 4 5 2 2 2 3 2 3" xfId="7192"/>
    <cellStyle name="Normal 4 5 2 2 2 3 3" xfId="7193"/>
    <cellStyle name="Normal 4 5 2 2 2 3 4" xfId="7194"/>
    <cellStyle name="Normal 4 5 2 2 2 3 5" xfId="7195"/>
    <cellStyle name="Normal 4 5 2 2 2 4" xfId="7196"/>
    <cellStyle name="Normal 4 5 2 2 2 4 2" xfId="7197"/>
    <cellStyle name="Normal 4 5 2 2 2 4 2 2" xfId="7198"/>
    <cellStyle name="Normal 4 5 2 2 2 4 2 3" xfId="7199"/>
    <cellStyle name="Normal 4 5 2 2 2 4 3" xfId="7200"/>
    <cellStyle name="Normal 4 5 2 2 2 4 4" xfId="7201"/>
    <cellStyle name="Normal 4 5 2 2 2 4 5" xfId="7202"/>
    <cellStyle name="Normal 4 5 2 2 2 5" xfId="7203"/>
    <cellStyle name="Normal 4 5 2 2 2 5 2" xfId="7204"/>
    <cellStyle name="Normal 4 5 2 2 2 5 3" xfId="7205"/>
    <cellStyle name="Normal 4 5 2 2 2 6" xfId="7206"/>
    <cellStyle name="Normal 4 5 2 2 2 7" xfId="7207"/>
    <cellStyle name="Normal 4 5 2 2 2 8" xfId="7208"/>
    <cellStyle name="Normal 4 5 2 2 3" xfId="7209"/>
    <cellStyle name="Normal 4 5 2 2 3 2" xfId="7210"/>
    <cellStyle name="Normal 4 5 2 2 3 2 2" xfId="7211"/>
    <cellStyle name="Normal 4 5 2 2 3 2 2 2" xfId="7212"/>
    <cellStyle name="Normal 4 5 2 2 3 2 2 3" xfId="7213"/>
    <cellStyle name="Normal 4 5 2 2 3 2 3" xfId="7214"/>
    <cellStyle name="Normal 4 5 2 2 3 2 4" xfId="7215"/>
    <cellStyle name="Normal 4 5 2 2 3 2 5" xfId="7216"/>
    <cellStyle name="Normal 4 5 2 2 3 3" xfId="7217"/>
    <cellStyle name="Normal 4 5 2 2 3 3 2" xfId="7218"/>
    <cellStyle name="Normal 4 5 2 2 3 3 2 2" xfId="7219"/>
    <cellStyle name="Normal 4 5 2 2 3 3 2 3" xfId="7220"/>
    <cellStyle name="Normal 4 5 2 2 3 3 3" xfId="7221"/>
    <cellStyle name="Normal 4 5 2 2 3 3 4" xfId="7222"/>
    <cellStyle name="Normal 4 5 2 2 3 3 5" xfId="7223"/>
    <cellStyle name="Normal 4 5 2 2 3 4" xfId="7224"/>
    <cellStyle name="Normal 4 5 2 2 3 4 2" xfId="7225"/>
    <cellStyle name="Normal 4 5 2 2 3 4 3" xfId="7226"/>
    <cellStyle name="Normal 4 5 2 2 3 5" xfId="7227"/>
    <cellStyle name="Normal 4 5 2 2 3 6" xfId="7228"/>
    <cellStyle name="Normal 4 5 2 2 3 7" xfId="7229"/>
    <cellStyle name="Normal 4 5 2 2 4" xfId="7230"/>
    <cellStyle name="Normal 4 5 2 2 4 2" xfId="7231"/>
    <cellStyle name="Normal 4 5 2 2 4 2 2" xfId="7232"/>
    <cellStyle name="Normal 4 5 2 2 4 2 3" xfId="7233"/>
    <cellStyle name="Normal 4 5 2 2 4 3" xfId="7234"/>
    <cellStyle name="Normal 4 5 2 2 4 4" xfId="7235"/>
    <cellStyle name="Normal 4 5 2 2 4 5" xfId="7236"/>
    <cellStyle name="Normal 4 5 2 2 5" xfId="7237"/>
    <cellStyle name="Normal 4 5 2 2 5 2" xfId="7238"/>
    <cellStyle name="Normal 4 5 2 2 5 2 2" xfId="7239"/>
    <cellStyle name="Normal 4 5 2 2 5 2 3" xfId="7240"/>
    <cellStyle name="Normal 4 5 2 2 5 3" xfId="7241"/>
    <cellStyle name="Normal 4 5 2 2 5 4" xfId="7242"/>
    <cellStyle name="Normal 4 5 2 2 5 5" xfId="7243"/>
    <cellStyle name="Normal 4 5 2 2 6" xfId="7244"/>
    <cellStyle name="Normal 4 5 2 2 6 2" xfId="7245"/>
    <cellStyle name="Normal 4 5 2 2 6 3" xfId="7246"/>
    <cellStyle name="Normal 4 5 2 2 7" xfId="7247"/>
    <cellStyle name="Normal 4 5 2 2 8" xfId="7248"/>
    <cellStyle name="Normal 4 5 2 2 9" xfId="7249"/>
    <cellStyle name="Normal 4 5 2 3" xfId="7250"/>
    <cellStyle name="Normal 4 5 2 3 2" xfId="7251"/>
    <cellStyle name="Normal 4 5 2 3 2 2" xfId="7252"/>
    <cellStyle name="Normal 4 5 2 3 2 2 2" xfId="7253"/>
    <cellStyle name="Normal 4 5 2 3 2 2 2 2" xfId="7254"/>
    <cellStyle name="Normal 4 5 2 3 2 2 2 2 2" xfId="7255"/>
    <cellStyle name="Normal 4 5 2 3 2 2 2 2 3" xfId="7256"/>
    <cellStyle name="Normal 4 5 2 3 2 2 2 3" xfId="7257"/>
    <cellStyle name="Normal 4 5 2 3 2 2 2 4" xfId="7258"/>
    <cellStyle name="Normal 4 5 2 3 2 2 2 5" xfId="7259"/>
    <cellStyle name="Normal 4 5 2 3 2 2 3" xfId="7260"/>
    <cellStyle name="Normal 4 5 2 3 2 2 3 2" xfId="7261"/>
    <cellStyle name="Normal 4 5 2 3 2 2 3 2 2" xfId="7262"/>
    <cellStyle name="Normal 4 5 2 3 2 2 3 2 3" xfId="7263"/>
    <cellStyle name="Normal 4 5 2 3 2 2 3 3" xfId="7264"/>
    <cellStyle name="Normal 4 5 2 3 2 2 3 4" xfId="7265"/>
    <cellStyle name="Normal 4 5 2 3 2 2 3 5" xfId="7266"/>
    <cellStyle name="Normal 4 5 2 3 2 2 4" xfId="7267"/>
    <cellStyle name="Normal 4 5 2 3 2 2 4 2" xfId="7268"/>
    <cellStyle name="Normal 4 5 2 3 2 2 4 3" xfId="7269"/>
    <cellStyle name="Normal 4 5 2 3 2 2 5" xfId="7270"/>
    <cellStyle name="Normal 4 5 2 3 2 2 6" xfId="7271"/>
    <cellStyle name="Normal 4 5 2 3 2 2 7" xfId="7272"/>
    <cellStyle name="Normal 4 5 2 3 2 3" xfId="7273"/>
    <cellStyle name="Normal 4 5 2 3 2 3 2" xfId="7274"/>
    <cellStyle name="Normal 4 5 2 3 2 3 2 2" xfId="7275"/>
    <cellStyle name="Normal 4 5 2 3 2 3 2 3" xfId="7276"/>
    <cellStyle name="Normal 4 5 2 3 2 3 3" xfId="7277"/>
    <cellStyle name="Normal 4 5 2 3 2 3 4" xfId="7278"/>
    <cellStyle name="Normal 4 5 2 3 2 3 5" xfId="7279"/>
    <cellStyle name="Normal 4 5 2 3 2 4" xfId="7280"/>
    <cellStyle name="Normal 4 5 2 3 2 4 2" xfId="7281"/>
    <cellStyle name="Normal 4 5 2 3 2 4 2 2" xfId="7282"/>
    <cellStyle name="Normal 4 5 2 3 2 4 2 3" xfId="7283"/>
    <cellStyle name="Normal 4 5 2 3 2 4 3" xfId="7284"/>
    <cellStyle name="Normal 4 5 2 3 2 4 4" xfId="7285"/>
    <cellStyle name="Normal 4 5 2 3 2 4 5" xfId="7286"/>
    <cellStyle name="Normal 4 5 2 3 2 5" xfId="7287"/>
    <cellStyle name="Normal 4 5 2 3 2 5 2" xfId="7288"/>
    <cellStyle name="Normal 4 5 2 3 2 5 3" xfId="7289"/>
    <cellStyle name="Normal 4 5 2 3 2 6" xfId="7290"/>
    <cellStyle name="Normal 4 5 2 3 2 7" xfId="7291"/>
    <cellStyle name="Normal 4 5 2 3 2 8" xfId="7292"/>
    <cellStyle name="Normal 4 5 2 3 3" xfId="7293"/>
    <cellStyle name="Normal 4 5 2 3 3 2" xfId="7294"/>
    <cellStyle name="Normal 4 5 2 3 3 2 2" xfId="7295"/>
    <cellStyle name="Normal 4 5 2 3 3 2 2 2" xfId="7296"/>
    <cellStyle name="Normal 4 5 2 3 3 2 2 3" xfId="7297"/>
    <cellStyle name="Normal 4 5 2 3 3 2 3" xfId="7298"/>
    <cellStyle name="Normal 4 5 2 3 3 2 4" xfId="7299"/>
    <cellStyle name="Normal 4 5 2 3 3 2 5" xfId="7300"/>
    <cellStyle name="Normal 4 5 2 3 3 3" xfId="7301"/>
    <cellStyle name="Normal 4 5 2 3 3 3 2" xfId="7302"/>
    <cellStyle name="Normal 4 5 2 3 3 3 2 2" xfId="7303"/>
    <cellStyle name="Normal 4 5 2 3 3 3 2 3" xfId="7304"/>
    <cellStyle name="Normal 4 5 2 3 3 3 3" xfId="7305"/>
    <cellStyle name="Normal 4 5 2 3 3 3 4" xfId="7306"/>
    <cellStyle name="Normal 4 5 2 3 3 3 5" xfId="7307"/>
    <cellStyle name="Normal 4 5 2 3 3 4" xfId="7308"/>
    <cellStyle name="Normal 4 5 2 3 3 4 2" xfId="7309"/>
    <cellStyle name="Normal 4 5 2 3 3 4 3" xfId="7310"/>
    <cellStyle name="Normal 4 5 2 3 3 5" xfId="7311"/>
    <cellStyle name="Normal 4 5 2 3 3 6" xfId="7312"/>
    <cellStyle name="Normal 4 5 2 3 3 7" xfId="7313"/>
    <cellStyle name="Normal 4 5 2 3 4" xfId="7314"/>
    <cellStyle name="Normal 4 5 2 3 4 2" xfId="7315"/>
    <cellStyle name="Normal 4 5 2 3 4 2 2" xfId="7316"/>
    <cellStyle name="Normal 4 5 2 3 4 2 3" xfId="7317"/>
    <cellStyle name="Normal 4 5 2 3 4 3" xfId="7318"/>
    <cellStyle name="Normal 4 5 2 3 4 4" xfId="7319"/>
    <cellStyle name="Normal 4 5 2 3 4 5" xfId="7320"/>
    <cellStyle name="Normal 4 5 2 3 5" xfId="7321"/>
    <cellStyle name="Normal 4 5 2 3 5 2" xfId="7322"/>
    <cellStyle name="Normal 4 5 2 3 5 2 2" xfId="7323"/>
    <cellStyle name="Normal 4 5 2 3 5 2 3" xfId="7324"/>
    <cellStyle name="Normal 4 5 2 3 5 3" xfId="7325"/>
    <cellStyle name="Normal 4 5 2 3 5 4" xfId="7326"/>
    <cellStyle name="Normal 4 5 2 3 5 5" xfId="7327"/>
    <cellStyle name="Normal 4 5 2 3 6" xfId="7328"/>
    <cellStyle name="Normal 4 5 2 3 6 2" xfId="7329"/>
    <cellStyle name="Normal 4 5 2 3 6 3" xfId="7330"/>
    <cellStyle name="Normal 4 5 2 3 7" xfId="7331"/>
    <cellStyle name="Normal 4 5 2 3 8" xfId="7332"/>
    <cellStyle name="Normal 4 5 2 3 9" xfId="7333"/>
    <cellStyle name="Normal 4 5 2 4" xfId="7334"/>
    <cellStyle name="Normal 4 5 2 4 2" xfId="7335"/>
    <cellStyle name="Normal 4 5 2 4 2 2" xfId="7336"/>
    <cellStyle name="Normal 4 5 2 4 2 2 2" xfId="7337"/>
    <cellStyle name="Normal 4 5 2 4 2 2 2 2" xfId="7338"/>
    <cellStyle name="Normal 4 5 2 4 2 2 2 2 2" xfId="7339"/>
    <cellStyle name="Normal 4 5 2 4 2 2 2 2 3" xfId="7340"/>
    <cellStyle name="Normal 4 5 2 4 2 2 2 3" xfId="7341"/>
    <cellStyle name="Normal 4 5 2 4 2 2 2 4" xfId="7342"/>
    <cellStyle name="Normal 4 5 2 4 2 2 2 5" xfId="7343"/>
    <cellStyle name="Normal 4 5 2 4 2 2 3" xfId="7344"/>
    <cellStyle name="Normal 4 5 2 4 2 2 3 2" xfId="7345"/>
    <cellStyle name="Normal 4 5 2 4 2 2 3 2 2" xfId="7346"/>
    <cellStyle name="Normal 4 5 2 4 2 2 3 2 3" xfId="7347"/>
    <cellStyle name="Normal 4 5 2 4 2 2 3 3" xfId="7348"/>
    <cellStyle name="Normal 4 5 2 4 2 2 3 4" xfId="7349"/>
    <cellStyle name="Normal 4 5 2 4 2 2 3 5" xfId="7350"/>
    <cellStyle name="Normal 4 5 2 4 2 2 4" xfId="7351"/>
    <cellStyle name="Normal 4 5 2 4 2 2 4 2" xfId="7352"/>
    <cellStyle name="Normal 4 5 2 4 2 2 4 3" xfId="7353"/>
    <cellStyle name="Normal 4 5 2 4 2 2 5" xfId="7354"/>
    <cellStyle name="Normal 4 5 2 4 2 2 6" xfId="7355"/>
    <cellStyle name="Normal 4 5 2 4 2 2 7" xfId="7356"/>
    <cellStyle name="Normal 4 5 2 4 2 3" xfId="7357"/>
    <cellStyle name="Normal 4 5 2 4 2 3 2" xfId="7358"/>
    <cellStyle name="Normal 4 5 2 4 2 3 2 2" xfId="7359"/>
    <cellStyle name="Normal 4 5 2 4 2 3 2 3" xfId="7360"/>
    <cellStyle name="Normal 4 5 2 4 2 3 3" xfId="7361"/>
    <cellStyle name="Normal 4 5 2 4 2 3 4" xfId="7362"/>
    <cellStyle name="Normal 4 5 2 4 2 3 5" xfId="7363"/>
    <cellStyle name="Normal 4 5 2 4 2 4" xfId="7364"/>
    <cellStyle name="Normal 4 5 2 4 2 4 2" xfId="7365"/>
    <cellStyle name="Normal 4 5 2 4 2 4 2 2" xfId="7366"/>
    <cellStyle name="Normal 4 5 2 4 2 4 2 3" xfId="7367"/>
    <cellStyle name="Normal 4 5 2 4 2 4 3" xfId="7368"/>
    <cellStyle name="Normal 4 5 2 4 2 4 4" xfId="7369"/>
    <cellStyle name="Normal 4 5 2 4 2 4 5" xfId="7370"/>
    <cellStyle name="Normal 4 5 2 4 2 5" xfId="7371"/>
    <cellStyle name="Normal 4 5 2 4 2 5 2" xfId="7372"/>
    <cellStyle name="Normal 4 5 2 4 2 5 3" xfId="7373"/>
    <cellStyle name="Normal 4 5 2 4 2 6" xfId="7374"/>
    <cellStyle name="Normal 4 5 2 4 2 7" xfId="7375"/>
    <cellStyle name="Normal 4 5 2 4 2 8" xfId="7376"/>
    <cellStyle name="Normal 4 5 2 4 3" xfId="7377"/>
    <cellStyle name="Normal 4 5 2 4 3 2" xfId="7378"/>
    <cellStyle name="Normal 4 5 2 4 3 2 2" xfId="7379"/>
    <cellStyle name="Normal 4 5 2 4 3 2 2 2" xfId="7380"/>
    <cellStyle name="Normal 4 5 2 4 3 2 2 3" xfId="7381"/>
    <cellStyle name="Normal 4 5 2 4 3 2 3" xfId="7382"/>
    <cellStyle name="Normal 4 5 2 4 3 2 4" xfId="7383"/>
    <cellStyle name="Normal 4 5 2 4 3 2 5" xfId="7384"/>
    <cellStyle name="Normal 4 5 2 4 3 3" xfId="7385"/>
    <cellStyle name="Normal 4 5 2 4 3 3 2" xfId="7386"/>
    <cellStyle name="Normal 4 5 2 4 3 3 2 2" xfId="7387"/>
    <cellStyle name="Normal 4 5 2 4 3 3 2 3" xfId="7388"/>
    <cellStyle name="Normal 4 5 2 4 3 3 3" xfId="7389"/>
    <cellStyle name="Normal 4 5 2 4 3 3 4" xfId="7390"/>
    <cellStyle name="Normal 4 5 2 4 3 3 5" xfId="7391"/>
    <cellStyle name="Normal 4 5 2 4 3 4" xfId="7392"/>
    <cellStyle name="Normal 4 5 2 4 3 4 2" xfId="7393"/>
    <cellStyle name="Normal 4 5 2 4 3 4 3" xfId="7394"/>
    <cellStyle name="Normal 4 5 2 4 3 5" xfId="7395"/>
    <cellStyle name="Normal 4 5 2 4 3 6" xfId="7396"/>
    <cellStyle name="Normal 4 5 2 4 3 7" xfId="7397"/>
    <cellStyle name="Normal 4 5 2 4 4" xfId="7398"/>
    <cellStyle name="Normal 4 5 2 4 4 2" xfId="7399"/>
    <cellStyle name="Normal 4 5 2 4 4 2 2" xfId="7400"/>
    <cellStyle name="Normal 4 5 2 4 4 2 3" xfId="7401"/>
    <cellStyle name="Normal 4 5 2 4 4 3" xfId="7402"/>
    <cellStyle name="Normal 4 5 2 4 4 4" xfId="7403"/>
    <cellStyle name="Normal 4 5 2 4 4 5" xfId="7404"/>
    <cellStyle name="Normal 4 5 2 4 5" xfId="7405"/>
    <cellStyle name="Normal 4 5 2 4 5 2" xfId="7406"/>
    <cellStyle name="Normal 4 5 2 4 5 2 2" xfId="7407"/>
    <cellStyle name="Normal 4 5 2 4 5 2 3" xfId="7408"/>
    <cellStyle name="Normal 4 5 2 4 5 3" xfId="7409"/>
    <cellStyle name="Normal 4 5 2 4 5 4" xfId="7410"/>
    <cellStyle name="Normal 4 5 2 4 5 5" xfId="7411"/>
    <cellStyle name="Normal 4 5 2 4 6" xfId="7412"/>
    <cellStyle name="Normal 4 5 2 4 6 2" xfId="7413"/>
    <cellStyle name="Normal 4 5 2 4 6 3" xfId="7414"/>
    <cellStyle name="Normal 4 5 2 4 7" xfId="7415"/>
    <cellStyle name="Normal 4 5 2 4 8" xfId="7416"/>
    <cellStyle name="Normal 4 5 2 4 9" xfId="7417"/>
    <cellStyle name="Normal 4 5 2 5" xfId="7418"/>
    <cellStyle name="Normal 4 5 2 5 2" xfId="7419"/>
    <cellStyle name="Normal 4 5 2 5 2 2" xfId="7420"/>
    <cellStyle name="Normal 4 5 2 5 2 2 2" xfId="7421"/>
    <cellStyle name="Normal 4 5 2 5 2 2 2 2" xfId="7422"/>
    <cellStyle name="Normal 4 5 2 5 2 2 2 3" xfId="7423"/>
    <cellStyle name="Normal 4 5 2 5 2 2 3" xfId="7424"/>
    <cellStyle name="Normal 4 5 2 5 2 2 4" xfId="7425"/>
    <cellStyle name="Normal 4 5 2 5 2 2 5" xfId="7426"/>
    <cellStyle name="Normal 4 5 2 5 2 3" xfId="7427"/>
    <cellStyle name="Normal 4 5 2 5 2 3 2" xfId="7428"/>
    <cellStyle name="Normal 4 5 2 5 2 3 2 2" xfId="7429"/>
    <cellStyle name="Normal 4 5 2 5 2 3 2 3" xfId="7430"/>
    <cellStyle name="Normal 4 5 2 5 2 3 3" xfId="7431"/>
    <cellStyle name="Normal 4 5 2 5 2 3 4" xfId="7432"/>
    <cellStyle name="Normal 4 5 2 5 2 3 5" xfId="7433"/>
    <cellStyle name="Normal 4 5 2 5 2 4" xfId="7434"/>
    <cellStyle name="Normal 4 5 2 5 2 4 2" xfId="7435"/>
    <cellStyle name="Normal 4 5 2 5 2 4 3" xfId="7436"/>
    <cellStyle name="Normal 4 5 2 5 2 5" xfId="7437"/>
    <cellStyle name="Normal 4 5 2 5 2 6" xfId="7438"/>
    <cellStyle name="Normal 4 5 2 5 2 7" xfId="7439"/>
    <cellStyle name="Normal 4 5 2 5 3" xfId="7440"/>
    <cellStyle name="Normal 4 5 2 5 3 2" xfId="7441"/>
    <cellStyle name="Normal 4 5 2 5 3 2 2" xfId="7442"/>
    <cellStyle name="Normal 4 5 2 5 3 2 3" xfId="7443"/>
    <cellStyle name="Normal 4 5 2 5 3 3" xfId="7444"/>
    <cellStyle name="Normal 4 5 2 5 3 4" xfId="7445"/>
    <cellStyle name="Normal 4 5 2 5 3 5" xfId="7446"/>
    <cellStyle name="Normal 4 5 2 5 4" xfId="7447"/>
    <cellStyle name="Normal 4 5 2 5 4 2" xfId="7448"/>
    <cellStyle name="Normal 4 5 2 5 4 2 2" xfId="7449"/>
    <cellStyle name="Normal 4 5 2 5 4 2 3" xfId="7450"/>
    <cellStyle name="Normal 4 5 2 5 4 3" xfId="7451"/>
    <cellStyle name="Normal 4 5 2 5 4 4" xfId="7452"/>
    <cellStyle name="Normal 4 5 2 5 4 5" xfId="7453"/>
    <cellStyle name="Normal 4 5 2 5 5" xfId="7454"/>
    <cellStyle name="Normal 4 5 2 5 5 2" xfId="7455"/>
    <cellStyle name="Normal 4 5 2 5 5 3" xfId="7456"/>
    <cellStyle name="Normal 4 5 2 5 6" xfId="7457"/>
    <cellStyle name="Normal 4 5 2 5 7" xfId="7458"/>
    <cellStyle name="Normal 4 5 2 5 8" xfId="7459"/>
    <cellStyle name="Normal 4 5 2 6" xfId="7460"/>
    <cellStyle name="Normal 4 5 2 6 2" xfId="7461"/>
    <cellStyle name="Normal 4 5 2 6 2 2" xfId="7462"/>
    <cellStyle name="Normal 4 5 2 6 2 2 2" xfId="7463"/>
    <cellStyle name="Normal 4 5 2 6 2 2 3" xfId="7464"/>
    <cellStyle name="Normal 4 5 2 6 2 3" xfId="7465"/>
    <cellStyle name="Normal 4 5 2 6 2 4" xfId="7466"/>
    <cellStyle name="Normal 4 5 2 6 2 5" xfId="7467"/>
    <cellStyle name="Normal 4 5 2 6 3" xfId="7468"/>
    <cellStyle name="Normal 4 5 2 6 3 2" xfId="7469"/>
    <cellStyle name="Normal 4 5 2 6 3 2 2" xfId="7470"/>
    <cellStyle name="Normal 4 5 2 6 3 2 3" xfId="7471"/>
    <cellStyle name="Normal 4 5 2 6 3 3" xfId="7472"/>
    <cellStyle name="Normal 4 5 2 6 3 4" xfId="7473"/>
    <cellStyle name="Normal 4 5 2 6 3 5" xfId="7474"/>
    <cellStyle name="Normal 4 5 2 6 4" xfId="7475"/>
    <cellStyle name="Normal 4 5 2 6 4 2" xfId="7476"/>
    <cellStyle name="Normal 4 5 2 6 4 3" xfId="7477"/>
    <cellStyle name="Normal 4 5 2 6 5" xfId="7478"/>
    <cellStyle name="Normal 4 5 2 6 6" xfId="7479"/>
    <cellStyle name="Normal 4 5 2 6 7" xfId="7480"/>
    <cellStyle name="Normal 4 5 2 7" xfId="7481"/>
    <cellStyle name="Normal 4 5 2 7 2" xfId="7482"/>
    <cellStyle name="Normal 4 5 2 7 2 2" xfId="7483"/>
    <cellStyle name="Normal 4 5 2 7 2 3" xfId="7484"/>
    <cellStyle name="Normal 4 5 2 7 3" xfId="7485"/>
    <cellStyle name="Normal 4 5 2 7 4" xfId="7486"/>
    <cellStyle name="Normal 4 5 2 7 5" xfId="7487"/>
    <cellStyle name="Normal 4 5 2 8" xfId="7488"/>
    <cellStyle name="Normal 4 5 2 8 2" xfId="7489"/>
    <cellStyle name="Normal 4 5 2 8 2 2" xfId="7490"/>
    <cellStyle name="Normal 4 5 2 8 2 3" xfId="7491"/>
    <cellStyle name="Normal 4 5 2 8 3" xfId="7492"/>
    <cellStyle name="Normal 4 5 2 8 4" xfId="7493"/>
    <cellStyle name="Normal 4 5 2 8 5" xfId="7494"/>
    <cellStyle name="Normal 4 5 2 9" xfId="7495"/>
    <cellStyle name="Normal 4 5 2 9 2" xfId="7496"/>
    <cellStyle name="Normal 4 5 2 9 3" xfId="7497"/>
    <cellStyle name="Normal 4 5 3" xfId="7498"/>
    <cellStyle name="Normal 4 5 3 2" xfId="7499"/>
    <cellStyle name="Normal 4 5 3 2 2" xfId="7500"/>
    <cellStyle name="Normal 4 5 3 2 2 2" xfId="7501"/>
    <cellStyle name="Normal 4 5 3 2 2 2 2" xfId="7502"/>
    <cellStyle name="Normal 4 5 3 2 2 2 2 2" xfId="7503"/>
    <cellStyle name="Normal 4 5 3 2 2 2 2 3" xfId="7504"/>
    <cellStyle name="Normal 4 5 3 2 2 2 3" xfId="7505"/>
    <cellStyle name="Normal 4 5 3 2 2 2 4" xfId="7506"/>
    <cellStyle name="Normal 4 5 3 2 2 2 5" xfId="7507"/>
    <cellStyle name="Normal 4 5 3 2 2 3" xfId="7508"/>
    <cellStyle name="Normal 4 5 3 2 2 3 2" xfId="7509"/>
    <cellStyle name="Normal 4 5 3 2 2 3 2 2" xfId="7510"/>
    <cellStyle name="Normal 4 5 3 2 2 3 2 3" xfId="7511"/>
    <cellStyle name="Normal 4 5 3 2 2 3 3" xfId="7512"/>
    <cellStyle name="Normal 4 5 3 2 2 3 4" xfId="7513"/>
    <cellStyle name="Normal 4 5 3 2 2 3 5" xfId="7514"/>
    <cellStyle name="Normal 4 5 3 2 2 4" xfId="7515"/>
    <cellStyle name="Normal 4 5 3 2 2 4 2" xfId="7516"/>
    <cellStyle name="Normal 4 5 3 2 2 4 3" xfId="7517"/>
    <cellStyle name="Normal 4 5 3 2 2 5" xfId="7518"/>
    <cellStyle name="Normal 4 5 3 2 2 6" xfId="7519"/>
    <cellStyle name="Normal 4 5 3 2 2 7" xfId="7520"/>
    <cellStyle name="Normal 4 5 3 2 3" xfId="7521"/>
    <cellStyle name="Normal 4 5 3 2 3 2" xfId="7522"/>
    <cellStyle name="Normal 4 5 3 2 3 2 2" xfId="7523"/>
    <cellStyle name="Normal 4 5 3 2 3 2 3" xfId="7524"/>
    <cellStyle name="Normal 4 5 3 2 3 3" xfId="7525"/>
    <cellStyle name="Normal 4 5 3 2 3 4" xfId="7526"/>
    <cellStyle name="Normal 4 5 3 2 3 5" xfId="7527"/>
    <cellStyle name="Normal 4 5 3 2 4" xfId="7528"/>
    <cellStyle name="Normal 4 5 3 2 4 2" xfId="7529"/>
    <cellStyle name="Normal 4 5 3 2 4 2 2" xfId="7530"/>
    <cellStyle name="Normal 4 5 3 2 4 2 3" xfId="7531"/>
    <cellStyle name="Normal 4 5 3 2 4 3" xfId="7532"/>
    <cellStyle name="Normal 4 5 3 2 4 4" xfId="7533"/>
    <cellStyle name="Normal 4 5 3 2 4 5" xfId="7534"/>
    <cellStyle name="Normal 4 5 3 2 5" xfId="7535"/>
    <cellStyle name="Normal 4 5 3 2 5 2" xfId="7536"/>
    <cellStyle name="Normal 4 5 3 2 5 3" xfId="7537"/>
    <cellStyle name="Normal 4 5 3 2 6" xfId="7538"/>
    <cellStyle name="Normal 4 5 3 2 7" xfId="7539"/>
    <cellStyle name="Normal 4 5 3 2 8" xfId="7540"/>
    <cellStyle name="Normal 4 5 3 3" xfId="7541"/>
    <cellStyle name="Normal 4 5 3 3 2" xfId="7542"/>
    <cellStyle name="Normal 4 5 3 3 2 2" xfId="7543"/>
    <cellStyle name="Normal 4 5 3 3 2 2 2" xfId="7544"/>
    <cellStyle name="Normal 4 5 3 3 2 2 3" xfId="7545"/>
    <cellStyle name="Normal 4 5 3 3 2 3" xfId="7546"/>
    <cellStyle name="Normal 4 5 3 3 2 4" xfId="7547"/>
    <cellStyle name="Normal 4 5 3 3 2 5" xfId="7548"/>
    <cellStyle name="Normal 4 5 3 3 3" xfId="7549"/>
    <cellStyle name="Normal 4 5 3 3 3 2" xfId="7550"/>
    <cellStyle name="Normal 4 5 3 3 3 2 2" xfId="7551"/>
    <cellStyle name="Normal 4 5 3 3 3 2 3" xfId="7552"/>
    <cellStyle name="Normal 4 5 3 3 3 3" xfId="7553"/>
    <cellStyle name="Normal 4 5 3 3 3 4" xfId="7554"/>
    <cellStyle name="Normal 4 5 3 3 3 5" xfId="7555"/>
    <cellStyle name="Normal 4 5 3 3 4" xfId="7556"/>
    <cellStyle name="Normal 4 5 3 3 4 2" xfId="7557"/>
    <cellStyle name="Normal 4 5 3 3 4 3" xfId="7558"/>
    <cellStyle name="Normal 4 5 3 3 5" xfId="7559"/>
    <cellStyle name="Normal 4 5 3 3 6" xfId="7560"/>
    <cellStyle name="Normal 4 5 3 3 7" xfId="7561"/>
    <cellStyle name="Normal 4 5 3 4" xfId="7562"/>
    <cellStyle name="Normal 4 5 3 4 2" xfId="7563"/>
    <cellStyle name="Normal 4 5 3 4 2 2" xfId="7564"/>
    <cellStyle name="Normal 4 5 3 4 2 3" xfId="7565"/>
    <cellStyle name="Normal 4 5 3 4 3" xfId="7566"/>
    <cellStyle name="Normal 4 5 3 4 4" xfId="7567"/>
    <cellStyle name="Normal 4 5 3 4 5" xfId="7568"/>
    <cellStyle name="Normal 4 5 3 5" xfId="7569"/>
    <cellStyle name="Normal 4 5 3 5 2" xfId="7570"/>
    <cellStyle name="Normal 4 5 3 5 2 2" xfId="7571"/>
    <cellStyle name="Normal 4 5 3 5 2 3" xfId="7572"/>
    <cellStyle name="Normal 4 5 3 5 3" xfId="7573"/>
    <cellStyle name="Normal 4 5 3 5 4" xfId="7574"/>
    <cellStyle name="Normal 4 5 3 5 5" xfId="7575"/>
    <cellStyle name="Normal 4 5 3 6" xfId="7576"/>
    <cellStyle name="Normal 4 5 3 6 2" xfId="7577"/>
    <cellStyle name="Normal 4 5 3 6 3" xfId="7578"/>
    <cellStyle name="Normal 4 5 3 7" xfId="7579"/>
    <cellStyle name="Normal 4 5 3 8" xfId="7580"/>
    <cellStyle name="Normal 4 5 3 9" xfId="7581"/>
    <cellStyle name="Normal 4 5 4" xfId="7582"/>
    <cellStyle name="Normal 4 5 4 2" xfId="7583"/>
    <cellStyle name="Normal 4 5 4 2 2" xfId="7584"/>
    <cellStyle name="Normal 4 5 4 2 2 2" xfId="7585"/>
    <cellStyle name="Normal 4 5 4 2 2 2 2" xfId="7586"/>
    <cellStyle name="Normal 4 5 4 2 2 2 2 2" xfId="7587"/>
    <cellStyle name="Normal 4 5 4 2 2 2 2 3" xfId="7588"/>
    <cellStyle name="Normal 4 5 4 2 2 2 3" xfId="7589"/>
    <cellStyle name="Normal 4 5 4 2 2 2 4" xfId="7590"/>
    <cellStyle name="Normal 4 5 4 2 2 2 5" xfId="7591"/>
    <cellStyle name="Normal 4 5 4 2 2 3" xfId="7592"/>
    <cellStyle name="Normal 4 5 4 2 2 3 2" xfId="7593"/>
    <cellStyle name="Normal 4 5 4 2 2 3 2 2" xfId="7594"/>
    <cellStyle name="Normal 4 5 4 2 2 3 2 3" xfId="7595"/>
    <cellStyle name="Normal 4 5 4 2 2 3 3" xfId="7596"/>
    <cellStyle name="Normal 4 5 4 2 2 3 4" xfId="7597"/>
    <cellStyle name="Normal 4 5 4 2 2 3 5" xfId="7598"/>
    <cellStyle name="Normal 4 5 4 2 2 4" xfId="7599"/>
    <cellStyle name="Normal 4 5 4 2 2 4 2" xfId="7600"/>
    <cellStyle name="Normal 4 5 4 2 2 4 3" xfId="7601"/>
    <cellStyle name="Normal 4 5 4 2 2 5" xfId="7602"/>
    <cellStyle name="Normal 4 5 4 2 2 6" xfId="7603"/>
    <cellStyle name="Normal 4 5 4 2 2 7" xfId="7604"/>
    <cellStyle name="Normal 4 5 4 2 3" xfId="7605"/>
    <cellStyle name="Normal 4 5 4 2 3 2" xfId="7606"/>
    <cellStyle name="Normal 4 5 4 2 3 2 2" xfId="7607"/>
    <cellStyle name="Normal 4 5 4 2 3 2 3" xfId="7608"/>
    <cellStyle name="Normal 4 5 4 2 3 3" xfId="7609"/>
    <cellStyle name="Normal 4 5 4 2 3 4" xfId="7610"/>
    <cellStyle name="Normal 4 5 4 2 3 5" xfId="7611"/>
    <cellStyle name="Normal 4 5 4 2 4" xfId="7612"/>
    <cellStyle name="Normal 4 5 4 2 4 2" xfId="7613"/>
    <cellStyle name="Normal 4 5 4 2 4 2 2" xfId="7614"/>
    <cellStyle name="Normal 4 5 4 2 4 2 3" xfId="7615"/>
    <cellStyle name="Normal 4 5 4 2 4 3" xfId="7616"/>
    <cellStyle name="Normal 4 5 4 2 4 4" xfId="7617"/>
    <cellStyle name="Normal 4 5 4 2 4 5" xfId="7618"/>
    <cellStyle name="Normal 4 5 4 2 5" xfId="7619"/>
    <cellStyle name="Normal 4 5 4 2 5 2" xfId="7620"/>
    <cellStyle name="Normal 4 5 4 2 5 3" xfId="7621"/>
    <cellStyle name="Normal 4 5 4 2 6" xfId="7622"/>
    <cellStyle name="Normal 4 5 4 2 7" xfId="7623"/>
    <cellStyle name="Normal 4 5 4 2 8" xfId="7624"/>
    <cellStyle name="Normal 4 5 4 3" xfId="7625"/>
    <cellStyle name="Normal 4 5 4 3 2" xfId="7626"/>
    <cellStyle name="Normal 4 5 4 3 2 2" xfId="7627"/>
    <cellStyle name="Normal 4 5 4 3 2 2 2" xfId="7628"/>
    <cellStyle name="Normal 4 5 4 3 2 2 3" xfId="7629"/>
    <cellStyle name="Normal 4 5 4 3 2 3" xfId="7630"/>
    <cellStyle name="Normal 4 5 4 3 2 4" xfId="7631"/>
    <cellStyle name="Normal 4 5 4 3 2 5" xfId="7632"/>
    <cellStyle name="Normal 4 5 4 3 3" xfId="7633"/>
    <cellStyle name="Normal 4 5 4 3 3 2" xfId="7634"/>
    <cellStyle name="Normal 4 5 4 3 3 2 2" xfId="7635"/>
    <cellStyle name="Normal 4 5 4 3 3 2 3" xfId="7636"/>
    <cellStyle name="Normal 4 5 4 3 3 3" xfId="7637"/>
    <cellStyle name="Normal 4 5 4 3 3 4" xfId="7638"/>
    <cellStyle name="Normal 4 5 4 3 3 5" xfId="7639"/>
    <cellStyle name="Normal 4 5 4 3 4" xfId="7640"/>
    <cellStyle name="Normal 4 5 4 3 4 2" xfId="7641"/>
    <cellStyle name="Normal 4 5 4 3 4 3" xfId="7642"/>
    <cellStyle name="Normal 4 5 4 3 5" xfId="7643"/>
    <cellStyle name="Normal 4 5 4 3 6" xfId="7644"/>
    <cellStyle name="Normal 4 5 4 3 7" xfId="7645"/>
    <cellStyle name="Normal 4 5 4 4" xfId="7646"/>
    <cellStyle name="Normal 4 5 4 4 2" xfId="7647"/>
    <cellStyle name="Normal 4 5 4 4 2 2" xfId="7648"/>
    <cellStyle name="Normal 4 5 4 4 2 3" xfId="7649"/>
    <cellStyle name="Normal 4 5 4 4 3" xfId="7650"/>
    <cellStyle name="Normal 4 5 4 4 4" xfId="7651"/>
    <cellStyle name="Normal 4 5 4 4 5" xfId="7652"/>
    <cellStyle name="Normal 4 5 4 5" xfId="7653"/>
    <cellStyle name="Normal 4 5 4 5 2" xfId="7654"/>
    <cellStyle name="Normal 4 5 4 5 2 2" xfId="7655"/>
    <cellStyle name="Normal 4 5 4 5 2 3" xfId="7656"/>
    <cellStyle name="Normal 4 5 4 5 3" xfId="7657"/>
    <cellStyle name="Normal 4 5 4 5 4" xfId="7658"/>
    <cellStyle name="Normal 4 5 4 5 5" xfId="7659"/>
    <cellStyle name="Normal 4 5 4 6" xfId="7660"/>
    <cellStyle name="Normal 4 5 4 6 2" xfId="7661"/>
    <cellStyle name="Normal 4 5 4 6 3" xfId="7662"/>
    <cellStyle name="Normal 4 5 4 7" xfId="7663"/>
    <cellStyle name="Normal 4 5 4 8" xfId="7664"/>
    <cellStyle name="Normal 4 5 4 9" xfId="7665"/>
    <cellStyle name="Normal 4 5 5" xfId="7666"/>
    <cellStyle name="Normal 4 5 5 2" xfId="7667"/>
    <cellStyle name="Normal 4 5 5 2 2" xfId="7668"/>
    <cellStyle name="Normal 4 5 5 2 2 2" xfId="7669"/>
    <cellStyle name="Normal 4 5 5 2 2 2 2" xfId="7670"/>
    <cellStyle name="Normal 4 5 5 2 2 2 2 2" xfId="7671"/>
    <cellStyle name="Normal 4 5 5 2 2 2 2 3" xfId="7672"/>
    <cellStyle name="Normal 4 5 5 2 2 2 3" xfId="7673"/>
    <cellStyle name="Normal 4 5 5 2 2 2 4" xfId="7674"/>
    <cellStyle name="Normal 4 5 5 2 2 2 5" xfId="7675"/>
    <cellStyle name="Normal 4 5 5 2 2 3" xfId="7676"/>
    <cellStyle name="Normal 4 5 5 2 2 3 2" xfId="7677"/>
    <cellStyle name="Normal 4 5 5 2 2 3 2 2" xfId="7678"/>
    <cellStyle name="Normal 4 5 5 2 2 3 2 3" xfId="7679"/>
    <cellStyle name="Normal 4 5 5 2 2 3 3" xfId="7680"/>
    <cellStyle name="Normal 4 5 5 2 2 3 4" xfId="7681"/>
    <cellStyle name="Normal 4 5 5 2 2 3 5" xfId="7682"/>
    <cellStyle name="Normal 4 5 5 2 2 4" xfId="7683"/>
    <cellStyle name="Normal 4 5 5 2 2 4 2" xfId="7684"/>
    <cellStyle name="Normal 4 5 5 2 2 4 3" xfId="7685"/>
    <cellStyle name="Normal 4 5 5 2 2 5" xfId="7686"/>
    <cellStyle name="Normal 4 5 5 2 2 6" xfId="7687"/>
    <cellStyle name="Normal 4 5 5 2 2 7" xfId="7688"/>
    <cellStyle name="Normal 4 5 5 2 3" xfId="7689"/>
    <cellStyle name="Normal 4 5 5 2 3 2" xfId="7690"/>
    <cellStyle name="Normal 4 5 5 2 3 2 2" xfId="7691"/>
    <cellStyle name="Normal 4 5 5 2 3 2 3" xfId="7692"/>
    <cellStyle name="Normal 4 5 5 2 3 3" xfId="7693"/>
    <cellStyle name="Normal 4 5 5 2 3 4" xfId="7694"/>
    <cellStyle name="Normal 4 5 5 2 3 5" xfId="7695"/>
    <cellStyle name="Normal 4 5 5 2 4" xfId="7696"/>
    <cellStyle name="Normal 4 5 5 2 4 2" xfId="7697"/>
    <cellStyle name="Normal 4 5 5 2 4 2 2" xfId="7698"/>
    <cellStyle name="Normal 4 5 5 2 4 2 3" xfId="7699"/>
    <cellStyle name="Normal 4 5 5 2 4 3" xfId="7700"/>
    <cellStyle name="Normal 4 5 5 2 4 4" xfId="7701"/>
    <cellStyle name="Normal 4 5 5 2 4 5" xfId="7702"/>
    <cellStyle name="Normal 4 5 5 2 5" xfId="7703"/>
    <cellStyle name="Normal 4 5 5 2 5 2" xfId="7704"/>
    <cellStyle name="Normal 4 5 5 2 5 3" xfId="7705"/>
    <cellStyle name="Normal 4 5 5 2 6" xfId="7706"/>
    <cellStyle name="Normal 4 5 5 2 7" xfId="7707"/>
    <cellStyle name="Normal 4 5 5 2 8" xfId="7708"/>
    <cellStyle name="Normal 4 5 5 3" xfId="7709"/>
    <cellStyle name="Normal 4 5 5 3 2" xfId="7710"/>
    <cellStyle name="Normal 4 5 5 3 2 2" xfId="7711"/>
    <cellStyle name="Normal 4 5 5 3 2 2 2" xfId="7712"/>
    <cellStyle name="Normal 4 5 5 3 2 2 3" xfId="7713"/>
    <cellStyle name="Normal 4 5 5 3 2 3" xfId="7714"/>
    <cellStyle name="Normal 4 5 5 3 2 4" xfId="7715"/>
    <cellStyle name="Normal 4 5 5 3 2 5" xfId="7716"/>
    <cellStyle name="Normal 4 5 5 3 3" xfId="7717"/>
    <cellStyle name="Normal 4 5 5 3 3 2" xfId="7718"/>
    <cellStyle name="Normal 4 5 5 3 3 2 2" xfId="7719"/>
    <cellStyle name="Normal 4 5 5 3 3 2 3" xfId="7720"/>
    <cellStyle name="Normal 4 5 5 3 3 3" xfId="7721"/>
    <cellStyle name="Normal 4 5 5 3 3 4" xfId="7722"/>
    <cellStyle name="Normal 4 5 5 3 3 5" xfId="7723"/>
    <cellStyle name="Normal 4 5 5 3 4" xfId="7724"/>
    <cellStyle name="Normal 4 5 5 3 4 2" xfId="7725"/>
    <cellStyle name="Normal 4 5 5 3 4 3" xfId="7726"/>
    <cellStyle name="Normal 4 5 5 3 5" xfId="7727"/>
    <cellStyle name="Normal 4 5 5 3 6" xfId="7728"/>
    <cellStyle name="Normal 4 5 5 3 7" xfId="7729"/>
    <cellStyle name="Normal 4 5 5 4" xfId="7730"/>
    <cellStyle name="Normal 4 5 5 4 2" xfId="7731"/>
    <cellStyle name="Normal 4 5 5 4 2 2" xfId="7732"/>
    <cellStyle name="Normal 4 5 5 4 2 3" xfId="7733"/>
    <cellStyle name="Normal 4 5 5 4 3" xfId="7734"/>
    <cellStyle name="Normal 4 5 5 4 4" xfId="7735"/>
    <cellStyle name="Normal 4 5 5 4 5" xfId="7736"/>
    <cellStyle name="Normal 4 5 5 5" xfId="7737"/>
    <cellStyle name="Normal 4 5 5 5 2" xfId="7738"/>
    <cellStyle name="Normal 4 5 5 5 2 2" xfId="7739"/>
    <cellStyle name="Normal 4 5 5 5 2 3" xfId="7740"/>
    <cellStyle name="Normal 4 5 5 5 3" xfId="7741"/>
    <cellStyle name="Normal 4 5 5 5 4" xfId="7742"/>
    <cellStyle name="Normal 4 5 5 5 5" xfId="7743"/>
    <cellStyle name="Normal 4 5 5 6" xfId="7744"/>
    <cellStyle name="Normal 4 5 5 6 2" xfId="7745"/>
    <cellStyle name="Normal 4 5 5 6 3" xfId="7746"/>
    <cellStyle name="Normal 4 5 5 7" xfId="7747"/>
    <cellStyle name="Normal 4 5 5 8" xfId="7748"/>
    <cellStyle name="Normal 4 5 5 9" xfId="7749"/>
    <cellStyle name="Normal 4 5 6" xfId="7750"/>
    <cellStyle name="Normal 4 5 6 2" xfId="7751"/>
    <cellStyle name="Normal 4 5 6 2 2" xfId="7752"/>
    <cellStyle name="Normal 4 5 6 2 2 2" xfId="7753"/>
    <cellStyle name="Normal 4 5 6 2 2 2 2" xfId="7754"/>
    <cellStyle name="Normal 4 5 6 2 2 2 3" xfId="7755"/>
    <cellStyle name="Normal 4 5 6 2 2 3" xfId="7756"/>
    <cellStyle name="Normal 4 5 6 2 2 4" xfId="7757"/>
    <cellStyle name="Normal 4 5 6 2 2 5" xfId="7758"/>
    <cellStyle name="Normal 4 5 6 2 3" xfId="7759"/>
    <cellStyle name="Normal 4 5 6 2 3 2" xfId="7760"/>
    <cellStyle name="Normal 4 5 6 2 3 2 2" xfId="7761"/>
    <cellStyle name="Normal 4 5 6 2 3 2 3" xfId="7762"/>
    <cellStyle name="Normal 4 5 6 2 3 3" xfId="7763"/>
    <cellStyle name="Normal 4 5 6 2 3 4" xfId="7764"/>
    <cellStyle name="Normal 4 5 6 2 3 5" xfId="7765"/>
    <cellStyle name="Normal 4 5 6 2 4" xfId="7766"/>
    <cellStyle name="Normal 4 5 6 2 4 2" xfId="7767"/>
    <cellStyle name="Normal 4 5 6 2 4 3" xfId="7768"/>
    <cellStyle name="Normal 4 5 6 2 5" xfId="7769"/>
    <cellStyle name="Normal 4 5 6 2 6" xfId="7770"/>
    <cellStyle name="Normal 4 5 6 2 7" xfId="7771"/>
    <cellStyle name="Normal 4 5 6 3" xfId="7772"/>
    <cellStyle name="Normal 4 5 6 3 2" xfId="7773"/>
    <cellStyle name="Normal 4 5 6 3 2 2" xfId="7774"/>
    <cellStyle name="Normal 4 5 6 3 2 3" xfId="7775"/>
    <cellStyle name="Normal 4 5 6 3 3" xfId="7776"/>
    <cellStyle name="Normal 4 5 6 3 4" xfId="7777"/>
    <cellStyle name="Normal 4 5 6 3 5" xfId="7778"/>
    <cellStyle name="Normal 4 5 6 4" xfId="7779"/>
    <cellStyle name="Normal 4 5 6 4 2" xfId="7780"/>
    <cellStyle name="Normal 4 5 6 4 2 2" xfId="7781"/>
    <cellStyle name="Normal 4 5 6 4 2 3" xfId="7782"/>
    <cellStyle name="Normal 4 5 6 4 3" xfId="7783"/>
    <cellStyle name="Normal 4 5 6 4 4" xfId="7784"/>
    <cellStyle name="Normal 4 5 6 4 5" xfId="7785"/>
    <cellStyle name="Normal 4 5 6 5" xfId="7786"/>
    <cellStyle name="Normal 4 5 6 5 2" xfId="7787"/>
    <cellStyle name="Normal 4 5 6 5 3" xfId="7788"/>
    <cellStyle name="Normal 4 5 6 6" xfId="7789"/>
    <cellStyle name="Normal 4 5 6 7" xfId="7790"/>
    <cellStyle name="Normal 4 5 6 8" xfId="7791"/>
    <cellStyle name="Normal 4 5 7" xfId="7792"/>
    <cellStyle name="Normal 4 5 7 2" xfId="7793"/>
    <cellStyle name="Normal 4 5 7 2 2" xfId="7794"/>
    <cellStyle name="Normal 4 5 7 2 2 2" xfId="7795"/>
    <cellStyle name="Normal 4 5 7 2 2 3" xfId="7796"/>
    <cellStyle name="Normal 4 5 7 2 3" xfId="7797"/>
    <cellStyle name="Normal 4 5 7 2 4" xfId="7798"/>
    <cellStyle name="Normal 4 5 7 2 5" xfId="7799"/>
    <cellStyle name="Normal 4 5 7 3" xfId="7800"/>
    <cellStyle name="Normal 4 5 7 3 2" xfId="7801"/>
    <cellStyle name="Normal 4 5 7 3 2 2" xfId="7802"/>
    <cellStyle name="Normal 4 5 7 3 2 3" xfId="7803"/>
    <cellStyle name="Normal 4 5 7 3 3" xfId="7804"/>
    <cellStyle name="Normal 4 5 7 3 4" xfId="7805"/>
    <cellStyle name="Normal 4 5 7 3 5" xfId="7806"/>
    <cellStyle name="Normal 4 5 7 4" xfId="7807"/>
    <cellStyle name="Normal 4 5 7 4 2" xfId="7808"/>
    <cellStyle name="Normal 4 5 7 4 3" xfId="7809"/>
    <cellStyle name="Normal 4 5 7 5" xfId="7810"/>
    <cellStyle name="Normal 4 5 7 6" xfId="7811"/>
    <cellStyle name="Normal 4 5 7 7" xfId="7812"/>
    <cellStyle name="Normal 4 5 8" xfId="7813"/>
    <cellStyle name="Normal 4 5 8 2" xfId="7814"/>
    <cellStyle name="Normal 4 5 8 2 2" xfId="7815"/>
    <cellStyle name="Normal 4 5 8 2 2 2" xfId="7816"/>
    <cellStyle name="Normal 4 5 8 2 2 3" xfId="7817"/>
    <cellStyle name="Normal 4 5 8 2 3" xfId="7818"/>
    <cellStyle name="Normal 4 5 8 2 4" xfId="7819"/>
    <cellStyle name="Normal 4 5 8 2 5" xfId="7820"/>
    <cellStyle name="Normal 4 5 8 3" xfId="7821"/>
    <cellStyle name="Normal 4 5 8 3 2" xfId="7822"/>
    <cellStyle name="Normal 4 5 8 3 2 2" xfId="7823"/>
    <cellStyle name="Normal 4 5 8 3 2 3" xfId="7824"/>
    <cellStyle name="Normal 4 5 8 3 3" xfId="7825"/>
    <cellStyle name="Normal 4 5 8 3 4" xfId="7826"/>
    <cellStyle name="Normal 4 5 8 3 5" xfId="7827"/>
    <cellStyle name="Normal 4 5 8 4" xfId="7828"/>
    <cellStyle name="Normal 4 5 8 4 2" xfId="7829"/>
    <cellStyle name="Normal 4 5 8 4 3" xfId="7830"/>
    <cellStyle name="Normal 4 5 8 5" xfId="7831"/>
    <cellStyle name="Normal 4 5 8 6" xfId="7832"/>
    <cellStyle name="Normal 4 5 8 7" xfId="7833"/>
    <cellStyle name="Normal 4 5 9" xfId="7834"/>
    <cellStyle name="Normal 4 5 9 2" xfId="7835"/>
    <cellStyle name="Normal 4 5 9 2 2" xfId="7836"/>
    <cellStyle name="Normal 4 5 9 2 3" xfId="7837"/>
    <cellStyle name="Normal 4 5 9 3" xfId="7838"/>
    <cellStyle name="Normal 4 5 9 4" xfId="7839"/>
    <cellStyle name="Normal 4 5 9 5" xfId="7840"/>
    <cellStyle name="Normal 4 6" xfId="7841"/>
    <cellStyle name="Normal 4 6 10" xfId="7842"/>
    <cellStyle name="Normal 4 6 11" xfId="7843"/>
    <cellStyle name="Normal 4 6 12" xfId="7844"/>
    <cellStyle name="Normal 4 6 2" xfId="7845"/>
    <cellStyle name="Normal 4 6 2 2" xfId="7846"/>
    <cellStyle name="Normal 4 6 2 2 2" xfId="7847"/>
    <cellStyle name="Normal 4 6 2 2 2 2" xfId="7848"/>
    <cellStyle name="Normal 4 6 2 2 2 2 2" xfId="7849"/>
    <cellStyle name="Normal 4 6 2 2 2 2 2 2" xfId="7850"/>
    <cellStyle name="Normal 4 6 2 2 2 2 2 3" xfId="7851"/>
    <cellStyle name="Normal 4 6 2 2 2 2 3" xfId="7852"/>
    <cellStyle name="Normal 4 6 2 2 2 2 4" xfId="7853"/>
    <cellStyle name="Normal 4 6 2 2 2 2 5" xfId="7854"/>
    <cellStyle name="Normal 4 6 2 2 2 3" xfId="7855"/>
    <cellStyle name="Normal 4 6 2 2 2 3 2" xfId="7856"/>
    <cellStyle name="Normal 4 6 2 2 2 3 2 2" xfId="7857"/>
    <cellStyle name="Normal 4 6 2 2 2 3 2 3" xfId="7858"/>
    <cellStyle name="Normal 4 6 2 2 2 3 3" xfId="7859"/>
    <cellStyle name="Normal 4 6 2 2 2 3 4" xfId="7860"/>
    <cellStyle name="Normal 4 6 2 2 2 3 5" xfId="7861"/>
    <cellStyle name="Normal 4 6 2 2 2 4" xfId="7862"/>
    <cellStyle name="Normal 4 6 2 2 2 4 2" xfId="7863"/>
    <cellStyle name="Normal 4 6 2 2 2 4 3" xfId="7864"/>
    <cellStyle name="Normal 4 6 2 2 2 5" xfId="7865"/>
    <cellStyle name="Normal 4 6 2 2 2 6" xfId="7866"/>
    <cellStyle name="Normal 4 6 2 2 2 7" xfId="7867"/>
    <cellStyle name="Normal 4 6 2 2 3" xfId="7868"/>
    <cellStyle name="Normal 4 6 2 2 3 2" xfId="7869"/>
    <cellStyle name="Normal 4 6 2 2 3 2 2" xfId="7870"/>
    <cellStyle name="Normal 4 6 2 2 3 2 3" xfId="7871"/>
    <cellStyle name="Normal 4 6 2 2 3 3" xfId="7872"/>
    <cellStyle name="Normal 4 6 2 2 3 4" xfId="7873"/>
    <cellStyle name="Normal 4 6 2 2 3 5" xfId="7874"/>
    <cellStyle name="Normal 4 6 2 2 4" xfId="7875"/>
    <cellStyle name="Normal 4 6 2 2 4 2" xfId="7876"/>
    <cellStyle name="Normal 4 6 2 2 4 2 2" xfId="7877"/>
    <cellStyle name="Normal 4 6 2 2 4 2 3" xfId="7878"/>
    <cellStyle name="Normal 4 6 2 2 4 3" xfId="7879"/>
    <cellStyle name="Normal 4 6 2 2 4 4" xfId="7880"/>
    <cellStyle name="Normal 4 6 2 2 4 5" xfId="7881"/>
    <cellStyle name="Normal 4 6 2 2 5" xfId="7882"/>
    <cellStyle name="Normal 4 6 2 2 5 2" xfId="7883"/>
    <cellStyle name="Normal 4 6 2 2 5 3" xfId="7884"/>
    <cellStyle name="Normal 4 6 2 2 6" xfId="7885"/>
    <cellStyle name="Normal 4 6 2 2 7" xfId="7886"/>
    <cellStyle name="Normal 4 6 2 2 8" xfId="7887"/>
    <cellStyle name="Normal 4 6 2 3" xfId="7888"/>
    <cellStyle name="Normal 4 6 2 3 2" xfId="7889"/>
    <cellStyle name="Normal 4 6 2 3 2 2" xfId="7890"/>
    <cellStyle name="Normal 4 6 2 3 2 2 2" xfId="7891"/>
    <cellStyle name="Normal 4 6 2 3 2 2 3" xfId="7892"/>
    <cellStyle name="Normal 4 6 2 3 2 3" xfId="7893"/>
    <cellStyle name="Normal 4 6 2 3 2 4" xfId="7894"/>
    <cellStyle name="Normal 4 6 2 3 2 5" xfId="7895"/>
    <cellStyle name="Normal 4 6 2 3 3" xfId="7896"/>
    <cellStyle name="Normal 4 6 2 3 3 2" xfId="7897"/>
    <cellStyle name="Normal 4 6 2 3 3 2 2" xfId="7898"/>
    <cellStyle name="Normal 4 6 2 3 3 2 3" xfId="7899"/>
    <cellStyle name="Normal 4 6 2 3 3 3" xfId="7900"/>
    <cellStyle name="Normal 4 6 2 3 3 4" xfId="7901"/>
    <cellStyle name="Normal 4 6 2 3 3 5" xfId="7902"/>
    <cellStyle name="Normal 4 6 2 3 4" xfId="7903"/>
    <cellStyle name="Normal 4 6 2 3 4 2" xfId="7904"/>
    <cellStyle name="Normal 4 6 2 3 4 3" xfId="7905"/>
    <cellStyle name="Normal 4 6 2 3 5" xfId="7906"/>
    <cellStyle name="Normal 4 6 2 3 6" xfId="7907"/>
    <cellStyle name="Normal 4 6 2 3 7" xfId="7908"/>
    <cellStyle name="Normal 4 6 2 4" xfId="7909"/>
    <cellStyle name="Normal 4 6 2 4 2" xfId="7910"/>
    <cellStyle name="Normal 4 6 2 4 2 2" xfId="7911"/>
    <cellStyle name="Normal 4 6 2 4 2 3" xfId="7912"/>
    <cellStyle name="Normal 4 6 2 4 3" xfId="7913"/>
    <cellStyle name="Normal 4 6 2 4 4" xfId="7914"/>
    <cellStyle name="Normal 4 6 2 4 5" xfId="7915"/>
    <cellStyle name="Normal 4 6 2 5" xfId="7916"/>
    <cellStyle name="Normal 4 6 2 5 2" xfId="7917"/>
    <cellStyle name="Normal 4 6 2 5 2 2" xfId="7918"/>
    <cellStyle name="Normal 4 6 2 5 2 3" xfId="7919"/>
    <cellStyle name="Normal 4 6 2 5 3" xfId="7920"/>
    <cellStyle name="Normal 4 6 2 5 4" xfId="7921"/>
    <cellStyle name="Normal 4 6 2 5 5" xfId="7922"/>
    <cellStyle name="Normal 4 6 2 6" xfId="7923"/>
    <cellStyle name="Normal 4 6 2 6 2" xfId="7924"/>
    <cellStyle name="Normal 4 6 2 6 3" xfId="7925"/>
    <cellStyle name="Normal 4 6 2 7" xfId="7926"/>
    <cellStyle name="Normal 4 6 2 8" xfId="7927"/>
    <cellStyle name="Normal 4 6 2 9" xfId="7928"/>
    <cellStyle name="Normal 4 6 3" xfId="7929"/>
    <cellStyle name="Normal 4 6 3 2" xfId="7930"/>
    <cellStyle name="Normal 4 6 3 2 2" xfId="7931"/>
    <cellStyle name="Normal 4 6 3 2 2 2" xfId="7932"/>
    <cellStyle name="Normal 4 6 3 2 2 2 2" xfId="7933"/>
    <cellStyle name="Normal 4 6 3 2 2 2 2 2" xfId="7934"/>
    <cellStyle name="Normal 4 6 3 2 2 2 2 3" xfId="7935"/>
    <cellStyle name="Normal 4 6 3 2 2 2 3" xfId="7936"/>
    <cellStyle name="Normal 4 6 3 2 2 2 4" xfId="7937"/>
    <cellStyle name="Normal 4 6 3 2 2 2 5" xfId="7938"/>
    <cellStyle name="Normal 4 6 3 2 2 3" xfId="7939"/>
    <cellStyle name="Normal 4 6 3 2 2 3 2" xfId="7940"/>
    <cellStyle name="Normal 4 6 3 2 2 3 2 2" xfId="7941"/>
    <cellStyle name="Normal 4 6 3 2 2 3 2 3" xfId="7942"/>
    <cellStyle name="Normal 4 6 3 2 2 3 3" xfId="7943"/>
    <cellStyle name="Normal 4 6 3 2 2 3 4" xfId="7944"/>
    <cellStyle name="Normal 4 6 3 2 2 3 5" xfId="7945"/>
    <cellStyle name="Normal 4 6 3 2 2 4" xfId="7946"/>
    <cellStyle name="Normal 4 6 3 2 2 4 2" xfId="7947"/>
    <cellStyle name="Normal 4 6 3 2 2 4 3" xfId="7948"/>
    <cellStyle name="Normal 4 6 3 2 2 5" xfId="7949"/>
    <cellStyle name="Normal 4 6 3 2 2 6" xfId="7950"/>
    <cellStyle name="Normal 4 6 3 2 2 7" xfId="7951"/>
    <cellStyle name="Normal 4 6 3 2 3" xfId="7952"/>
    <cellStyle name="Normal 4 6 3 2 3 2" xfId="7953"/>
    <cellStyle name="Normal 4 6 3 2 3 2 2" xfId="7954"/>
    <cellStyle name="Normal 4 6 3 2 3 2 3" xfId="7955"/>
    <cellStyle name="Normal 4 6 3 2 3 3" xfId="7956"/>
    <cellStyle name="Normal 4 6 3 2 3 4" xfId="7957"/>
    <cellStyle name="Normal 4 6 3 2 3 5" xfId="7958"/>
    <cellStyle name="Normal 4 6 3 2 4" xfId="7959"/>
    <cellStyle name="Normal 4 6 3 2 4 2" xfId="7960"/>
    <cellStyle name="Normal 4 6 3 2 4 2 2" xfId="7961"/>
    <cellStyle name="Normal 4 6 3 2 4 2 3" xfId="7962"/>
    <cellStyle name="Normal 4 6 3 2 4 3" xfId="7963"/>
    <cellStyle name="Normal 4 6 3 2 4 4" xfId="7964"/>
    <cellStyle name="Normal 4 6 3 2 4 5" xfId="7965"/>
    <cellStyle name="Normal 4 6 3 2 5" xfId="7966"/>
    <cellStyle name="Normal 4 6 3 2 5 2" xfId="7967"/>
    <cellStyle name="Normal 4 6 3 2 5 3" xfId="7968"/>
    <cellStyle name="Normal 4 6 3 2 6" xfId="7969"/>
    <cellStyle name="Normal 4 6 3 2 7" xfId="7970"/>
    <cellStyle name="Normal 4 6 3 2 8" xfId="7971"/>
    <cellStyle name="Normal 4 6 3 3" xfId="7972"/>
    <cellStyle name="Normal 4 6 3 3 2" xfId="7973"/>
    <cellStyle name="Normal 4 6 3 3 2 2" xfId="7974"/>
    <cellStyle name="Normal 4 6 3 3 2 2 2" xfId="7975"/>
    <cellStyle name="Normal 4 6 3 3 2 2 3" xfId="7976"/>
    <cellStyle name="Normal 4 6 3 3 2 3" xfId="7977"/>
    <cellStyle name="Normal 4 6 3 3 2 4" xfId="7978"/>
    <cellStyle name="Normal 4 6 3 3 2 5" xfId="7979"/>
    <cellStyle name="Normal 4 6 3 3 3" xfId="7980"/>
    <cellStyle name="Normal 4 6 3 3 3 2" xfId="7981"/>
    <cellStyle name="Normal 4 6 3 3 3 2 2" xfId="7982"/>
    <cellStyle name="Normal 4 6 3 3 3 2 3" xfId="7983"/>
    <cellStyle name="Normal 4 6 3 3 3 3" xfId="7984"/>
    <cellStyle name="Normal 4 6 3 3 3 4" xfId="7985"/>
    <cellStyle name="Normal 4 6 3 3 3 5" xfId="7986"/>
    <cellStyle name="Normal 4 6 3 3 4" xfId="7987"/>
    <cellStyle name="Normal 4 6 3 3 4 2" xfId="7988"/>
    <cellStyle name="Normal 4 6 3 3 4 3" xfId="7989"/>
    <cellStyle name="Normal 4 6 3 3 5" xfId="7990"/>
    <cellStyle name="Normal 4 6 3 3 6" xfId="7991"/>
    <cellStyle name="Normal 4 6 3 3 7" xfId="7992"/>
    <cellStyle name="Normal 4 6 3 4" xfId="7993"/>
    <cellStyle name="Normal 4 6 3 4 2" xfId="7994"/>
    <cellStyle name="Normal 4 6 3 4 2 2" xfId="7995"/>
    <cellStyle name="Normal 4 6 3 4 2 3" xfId="7996"/>
    <cellStyle name="Normal 4 6 3 4 3" xfId="7997"/>
    <cellStyle name="Normal 4 6 3 4 4" xfId="7998"/>
    <cellStyle name="Normal 4 6 3 4 5" xfId="7999"/>
    <cellStyle name="Normal 4 6 3 5" xfId="8000"/>
    <cellStyle name="Normal 4 6 3 5 2" xfId="8001"/>
    <cellStyle name="Normal 4 6 3 5 2 2" xfId="8002"/>
    <cellStyle name="Normal 4 6 3 5 2 3" xfId="8003"/>
    <cellStyle name="Normal 4 6 3 5 3" xfId="8004"/>
    <cellStyle name="Normal 4 6 3 5 4" xfId="8005"/>
    <cellStyle name="Normal 4 6 3 5 5" xfId="8006"/>
    <cellStyle name="Normal 4 6 3 6" xfId="8007"/>
    <cellStyle name="Normal 4 6 3 6 2" xfId="8008"/>
    <cellStyle name="Normal 4 6 3 6 3" xfId="8009"/>
    <cellStyle name="Normal 4 6 3 7" xfId="8010"/>
    <cellStyle name="Normal 4 6 3 8" xfId="8011"/>
    <cellStyle name="Normal 4 6 3 9" xfId="8012"/>
    <cellStyle name="Normal 4 6 4" xfId="8013"/>
    <cellStyle name="Normal 4 6 4 2" xfId="8014"/>
    <cellStyle name="Normal 4 6 4 2 2" xfId="8015"/>
    <cellStyle name="Normal 4 6 4 2 2 2" xfId="8016"/>
    <cellStyle name="Normal 4 6 4 2 2 2 2" xfId="8017"/>
    <cellStyle name="Normal 4 6 4 2 2 2 2 2" xfId="8018"/>
    <cellStyle name="Normal 4 6 4 2 2 2 2 3" xfId="8019"/>
    <cellStyle name="Normal 4 6 4 2 2 2 3" xfId="8020"/>
    <cellStyle name="Normal 4 6 4 2 2 2 4" xfId="8021"/>
    <cellStyle name="Normal 4 6 4 2 2 2 5" xfId="8022"/>
    <cellStyle name="Normal 4 6 4 2 2 3" xfId="8023"/>
    <cellStyle name="Normal 4 6 4 2 2 3 2" xfId="8024"/>
    <cellStyle name="Normal 4 6 4 2 2 3 2 2" xfId="8025"/>
    <cellStyle name="Normal 4 6 4 2 2 3 2 3" xfId="8026"/>
    <cellStyle name="Normal 4 6 4 2 2 3 3" xfId="8027"/>
    <cellStyle name="Normal 4 6 4 2 2 3 4" xfId="8028"/>
    <cellStyle name="Normal 4 6 4 2 2 3 5" xfId="8029"/>
    <cellStyle name="Normal 4 6 4 2 2 4" xfId="8030"/>
    <cellStyle name="Normal 4 6 4 2 2 4 2" xfId="8031"/>
    <cellStyle name="Normal 4 6 4 2 2 4 3" xfId="8032"/>
    <cellStyle name="Normal 4 6 4 2 2 5" xfId="8033"/>
    <cellStyle name="Normal 4 6 4 2 2 6" xfId="8034"/>
    <cellStyle name="Normal 4 6 4 2 2 7" xfId="8035"/>
    <cellStyle name="Normal 4 6 4 2 3" xfId="8036"/>
    <cellStyle name="Normal 4 6 4 2 3 2" xfId="8037"/>
    <cellStyle name="Normal 4 6 4 2 3 2 2" xfId="8038"/>
    <cellStyle name="Normal 4 6 4 2 3 2 3" xfId="8039"/>
    <cellStyle name="Normal 4 6 4 2 3 3" xfId="8040"/>
    <cellStyle name="Normal 4 6 4 2 3 4" xfId="8041"/>
    <cellStyle name="Normal 4 6 4 2 3 5" xfId="8042"/>
    <cellStyle name="Normal 4 6 4 2 4" xfId="8043"/>
    <cellStyle name="Normal 4 6 4 2 4 2" xfId="8044"/>
    <cellStyle name="Normal 4 6 4 2 4 2 2" xfId="8045"/>
    <cellStyle name="Normal 4 6 4 2 4 2 3" xfId="8046"/>
    <cellStyle name="Normal 4 6 4 2 4 3" xfId="8047"/>
    <cellStyle name="Normal 4 6 4 2 4 4" xfId="8048"/>
    <cellStyle name="Normal 4 6 4 2 4 5" xfId="8049"/>
    <cellStyle name="Normal 4 6 4 2 5" xfId="8050"/>
    <cellStyle name="Normal 4 6 4 2 5 2" xfId="8051"/>
    <cellStyle name="Normal 4 6 4 2 5 3" xfId="8052"/>
    <cellStyle name="Normal 4 6 4 2 6" xfId="8053"/>
    <cellStyle name="Normal 4 6 4 2 7" xfId="8054"/>
    <cellStyle name="Normal 4 6 4 2 8" xfId="8055"/>
    <cellStyle name="Normal 4 6 4 3" xfId="8056"/>
    <cellStyle name="Normal 4 6 4 3 2" xfId="8057"/>
    <cellStyle name="Normal 4 6 4 3 2 2" xfId="8058"/>
    <cellStyle name="Normal 4 6 4 3 2 2 2" xfId="8059"/>
    <cellStyle name="Normal 4 6 4 3 2 2 3" xfId="8060"/>
    <cellStyle name="Normal 4 6 4 3 2 3" xfId="8061"/>
    <cellStyle name="Normal 4 6 4 3 2 4" xfId="8062"/>
    <cellStyle name="Normal 4 6 4 3 2 5" xfId="8063"/>
    <cellStyle name="Normal 4 6 4 3 3" xfId="8064"/>
    <cellStyle name="Normal 4 6 4 3 3 2" xfId="8065"/>
    <cellStyle name="Normal 4 6 4 3 3 2 2" xfId="8066"/>
    <cellStyle name="Normal 4 6 4 3 3 2 3" xfId="8067"/>
    <cellStyle name="Normal 4 6 4 3 3 3" xfId="8068"/>
    <cellStyle name="Normal 4 6 4 3 3 4" xfId="8069"/>
    <cellStyle name="Normal 4 6 4 3 3 5" xfId="8070"/>
    <cellStyle name="Normal 4 6 4 3 4" xfId="8071"/>
    <cellStyle name="Normal 4 6 4 3 4 2" xfId="8072"/>
    <cellStyle name="Normal 4 6 4 3 4 3" xfId="8073"/>
    <cellStyle name="Normal 4 6 4 3 5" xfId="8074"/>
    <cellStyle name="Normal 4 6 4 3 6" xfId="8075"/>
    <cellStyle name="Normal 4 6 4 3 7" xfId="8076"/>
    <cellStyle name="Normal 4 6 4 4" xfId="8077"/>
    <cellStyle name="Normal 4 6 4 4 2" xfId="8078"/>
    <cellStyle name="Normal 4 6 4 4 2 2" xfId="8079"/>
    <cellStyle name="Normal 4 6 4 4 2 3" xfId="8080"/>
    <cellStyle name="Normal 4 6 4 4 3" xfId="8081"/>
    <cellStyle name="Normal 4 6 4 4 4" xfId="8082"/>
    <cellStyle name="Normal 4 6 4 4 5" xfId="8083"/>
    <cellStyle name="Normal 4 6 4 5" xfId="8084"/>
    <cellStyle name="Normal 4 6 4 5 2" xfId="8085"/>
    <cellStyle name="Normal 4 6 4 5 2 2" xfId="8086"/>
    <cellStyle name="Normal 4 6 4 5 2 3" xfId="8087"/>
    <cellStyle name="Normal 4 6 4 5 3" xfId="8088"/>
    <cellStyle name="Normal 4 6 4 5 4" xfId="8089"/>
    <cellStyle name="Normal 4 6 4 5 5" xfId="8090"/>
    <cellStyle name="Normal 4 6 4 6" xfId="8091"/>
    <cellStyle name="Normal 4 6 4 6 2" xfId="8092"/>
    <cellStyle name="Normal 4 6 4 6 3" xfId="8093"/>
    <cellStyle name="Normal 4 6 4 7" xfId="8094"/>
    <cellStyle name="Normal 4 6 4 8" xfId="8095"/>
    <cellStyle name="Normal 4 6 4 9" xfId="8096"/>
    <cellStyle name="Normal 4 6 5" xfId="8097"/>
    <cellStyle name="Normal 4 6 5 2" xfId="8098"/>
    <cellStyle name="Normal 4 6 5 2 2" xfId="8099"/>
    <cellStyle name="Normal 4 6 5 2 2 2" xfId="8100"/>
    <cellStyle name="Normal 4 6 5 2 2 2 2" xfId="8101"/>
    <cellStyle name="Normal 4 6 5 2 2 2 3" xfId="8102"/>
    <cellStyle name="Normal 4 6 5 2 2 3" xfId="8103"/>
    <cellStyle name="Normal 4 6 5 2 2 4" xfId="8104"/>
    <cellStyle name="Normal 4 6 5 2 2 5" xfId="8105"/>
    <cellStyle name="Normal 4 6 5 2 3" xfId="8106"/>
    <cellStyle name="Normal 4 6 5 2 3 2" xfId="8107"/>
    <cellStyle name="Normal 4 6 5 2 3 2 2" xfId="8108"/>
    <cellStyle name="Normal 4 6 5 2 3 2 3" xfId="8109"/>
    <cellStyle name="Normal 4 6 5 2 3 3" xfId="8110"/>
    <cellStyle name="Normal 4 6 5 2 3 4" xfId="8111"/>
    <cellStyle name="Normal 4 6 5 2 3 5" xfId="8112"/>
    <cellStyle name="Normal 4 6 5 2 4" xfId="8113"/>
    <cellStyle name="Normal 4 6 5 2 4 2" xfId="8114"/>
    <cellStyle name="Normal 4 6 5 2 4 3" xfId="8115"/>
    <cellStyle name="Normal 4 6 5 2 5" xfId="8116"/>
    <cellStyle name="Normal 4 6 5 2 6" xfId="8117"/>
    <cellStyle name="Normal 4 6 5 2 7" xfId="8118"/>
    <cellStyle name="Normal 4 6 5 3" xfId="8119"/>
    <cellStyle name="Normal 4 6 5 3 2" xfId="8120"/>
    <cellStyle name="Normal 4 6 5 3 2 2" xfId="8121"/>
    <cellStyle name="Normal 4 6 5 3 2 3" xfId="8122"/>
    <cellStyle name="Normal 4 6 5 3 3" xfId="8123"/>
    <cellStyle name="Normal 4 6 5 3 4" xfId="8124"/>
    <cellStyle name="Normal 4 6 5 3 5" xfId="8125"/>
    <cellStyle name="Normal 4 6 5 4" xfId="8126"/>
    <cellStyle name="Normal 4 6 5 4 2" xfId="8127"/>
    <cellStyle name="Normal 4 6 5 4 2 2" xfId="8128"/>
    <cellStyle name="Normal 4 6 5 4 2 3" xfId="8129"/>
    <cellStyle name="Normal 4 6 5 4 3" xfId="8130"/>
    <cellStyle name="Normal 4 6 5 4 4" xfId="8131"/>
    <cellStyle name="Normal 4 6 5 4 5" xfId="8132"/>
    <cellStyle name="Normal 4 6 5 5" xfId="8133"/>
    <cellStyle name="Normal 4 6 5 5 2" xfId="8134"/>
    <cellStyle name="Normal 4 6 5 5 3" xfId="8135"/>
    <cellStyle name="Normal 4 6 5 6" xfId="8136"/>
    <cellStyle name="Normal 4 6 5 7" xfId="8137"/>
    <cellStyle name="Normal 4 6 5 8" xfId="8138"/>
    <cellStyle name="Normal 4 6 6" xfId="8139"/>
    <cellStyle name="Normal 4 6 6 2" xfId="8140"/>
    <cellStyle name="Normal 4 6 6 2 2" xfId="8141"/>
    <cellStyle name="Normal 4 6 6 2 2 2" xfId="8142"/>
    <cellStyle name="Normal 4 6 6 2 2 3" xfId="8143"/>
    <cellStyle name="Normal 4 6 6 2 3" xfId="8144"/>
    <cellStyle name="Normal 4 6 6 2 4" xfId="8145"/>
    <cellStyle name="Normal 4 6 6 2 5" xfId="8146"/>
    <cellStyle name="Normal 4 6 6 3" xfId="8147"/>
    <cellStyle name="Normal 4 6 6 3 2" xfId="8148"/>
    <cellStyle name="Normal 4 6 6 3 2 2" xfId="8149"/>
    <cellStyle name="Normal 4 6 6 3 2 3" xfId="8150"/>
    <cellStyle name="Normal 4 6 6 3 3" xfId="8151"/>
    <cellStyle name="Normal 4 6 6 3 4" xfId="8152"/>
    <cellStyle name="Normal 4 6 6 3 5" xfId="8153"/>
    <cellStyle name="Normal 4 6 6 4" xfId="8154"/>
    <cellStyle name="Normal 4 6 6 4 2" xfId="8155"/>
    <cellStyle name="Normal 4 6 6 4 3" xfId="8156"/>
    <cellStyle name="Normal 4 6 6 5" xfId="8157"/>
    <cellStyle name="Normal 4 6 6 6" xfId="8158"/>
    <cellStyle name="Normal 4 6 6 7" xfId="8159"/>
    <cellStyle name="Normal 4 6 7" xfId="8160"/>
    <cellStyle name="Normal 4 6 7 2" xfId="8161"/>
    <cellStyle name="Normal 4 6 7 2 2" xfId="8162"/>
    <cellStyle name="Normal 4 6 7 2 3" xfId="8163"/>
    <cellStyle name="Normal 4 6 7 3" xfId="8164"/>
    <cellStyle name="Normal 4 6 7 4" xfId="8165"/>
    <cellStyle name="Normal 4 6 7 5" xfId="8166"/>
    <cellStyle name="Normal 4 6 8" xfId="8167"/>
    <cellStyle name="Normal 4 6 8 2" xfId="8168"/>
    <cellStyle name="Normal 4 6 8 2 2" xfId="8169"/>
    <cellStyle name="Normal 4 6 8 2 3" xfId="8170"/>
    <cellStyle name="Normal 4 6 8 3" xfId="8171"/>
    <cellStyle name="Normal 4 6 8 4" xfId="8172"/>
    <cellStyle name="Normal 4 6 8 5" xfId="8173"/>
    <cellStyle name="Normal 4 6 9" xfId="8174"/>
    <cellStyle name="Normal 4 6 9 2" xfId="8175"/>
    <cellStyle name="Normal 4 6 9 3" xfId="8176"/>
    <cellStyle name="Normal 4 7" xfId="8177"/>
    <cellStyle name="Normal 4 7 2" xfId="8178"/>
    <cellStyle name="Normal 4 7 2 2" xfId="8179"/>
    <cellStyle name="Normal 4 7 2 2 2" xfId="8180"/>
    <cellStyle name="Normal 4 7 2 2 2 2" xfId="8181"/>
    <cellStyle name="Normal 4 7 2 2 2 2 2" xfId="8182"/>
    <cellStyle name="Normal 4 7 2 2 2 2 3" xfId="8183"/>
    <cellStyle name="Normal 4 7 2 2 2 3" xfId="8184"/>
    <cellStyle name="Normal 4 7 2 2 2 4" xfId="8185"/>
    <cellStyle name="Normal 4 7 2 2 2 5" xfId="8186"/>
    <cellStyle name="Normal 4 7 2 2 3" xfId="8187"/>
    <cellStyle name="Normal 4 7 2 2 3 2" xfId="8188"/>
    <cellStyle name="Normal 4 7 2 2 3 2 2" xfId="8189"/>
    <cellStyle name="Normal 4 7 2 2 3 2 3" xfId="8190"/>
    <cellStyle name="Normal 4 7 2 2 3 3" xfId="8191"/>
    <cellStyle name="Normal 4 7 2 2 3 4" xfId="8192"/>
    <cellStyle name="Normal 4 7 2 2 3 5" xfId="8193"/>
    <cellStyle name="Normal 4 7 2 2 4" xfId="8194"/>
    <cellStyle name="Normal 4 7 2 2 4 2" xfId="8195"/>
    <cellStyle name="Normal 4 7 2 2 4 3" xfId="8196"/>
    <cellStyle name="Normal 4 7 2 2 5" xfId="8197"/>
    <cellStyle name="Normal 4 7 2 2 6" xfId="8198"/>
    <cellStyle name="Normal 4 7 2 2 7" xfId="8199"/>
    <cellStyle name="Normal 4 7 2 3" xfId="8200"/>
    <cellStyle name="Normal 4 7 2 3 2" xfId="8201"/>
    <cellStyle name="Normal 4 7 2 3 2 2" xfId="8202"/>
    <cellStyle name="Normal 4 7 2 3 2 3" xfId="8203"/>
    <cellStyle name="Normal 4 7 2 3 3" xfId="8204"/>
    <cellStyle name="Normal 4 7 2 3 4" xfId="8205"/>
    <cellStyle name="Normal 4 7 2 3 5" xfId="8206"/>
    <cellStyle name="Normal 4 7 2 4" xfId="8207"/>
    <cellStyle name="Normal 4 7 2 4 2" xfId="8208"/>
    <cellStyle name="Normal 4 7 2 4 2 2" xfId="8209"/>
    <cellStyle name="Normal 4 7 2 4 2 3" xfId="8210"/>
    <cellStyle name="Normal 4 7 2 4 3" xfId="8211"/>
    <cellStyle name="Normal 4 7 2 4 4" xfId="8212"/>
    <cellStyle name="Normal 4 7 2 4 5" xfId="8213"/>
    <cellStyle name="Normal 4 7 2 5" xfId="8214"/>
    <cellStyle name="Normal 4 7 2 5 2" xfId="8215"/>
    <cellStyle name="Normal 4 7 2 5 3" xfId="8216"/>
    <cellStyle name="Normal 4 7 2 6" xfId="8217"/>
    <cellStyle name="Normal 4 7 2 7" xfId="8218"/>
    <cellStyle name="Normal 4 7 2 8" xfId="8219"/>
    <cellStyle name="Normal 4 7 3" xfId="8220"/>
    <cellStyle name="Normal 4 7 3 2" xfId="8221"/>
    <cellStyle name="Normal 4 7 3 2 2" xfId="8222"/>
    <cellStyle name="Normal 4 7 3 2 2 2" xfId="8223"/>
    <cellStyle name="Normal 4 7 3 2 2 3" xfId="8224"/>
    <cellStyle name="Normal 4 7 3 2 3" xfId="8225"/>
    <cellStyle name="Normal 4 7 3 2 4" xfId="8226"/>
    <cellStyle name="Normal 4 7 3 2 5" xfId="8227"/>
    <cellStyle name="Normal 4 7 3 3" xfId="8228"/>
    <cellStyle name="Normal 4 7 3 3 2" xfId="8229"/>
    <cellStyle name="Normal 4 7 3 3 2 2" xfId="8230"/>
    <cellStyle name="Normal 4 7 3 3 2 3" xfId="8231"/>
    <cellStyle name="Normal 4 7 3 3 3" xfId="8232"/>
    <cellStyle name="Normal 4 7 3 3 4" xfId="8233"/>
    <cellStyle name="Normal 4 7 3 3 5" xfId="8234"/>
    <cellStyle name="Normal 4 7 3 4" xfId="8235"/>
    <cellStyle name="Normal 4 7 3 4 2" xfId="8236"/>
    <cellStyle name="Normal 4 7 3 4 3" xfId="8237"/>
    <cellStyle name="Normal 4 7 3 5" xfId="8238"/>
    <cellStyle name="Normal 4 7 3 6" xfId="8239"/>
    <cellStyle name="Normal 4 7 3 7" xfId="8240"/>
    <cellStyle name="Normal 4 7 4" xfId="8241"/>
    <cellStyle name="Normal 4 7 4 2" xfId="8242"/>
    <cellStyle name="Normal 4 7 4 2 2" xfId="8243"/>
    <cellStyle name="Normal 4 7 4 2 3" xfId="8244"/>
    <cellStyle name="Normal 4 7 4 3" xfId="8245"/>
    <cellStyle name="Normal 4 7 4 4" xfId="8246"/>
    <cellStyle name="Normal 4 7 4 5" xfId="8247"/>
    <cellStyle name="Normal 4 7 5" xfId="8248"/>
    <cellStyle name="Normal 4 7 5 2" xfId="8249"/>
    <cellStyle name="Normal 4 7 5 2 2" xfId="8250"/>
    <cellStyle name="Normal 4 7 5 2 3" xfId="8251"/>
    <cellStyle name="Normal 4 7 5 3" xfId="8252"/>
    <cellStyle name="Normal 4 7 5 4" xfId="8253"/>
    <cellStyle name="Normal 4 7 5 5" xfId="8254"/>
    <cellStyle name="Normal 4 7 6" xfId="8255"/>
    <cellStyle name="Normal 4 7 6 2" xfId="8256"/>
    <cellStyle name="Normal 4 7 6 3" xfId="8257"/>
    <cellStyle name="Normal 4 7 7" xfId="8258"/>
    <cellStyle name="Normal 4 7 8" xfId="8259"/>
    <cellStyle name="Normal 4 7 9" xfId="8260"/>
    <cellStyle name="Normal 4 8" xfId="8261"/>
    <cellStyle name="Normal 4 8 2" xfId="8262"/>
    <cellStyle name="Normal 4 8 2 2" xfId="8263"/>
    <cellStyle name="Normal 4 8 2 2 2" xfId="8264"/>
    <cellStyle name="Normal 4 8 2 2 2 2" xfId="8265"/>
    <cellStyle name="Normal 4 8 2 2 2 2 2" xfId="8266"/>
    <cellStyle name="Normal 4 8 2 2 2 2 3" xfId="8267"/>
    <cellStyle name="Normal 4 8 2 2 2 3" xfId="8268"/>
    <cellStyle name="Normal 4 8 2 2 2 4" xfId="8269"/>
    <cellStyle name="Normal 4 8 2 2 2 5" xfId="8270"/>
    <cellStyle name="Normal 4 8 2 2 3" xfId="8271"/>
    <cellStyle name="Normal 4 8 2 2 3 2" xfId="8272"/>
    <cellStyle name="Normal 4 8 2 2 3 2 2" xfId="8273"/>
    <cellStyle name="Normal 4 8 2 2 3 2 3" xfId="8274"/>
    <cellStyle name="Normal 4 8 2 2 3 3" xfId="8275"/>
    <cellStyle name="Normal 4 8 2 2 3 4" xfId="8276"/>
    <cellStyle name="Normal 4 8 2 2 3 5" xfId="8277"/>
    <cellStyle name="Normal 4 8 2 2 4" xfId="8278"/>
    <cellStyle name="Normal 4 8 2 2 4 2" xfId="8279"/>
    <cellStyle name="Normal 4 8 2 2 4 3" xfId="8280"/>
    <cellStyle name="Normal 4 8 2 2 5" xfId="8281"/>
    <cellStyle name="Normal 4 8 2 2 6" xfId="8282"/>
    <cellStyle name="Normal 4 8 2 2 7" xfId="8283"/>
    <cellStyle name="Normal 4 8 2 3" xfId="8284"/>
    <cellStyle name="Normal 4 8 2 3 2" xfId="8285"/>
    <cellStyle name="Normal 4 8 2 3 2 2" xfId="8286"/>
    <cellStyle name="Normal 4 8 2 3 2 3" xfId="8287"/>
    <cellStyle name="Normal 4 8 2 3 3" xfId="8288"/>
    <cellStyle name="Normal 4 8 2 3 4" xfId="8289"/>
    <cellStyle name="Normal 4 8 2 3 5" xfId="8290"/>
    <cellStyle name="Normal 4 8 2 4" xfId="8291"/>
    <cellStyle name="Normal 4 8 2 4 2" xfId="8292"/>
    <cellStyle name="Normal 4 8 2 4 2 2" xfId="8293"/>
    <cellStyle name="Normal 4 8 2 4 2 3" xfId="8294"/>
    <cellStyle name="Normal 4 8 2 4 3" xfId="8295"/>
    <cellStyle name="Normal 4 8 2 4 4" xfId="8296"/>
    <cellStyle name="Normal 4 8 2 4 5" xfId="8297"/>
    <cellStyle name="Normal 4 8 2 5" xfId="8298"/>
    <cellStyle name="Normal 4 8 2 5 2" xfId="8299"/>
    <cellStyle name="Normal 4 8 2 5 3" xfId="8300"/>
    <cellStyle name="Normal 4 8 2 6" xfId="8301"/>
    <cellStyle name="Normal 4 8 2 7" xfId="8302"/>
    <cellStyle name="Normal 4 8 2 8" xfId="8303"/>
    <cellStyle name="Normal 4 8 3" xfId="8304"/>
    <cellStyle name="Normal 4 8 3 2" xfId="8305"/>
    <cellStyle name="Normal 4 8 3 2 2" xfId="8306"/>
    <cellStyle name="Normal 4 8 3 2 2 2" xfId="8307"/>
    <cellStyle name="Normal 4 8 3 2 2 3" xfId="8308"/>
    <cellStyle name="Normal 4 8 3 2 3" xfId="8309"/>
    <cellStyle name="Normal 4 8 3 2 4" xfId="8310"/>
    <cellStyle name="Normal 4 8 3 2 5" xfId="8311"/>
    <cellStyle name="Normal 4 8 3 3" xfId="8312"/>
    <cellStyle name="Normal 4 8 3 3 2" xfId="8313"/>
    <cellStyle name="Normal 4 8 3 3 2 2" xfId="8314"/>
    <cellStyle name="Normal 4 8 3 3 2 3" xfId="8315"/>
    <cellStyle name="Normal 4 8 3 3 3" xfId="8316"/>
    <cellStyle name="Normal 4 8 3 3 4" xfId="8317"/>
    <cellStyle name="Normal 4 8 3 3 5" xfId="8318"/>
    <cellStyle name="Normal 4 8 3 4" xfId="8319"/>
    <cellStyle name="Normal 4 8 3 4 2" xfId="8320"/>
    <cellStyle name="Normal 4 8 3 4 3" xfId="8321"/>
    <cellStyle name="Normal 4 8 3 5" xfId="8322"/>
    <cellStyle name="Normal 4 8 3 6" xfId="8323"/>
    <cellStyle name="Normal 4 8 3 7" xfId="8324"/>
    <cellStyle name="Normal 4 8 4" xfId="8325"/>
    <cellStyle name="Normal 4 8 4 2" xfId="8326"/>
    <cellStyle name="Normal 4 8 4 2 2" xfId="8327"/>
    <cellStyle name="Normal 4 8 4 2 3" xfId="8328"/>
    <cellStyle name="Normal 4 8 4 3" xfId="8329"/>
    <cellStyle name="Normal 4 8 4 4" xfId="8330"/>
    <cellStyle name="Normal 4 8 4 5" xfId="8331"/>
    <cellStyle name="Normal 4 8 5" xfId="8332"/>
    <cellStyle name="Normal 4 8 5 2" xfId="8333"/>
    <cellStyle name="Normal 4 8 5 2 2" xfId="8334"/>
    <cellStyle name="Normal 4 8 5 2 3" xfId="8335"/>
    <cellStyle name="Normal 4 8 5 3" xfId="8336"/>
    <cellStyle name="Normal 4 8 5 4" xfId="8337"/>
    <cellStyle name="Normal 4 8 5 5" xfId="8338"/>
    <cellStyle name="Normal 4 8 6" xfId="8339"/>
    <cellStyle name="Normal 4 8 6 2" xfId="8340"/>
    <cellStyle name="Normal 4 8 6 3" xfId="8341"/>
    <cellStyle name="Normal 4 8 7" xfId="8342"/>
    <cellStyle name="Normal 4 8 8" xfId="8343"/>
    <cellStyle name="Normal 4 8 9" xfId="8344"/>
    <cellStyle name="Normal 4 9" xfId="8345"/>
    <cellStyle name="Normal 4 9 2" xfId="8346"/>
    <cellStyle name="Normal 4 9 2 2" xfId="8347"/>
    <cellStyle name="Normal 4 9 2 2 2" xfId="8348"/>
    <cellStyle name="Normal 4 9 2 2 2 2" xfId="8349"/>
    <cellStyle name="Normal 4 9 2 2 2 2 2" xfId="8350"/>
    <cellStyle name="Normal 4 9 2 2 2 2 3" xfId="8351"/>
    <cellStyle name="Normal 4 9 2 2 2 3" xfId="8352"/>
    <cellStyle name="Normal 4 9 2 2 2 4" xfId="8353"/>
    <cellStyle name="Normal 4 9 2 2 2 5" xfId="8354"/>
    <cellStyle name="Normal 4 9 2 2 3" xfId="8355"/>
    <cellStyle name="Normal 4 9 2 2 3 2" xfId="8356"/>
    <cellStyle name="Normal 4 9 2 2 3 2 2" xfId="8357"/>
    <cellStyle name="Normal 4 9 2 2 3 2 3" xfId="8358"/>
    <cellStyle name="Normal 4 9 2 2 3 3" xfId="8359"/>
    <cellStyle name="Normal 4 9 2 2 3 4" xfId="8360"/>
    <cellStyle name="Normal 4 9 2 2 3 5" xfId="8361"/>
    <cellStyle name="Normal 4 9 2 2 4" xfId="8362"/>
    <cellStyle name="Normal 4 9 2 2 4 2" xfId="8363"/>
    <cellStyle name="Normal 4 9 2 2 4 3" xfId="8364"/>
    <cellStyle name="Normal 4 9 2 2 5" xfId="8365"/>
    <cellStyle name="Normal 4 9 2 2 6" xfId="8366"/>
    <cellStyle name="Normal 4 9 2 2 7" xfId="8367"/>
    <cellStyle name="Normal 4 9 2 3" xfId="8368"/>
    <cellStyle name="Normal 4 9 2 3 2" xfId="8369"/>
    <cellStyle name="Normal 4 9 2 3 2 2" xfId="8370"/>
    <cellStyle name="Normal 4 9 2 3 2 3" xfId="8371"/>
    <cellStyle name="Normal 4 9 2 3 3" xfId="8372"/>
    <cellStyle name="Normal 4 9 2 3 4" xfId="8373"/>
    <cellStyle name="Normal 4 9 2 3 5" xfId="8374"/>
    <cellStyle name="Normal 4 9 2 4" xfId="8375"/>
    <cellStyle name="Normal 4 9 2 4 2" xfId="8376"/>
    <cellStyle name="Normal 4 9 2 4 2 2" xfId="8377"/>
    <cellStyle name="Normal 4 9 2 4 2 3" xfId="8378"/>
    <cellStyle name="Normal 4 9 2 4 3" xfId="8379"/>
    <cellStyle name="Normal 4 9 2 4 4" xfId="8380"/>
    <cellStyle name="Normal 4 9 2 4 5" xfId="8381"/>
    <cellStyle name="Normal 4 9 2 5" xfId="8382"/>
    <cellStyle name="Normal 4 9 2 5 2" xfId="8383"/>
    <cellStyle name="Normal 4 9 2 5 3" xfId="8384"/>
    <cellStyle name="Normal 4 9 2 6" xfId="8385"/>
    <cellStyle name="Normal 4 9 2 7" xfId="8386"/>
    <cellStyle name="Normal 4 9 2 8" xfId="8387"/>
    <cellStyle name="Normal 4 9 3" xfId="8388"/>
    <cellStyle name="Normal 4 9 3 2" xfId="8389"/>
    <cellStyle name="Normal 4 9 3 2 2" xfId="8390"/>
    <cellStyle name="Normal 4 9 3 2 2 2" xfId="8391"/>
    <cellStyle name="Normal 4 9 3 2 2 3" xfId="8392"/>
    <cellStyle name="Normal 4 9 3 2 3" xfId="8393"/>
    <cellStyle name="Normal 4 9 3 2 4" xfId="8394"/>
    <cellStyle name="Normal 4 9 3 2 5" xfId="8395"/>
    <cellStyle name="Normal 4 9 3 3" xfId="8396"/>
    <cellStyle name="Normal 4 9 3 3 2" xfId="8397"/>
    <cellStyle name="Normal 4 9 3 3 2 2" xfId="8398"/>
    <cellStyle name="Normal 4 9 3 3 2 3" xfId="8399"/>
    <cellStyle name="Normal 4 9 3 3 3" xfId="8400"/>
    <cellStyle name="Normal 4 9 3 3 4" xfId="8401"/>
    <cellStyle name="Normal 4 9 3 3 5" xfId="8402"/>
    <cellStyle name="Normal 4 9 3 4" xfId="8403"/>
    <cellStyle name="Normal 4 9 3 4 2" xfId="8404"/>
    <cellStyle name="Normal 4 9 3 4 3" xfId="8405"/>
    <cellStyle name="Normal 4 9 3 5" xfId="8406"/>
    <cellStyle name="Normal 4 9 3 6" xfId="8407"/>
    <cellStyle name="Normal 4 9 3 7" xfId="8408"/>
    <cellStyle name="Normal 4 9 4" xfId="8409"/>
    <cellStyle name="Normal 4 9 4 2" xfId="8410"/>
    <cellStyle name="Normal 4 9 4 2 2" xfId="8411"/>
    <cellStyle name="Normal 4 9 4 2 3" xfId="8412"/>
    <cellStyle name="Normal 4 9 4 3" xfId="8413"/>
    <cellStyle name="Normal 4 9 4 4" xfId="8414"/>
    <cellStyle name="Normal 4 9 4 5" xfId="8415"/>
    <cellStyle name="Normal 4 9 5" xfId="8416"/>
    <cellStyle name="Normal 4 9 5 2" xfId="8417"/>
    <cellStyle name="Normal 4 9 5 2 2" xfId="8418"/>
    <cellStyle name="Normal 4 9 5 2 3" xfId="8419"/>
    <cellStyle name="Normal 4 9 5 3" xfId="8420"/>
    <cellStyle name="Normal 4 9 5 4" xfId="8421"/>
    <cellStyle name="Normal 4 9 5 5" xfId="8422"/>
    <cellStyle name="Normal 4 9 6" xfId="8423"/>
    <cellStyle name="Normal 4 9 6 2" xfId="8424"/>
    <cellStyle name="Normal 4 9 6 3" xfId="8425"/>
    <cellStyle name="Normal 4 9 7" xfId="8426"/>
    <cellStyle name="Normal 4 9 8" xfId="8427"/>
    <cellStyle name="Normal 4 9 9" xfId="8428"/>
    <cellStyle name="Normal 4_Attach O, GG, Support -New Method 2-14-11" xfId="191"/>
    <cellStyle name="Normal 5" xfId="192"/>
    <cellStyle name="Normal 5 10" xfId="8429"/>
    <cellStyle name="Normal 5 10 2" xfId="8430"/>
    <cellStyle name="Normal 5 10 2 2" xfId="8431"/>
    <cellStyle name="Normal 5 10 2 3" xfId="8432"/>
    <cellStyle name="Normal 5 10 3" xfId="8433"/>
    <cellStyle name="Normal 5 10 4" xfId="8434"/>
    <cellStyle name="Normal 5 10 5" xfId="8435"/>
    <cellStyle name="Normal 5 11" xfId="8436"/>
    <cellStyle name="Normal 5 2" xfId="602"/>
    <cellStyle name="Normal 5 2 2" xfId="8437"/>
    <cellStyle name="Normal 5 2 2 2" xfId="8438"/>
    <cellStyle name="Normal 5 2 2 2 2" xfId="8439"/>
    <cellStyle name="Normal 5 2 2 2 2 2" xfId="8440"/>
    <cellStyle name="Normal 5 2 2 2 2 2 2" xfId="8441"/>
    <cellStyle name="Normal 5 2 2 2 2 2 2 2" xfId="8442"/>
    <cellStyle name="Normal 5 2 2 2 2 2 2 3" xfId="8443"/>
    <cellStyle name="Normal 5 2 2 2 2 2 3" xfId="8444"/>
    <cellStyle name="Normal 5 2 2 2 2 2 4" xfId="8445"/>
    <cellStyle name="Normal 5 2 2 2 2 2 5" xfId="8446"/>
    <cellStyle name="Normal 5 2 2 2 2 3" xfId="8447"/>
    <cellStyle name="Normal 5 2 2 2 2 3 2" xfId="8448"/>
    <cellStyle name="Normal 5 2 2 2 2 3 2 2" xfId="8449"/>
    <cellStyle name="Normal 5 2 2 2 2 3 2 3" xfId="8450"/>
    <cellStyle name="Normal 5 2 2 2 2 3 3" xfId="8451"/>
    <cellStyle name="Normal 5 2 2 2 2 3 4" xfId="8452"/>
    <cellStyle name="Normal 5 2 2 2 2 3 5" xfId="8453"/>
    <cellStyle name="Normal 5 2 2 2 2 4" xfId="8454"/>
    <cellStyle name="Normal 5 2 2 2 2 4 2" xfId="8455"/>
    <cellStyle name="Normal 5 2 2 2 2 4 3" xfId="8456"/>
    <cellStyle name="Normal 5 2 2 2 2 5" xfId="8457"/>
    <cellStyle name="Normal 5 2 2 2 2 6" xfId="8458"/>
    <cellStyle name="Normal 5 2 2 2 2 7" xfId="8459"/>
    <cellStyle name="Normal 5 2 2 2 3" xfId="8460"/>
    <cellStyle name="Normal 5 2 2 2 3 2" xfId="8461"/>
    <cellStyle name="Normal 5 2 2 2 3 2 2" xfId="8462"/>
    <cellStyle name="Normal 5 2 2 2 3 2 3" xfId="8463"/>
    <cellStyle name="Normal 5 2 2 2 3 3" xfId="8464"/>
    <cellStyle name="Normal 5 2 2 2 3 4" xfId="8465"/>
    <cellStyle name="Normal 5 2 2 2 3 5" xfId="8466"/>
    <cellStyle name="Normal 5 2 2 2 4" xfId="8467"/>
    <cellStyle name="Normal 5 2 2 2 4 2" xfId="8468"/>
    <cellStyle name="Normal 5 2 2 2 4 2 2" xfId="8469"/>
    <cellStyle name="Normal 5 2 2 2 4 2 3" xfId="8470"/>
    <cellStyle name="Normal 5 2 2 2 4 3" xfId="8471"/>
    <cellStyle name="Normal 5 2 2 2 4 4" xfId="8472"/>
    <cellStyle name="Normal 5 2 2 2 4 5" xfId="8473"/>
    <cellStyle name="Normal 5 2 2 2 5" xfId="8474"/>
    <cellStyle name="Normal 5 2 2 2 5 2" xfId="8475"/>
    <cellStyle name="Normal 5 2 2 2 5 3" xfId="8476"/>
    <cellStyle name="Normal 5 2 2 2 6" xfId="8477"/>
    <cellStyle name="Normal 5 2 2 2 7" xfId="8478"/>
    <cellStyle name="Normal 5 2 2 2 8" xfId="8479"/>
    <cellStyle name="Normal 5 2 2 3" xfId="8480"/>
    <cellStyle name="Normal 5 2 2 3 2" xfId="8481"/>
    <cellStyle name="Normal 5 2 2 3 2 2" xfId="8482"/>
    <cellStyle name="Normal 5 2 2 3 2 2 2" xfId="8483"/>
    <cellStyle name="Normal 5 2 2 3 2 2 3" xfId="8484"/>
    <cellStyle name="Normal 5 2 2 3 2 3" xfId="8485"/>
    <cellStyle name="Normal 5 2 2 3 2 4" xfId="8486"/>
    <cellStyle name="Normal 5 2 2 3 2 5" xfId="8487"/>
    <cellStyle name="Normal 5 2 2 3 3" xfId="8488"/>
    <cellStyle name="Normal 5 2 2 3 3 2" xfId="8489"/>
    <cellStyle name="Normal 5 2 2 3 3 2 2" xfId="8490"/>
    <cellStyle name="Normal 5 2 2 3 3 2 3" xfId="8491"/>
    <cellStyle name="Normal 5 2 2 3 3 3" xfId="8492"/>
    <cellStyle name="Normal 5 2 2 3 3 4" xfId="8493"/>
    <cellStyle name="Normal 5 2 2 3 3 5" xfId="8494"/>
    <cellStyle name="Normal 5 2 2 3 4" xfId="8495"/>
    <cellStyle name="Normal 5 2 2 3 4 2" xfId="8496"/>
    <cellStyle name="Normal 5 2 2 3 4 3" xfId="8497"/>
    <cellStyle name="Normal 5 2 2 3 5" xfId="8498"/>
    <cellStyle name="Normal 5 2 2 3 6" xfId="8499"/>
    <cellStyle name="Normal 5 2 2 3 7" xfId="8500"/>
    <cellStyle name="Normal 5 2 2 4" xfId="8501"/>
    <cellStyle name="Normal 5 2 2 4 2" xfId="8502"/>
    <cellStyle name="Normal 5 2 2 4 2 2" xfId="8503"/>
    <cellStyle name="Normal 5 2 2 4 2 3" xfId="8504"/>
    <cellStyle name="Normal 5 2 2 4 3" xfId="8505"/>
    <cellStyle name="Normal 5 2 2 4 4" xfId="8506"/>
    <cellStyle name="Normal 5 2 2 4 5" xfId="8507"/>
    <cellStyle name="Normal 5 2 2 5" xfId="8508"/>
    <cellStyle name="Normal 5 2 2 5 2" xfId="8509"/>
    <cellStyle name="Normal 5 2 2 5 2 2" xfId="8510"/>
    <cellStyle name="Normal 5 2 2 5 2 3" xfId="8511"/>
    <cellStyle name="Normal 5 2 2 5 3" xfId="8512"/>
    <cellStyle name="Normal 5 2 2 5 4" xfId="8513"/>
    <cellStyle name="Normal 5 2 2 5 5" xfId="8514"/>
    <cellStyle name="Normal 5 2 2 6" xfId="8515"/>
    <cellStyle name="Normal 5 2 2 6 2" xfId="8516"/>
    <cellStyle name="Normal 5 2 2 6 3" xfId="8517"/>
    <cellStyle name="Normal 5 2 2 7" xfId="8518"/>
    <cellStyle name="Normal 5 2 2 8" xfId="8519"/>
    <cellStyle name="Normal 5 2 2 9" xfId="8520"/>
    <cellStyle name="Normal 5 2 3" xfId="8521"/>
    <cellStyle name="Normal 5 2 3 2" xfId="8522"/>
    <cellStyle name="Normal 5 2 3 2 2" xfId="8523"/>
    <cellStyle name="Normal 5 2 3 2 2 2" xfId="8524"/>
    <cellStyle name="Normal 5 2 3 2 2 2 2" xfId="8525"/>
    <cellStyle name="Normal 5 2 3 2 2 2 2 2" xfId="8526"/>
    <cellStyle name="Normal 5 2 3 2 2 2 2 3" xfId="8527"/>
    <cellStyle name="Normal 5 2 3 2 2 2 3" xfId="8528"/>
    <cellStyle name="Normal 5 2 3 2 2 2 4" xfId="8529"/>
    <cellStyle name="Normal 5 2 3 2 2 2 5" xfId="8530"/>
    <cellStyle name="Normal 5 2 3 2 2 3" xfId="8531"/>
    <cellStyle name="Normal 5 2 3 2 2 3 2" xfId="8532"/>
    <cellStyle name="Normal 5 2 3 2 2 3 2 2" xfId="8533"/>
    <cellStyle name="Normal 5 2 3 2 2 3 2 3" xfId="8534"/>
    <cellStyle name="Normal 5 2 3 2 2 3 3" xfId="8535"/>
    <cellStyle name="Normal 5 2 3 2 2 3 4" xfId="8536"/>
    <cellStyle name="Normal 5 2 3 2 2 3 5" xfId="8537"/>
    <cellStyle name="Normal 5 2 3 2 2 4" xfId="8538"/>
    <cellStyle name="Normal 5 2 3 2 2 4 2" xfId="8539"/>
    <cellStyle name="Normal 5 2 3 2 2 4 3" xfId="8540"/>
    <cellStyle name="Normal 5 2 3 2 2 5" xfId="8541"/>
    <cellStyle name="Normal 5 2 3 2 2 6" xfId="8542"/>
    <cellStyle name="Normal 5 2 3 2 2 7" xfId="8543"/>
    <cellStyle name="Normal 5 2 3 2 3" xfId="8544"/>
    <cellStyle name="Normal 5 2 3 2 3 2" xfId="8545"/>
    <cellStyle name="Normal 5 2 3 2 3 2 2" xfId="8546"/>
    <cellStyle name="Normal 5 2 3 2 3 2 3" xfId="8547"/>
    <cellStyle name="Normal 5 2 3 2 3 3" xfId="8548"/>
    <cellStyle name="Normal 5 2 3 2 3 4" xfId="8549"/>
    <cellStyle name="Normal 5 2 3 2 3 5" xfId="8550"/>
    <cellStyle name="Normal 5 2 3 2 4" xfId="8551"/>
    <cellStyle name="Normal 5 2 3 2 4 2" xfId="8552"/>
    <cellStyle name="Normal 5 2 3 2 4 2 2" xfId="8553"/>
    <cellStyle name="Normal 5 2 3 2 4 2 3" xfId="8554"/>
    <cellStyle name="Normal 5 2 3 2 4 3" xfId="8555"/>
    <cellStyle name="Normal 5 2 3 2 4 4" xfId="8556"/>
    <cellStyle name="Normal 5 2 3 2 4 5" xfId="8557"/>
    <cellStyle name="Normal 5 2 3 2 5" xfId="8558"/>
    <cellStyle name="Normal 5 2 3 2 5 2" xfId="8559"/>
    <cellStyle name="Normal 5 2 3 2 5 3" xfId="8560"/>
    <cellStyle name="Normal 5 2 3 2 6" xfId="8561"/>
    <cellStyle name="Normal 5 2 3 2 7" xfId="8562"/>
    <cellStyle name="Normal 5 2 3 2 8" xfId="8563"/>
    <cellStyle name="Normal 5 2 3 3" xfId="8564"/>
    <cellStyle name="Normal 5 2 3 3 2" xfId="8565"/>
    <cellStyle name="Normal 5 2 3 3 2 2" xfId="8566"/>
    <cellStyle name="Normal 5 2 3 3 2 2 2" xfId="8567"/>
    <cellStyle name="Normal 5 2 3 3 2 2 3" xfId="8568"/>
    <cellStyle name="Normal 5 2 3 3 2 3" xfId="8569"/>
    <cellStyle name="Normal 5 2 3 3 2 4" xfId="8570"/>
    <cellStyle name="Normal 5 2 3 3 2 5" xfId="8571"/>
    <cellStyle name="Normal 5 2 3 3 3" xfId="8572"/>
    <cellStyle name="Normal 5 2 3 3 3 2" xfId="8573"/>
    <cellStyle name="Normal 5 2 3 3 3 2 2" xfId="8574"/>
    <cellStyle name="Normal 5 2 3 3 3 2 3" xfId="8575"/>
    <cellStyle name="Normal 5 2 3 3 3 3" xfId="8576"/>
    <cellStyle name="Normal 5 2 3 3 3 4" xfId="8577"/>
    <cellStyle name="Normal 5 2 3 3 3 5" xfId="8578"/>
    <cellStyle name="Normal 5 2 3 3 4" xfId="8579"/>
    <cellStyle name="Normal 5 2 3 3 4 2" xfId="8580"/>
    <cellStyle name="Normal 5 2 3 3 4 3" xfId="8581"/>
    <cellStyle name="Normal 5 2 3 3 5" xfId="8582"/>
    <cellStyle name="Normal 5 2 3 3 6" xfId="8583"/>
    <cellStyle name="Normal 5 2 3 3 7" xfId="8584"/>
    <cellStyle name="Normal 5 2 3 4" xfId="8585"/>
    <cellStyle name="Normal 5 2 3 4 2" xfId="8586"/>
    <cellStyle name="Normal 5 2 3 4 2 2" xfId="8587"/>
    <cellStyle name="Normal 5 2 3 4 2 3" xfId="8588"/>
    <cellStyle name="Normal 5 2 3 4 3" xfId="8589"/>
    <cellStyle name="Normal 5 2 3 4 4" xfId="8590"/>
    <cellStyle name="Normal 5 2 3 4 5" xfId="8591"/>
    <cellStyle name="Normal 5 2 3 5" xfId="8592"/>
    <cellStyle name="Normal 5 2 3 5 2" xfId="8593"/>
    <cellStyle name="Normal 5 2 3 5 2 2" xfId="8594"/>
    <cellStyle name="Normal 5 2 3 5 2 3" xfId="8595"/>
    <cellStyle name="Normal 5 2 3 5 3" xfId="8596"/>
    <cellStyle name="Normal 5 2 3 5 4" xfId="8597"/>
    <cellStyle name="Normal 5 2 3 5 5" xfId="8598"/>
    <cellStyle name="Normal 5 2 3 6" xfId="8599"/>
    <cellStyle name="Normal 5 2 3 6 2" xfId="8600"/>
    <cellStyle name="Normal 5 2 3 6 3" xfId="8601"/>
    <cellStyle name="Normal 5 2 3 7" xfId="8602"/>
    <cellStyle name="Normal 5 2 3 8" xfId="8603"/>
    <cellStyle name="Normal 5 2 3 9" xfId="8604"/>
    <cellStyle name="Normal 5 2 4" xfId="8605"/>
    <cellStyle name="Normal 5 2 4 2" xfId="8606"/>
    <cellStyle name="Normal 5 2 4 2 2" xfId="8607"/>
    <cellStyle name="Normal 5 2 4 2 2 2" xfId="8608"/>
    <cellStyle name="Normal 5 2 4 2 2 2 2" xfId="8609"/>
    <cellStyle name="Normal 5 2 4 2 2 2 2 2" xfId="8610"/>
    <cellStyle name="Normal 5 2 4 2 2 2 2 3" xfId="8611"/>
    <cellStyle name="Normal 5 2 4 2 2 2 3" xfId="8612"/>
    <cellStyle name="Normal 5 2 4 2 2 2 4" xfId="8613"/>
    <cellStyle name="Normal 5 2 4 2 2 2 5" xfId="8614"/>
    <cellStyle name="Normal 5 2 4 2 2 3" xfId="8615"/>
    <cellStyle name="Normal 5 2 4 2 2 3 2" xfId="8616"/>
    <cellStyle name="Normal 5 2 4 2 2 3 2 2" xfId="8617"/>
    <cellStyle name="Normal 5 2 4 2 2 3 2 3" xfId="8618"/>
    <cellStyle name="Normal 5 2 4 2 2 3 3" xfId="8619"/>
    <cellStyle name="Normal 5 2 4 2 2 3 4" xfId="8620"/>
    <cellStyle name="Normal 5 2 4 2 2 3 5" xfId="8621"/>
    <cellStyle name="Normal 5 2 4 2 2 4" xfId="8622"/>
    <cellStyle name="Normal 5 2 4 2 2 4 2" xfId="8623"/>
    <cellStyle name="Normal 5 2 4 2 2 4 3" xfId="8624"/>
    <cellStyle name="Normal 5 2 4 2 2 5" xfId="8625"/>
    <cellStyle name="Normal 5 2 4 2 2 6" xfId="8626"/>
    <cellStyle name="Normal 5 2 4 2 2 7" xfId="8627"/>
    <cellStyle name="Normal 5 2 4 2 3" xfId="8628"/>
    <cellStyle name="Normal 5 2 4 2 3 2" xfId="8629"/>
    <cellStyle name="Normal 5 2 4 2 3 2 2" xfId="8630"/>
    <cellStyle name="Normal 5 2 4 2 3 2 3" xfId="8631"/>
    <cellStyle name="Normal 5 2 4 2 3 3" xfId="8632"/>
    <cellStyle name="Normal 5 2 4 2 3 4" xfId="8633"/>
    <cellStyle name="Normal 5 2 4 2 3 5" xfId="8634"/>
    <cellStyle name="Normal 5 2 4 2 4" xfId="8635"/>
    <cellStyle name="Normal 5 2 4 2 4 2" xfId="8636"/>
    <cellStyle name="Normal 5 2 4 2 4 2 2" xfId="8637"/>
    <cellStyle name="Normal 5 2 4 2 4 2 3" xfId="8638"/>
    <cellStyle name="Normal 5 2 4 2 4 3" xfId="8639"/>
    <cellStyle name="Normal 5 2 4 2 4 4" xfId="8640"/>
    <cellStyle name="Normal 5 2 4 2 4 5" xfId="8641"/>
    <cellStyle name="Normal 5 2 4 2 5" xfId="8642"/>
    <cellStyle name="Normal 5 2 4 2 5 2" xfId="8643"/>
    <cellStyle name="Normal 5 2 4 2 5 3" xfId="8644"/>
    <cellStyle name="Normal 5 2 4 2 6" xfId="8645"/>
    <cellStyle name="Normal 5 2 4 2 7" xfId="8646"/>
    <cellStyle name="Normal 5 2 4 2 8" xfId="8647"/>
    <cellStyle name="Normal 5 2 4 3" xfId="8648"/>
    <cellStyle name="Normal 5 2 4 3 2" xfId="8649"/>
    <cellStyle name="Normal 5 2 4 3 2 2" xfId="8650"/>
    <cellStyle name="Normal 5 2 4 3 2 2 2" xfId="8651"/>
    <cellStyle name="Normal 5 2 4 3 2 2 3" xfId="8652"/>
    <cellStyle name="Normal 5 2 4 3 2 3" xfId="8653"/>
    <cellStyle name="Normal 5 2 4 3 2 4" xfId="8654"/>
    <cellStyle name="Normal 5 2 4 3 2 5" xfId="8655"/>
    <cellStyle name="Normal 5 2 4 3 3" xfId="8656"/>
    <cellStyle name="Normal 5 2 4 3 3 2" xfId="8657"/>
    <cellStyle name="Normal 5 2 4 3 3 2 2" xfId="8658"/>
    <cellStyle name="Normal 5 2 4 3 3 2 3" xfId="8659"/>
    <cellStyle name="Normal 5 2 4 3 3 3" xfId="8660"/>
    <cellStyle name="Normal 5 2 4 3 3 4" xfId="8661"/>
    <cellStyle name="Normal 5 2 4 3 3 5" xfId="8662"/>
    <cellStyle name="Normal 5 2 4 3 4" xfId="8663"/>
    <cellStyle name="Normal 5 2 4 3 4 2" xfId="8664"/>
    <cellStyle name="Normal 5 2 4 3 4 3" xfId="8665"/>
    <cellStyle name="Normal 5 2 4 3 5" xfId="8666"/>
    <cellStyle name="Normal 5 2 4 3 6" xfId="8667"/>
    <cellStyle name="Normal 5 2 4 3 7" xfId="8668"/>
    <cellStyle name="Normal 5 2 4 4" xfId="8669"/>
    <cellStyle name="Normal 5 2 4 4 2" xfId="8670"/>
    <cellStyle name="Normal 5 2 4 4 2 2" xfId="8671"/>
    <cellStyle name="Normal 5 2 4 4 2 3" xfId="8672"/>
    <cellStyle name="Normal 5 2 4 4 3" xfId="8673"/>
    <cellStyle name="Normal 5 2 4 4 4" xfId="8674"/>
    <cellStyle name="Normal 5 2 4 4 5" xfId="8675"/>
    <cellStyle name="Normal 5 2 4 5" xfId="8676"/>
    <cellStyle name="Normal 5 2 4 5 2" xfId="8677"/>
    <cellStyle name="Normal 5 2 4 5 2 2" xfId="8678"/>
    <cellStyle name="Normal 5 2 4 5 2 3" xfId="8679"/>
    <cellStyle name="Normal 5 2 4 5 3" xfId="8680"/>
    <cellStyle name="Normal 5 2 4 5 4" xfId="8681"/>
    <cellStyle name="Normal 5 2 4 5 5" xfId="8682"/>
    <cellStyle name="Normal 5 2 4 6" xfId="8683"/>
    <cellStyle name="Normal 5 2 4 6 2" xfId="8684"/>
    <cellStyle name="Normal 5 2 4 6 3" xfId="8685"/>
    <cellStyle name="Normal 5 2 4 7" xfId="8686"/>
    <cellStyle name="Normal 5 2 4 8" xfId="8687"/>
    <cellStyle name="Normal 5 2 4 9" xfId="8688"/>
    <cellStyle name="Normal 5 2 5" xfId="8689"/>
    <cellStyle name="Normal 5 2 5 2" xfId="8690"/>
    <cellStyle name="Normal 5 2 5 2 2" xfId="8691"/>
    <cellStyle name="Normal 5 2 5 2 2 2" xfId="8692"/>
    <cellStyle name="Normal 5 2 5 2 2 2 2" xfId="8693"/>
    <cellStyle name="Normal 5 2 5 2 2 2 3" xfId="8694"/>
    <cellStyle name="Normal 5 2 5 2 2 3" xfId="8695"/>
    <cellStyle name="Normal 5 2 5 2 2 4" xfId="8696"/>
    <cellStyle name="Normal 5 2 5 2 2 5" xfId="8697"/>
    <cellStyle name="Normal 5 2 5 2 3" xfId="8698"/>
    <cellStyle name="Normal 5 2 5 2 3 2" xfId="8699"/>
    <cellStyle name="Normal 5 2 5 2 3 2 2" xfId="8700"/>
    <cellStyle name="Normal 5 2 5 2 3 2 3" xfId="8701"/>
    <cellStyle name="Normal 5 2 5 2 3 3" xfId="8702"/>
    <cellStyle name="Normal 5 2 5 2 3 4" xfId="8703"/>
    <cellStyle name="Normal 5 2 5 2 3 5" xfId="8704"/>
    <cellStyle name="Normal 5 2 5 2 4" xfId="8705"/>
    <cellStyle name="Normal 5 2 5 2 4 2" xfId="8706"/>
    <cellStyle name="Normal 5 2 5 2 4 3" xfId="8707"/>
    <cellStyle name="Normal 5 2 5 2 5" xfId="8708"/>
    <cellStyle name="Normal 5 2 5 2 6" xfId="8709"/>
    <cellStyle name="Normal 5 2 5 2 7" xfId="8710"/>
    <cellStyle name="Normal 5 2 5 3" xfId="8711"/>
    <cellStyle name="Normal 5 2 5 3 2" xfId="8712"/>
    <cellStyle name="Normal 5 2 5 3 2 2" xfId="8713"/>
    <cellStyle name="Normal 5 2 5 3 2 3" xfId="8714"/>
    <cellStyle name="Normal 5 2 5 3 3" xfId="8715"/>
    <cellStyle name="Normal 5 2 5 3 4" xfId="8716"/>
    <cellStyle name="Normal 5 2 5 3 5" xfId="8717"/>
    <cellStyle name="Normal 5 2 5 4" xfId="8718"/>
    <cellStyle name="Normal 5 2 5 4 2" xfId="8719"/>
    <cellStyle name="Normal 5 2 5 4 2 2" xfId="8720"/>
    <cellStyle name="Normal 5 2 5 4 2 3" xfId="8721"/>
    <cellStyle name="Normal 5 2 5 4 3" xfId="8722"/>
    <cellStyle name="Normal 5 2 5 4 4" xfId="8723"/>
    <cellStyle name="Normal 5 2 5 4 5" xfId="8724"/>
    <cellStyle name="Normal 5 2 5 5" xfId="8725"/>
    <cellStyle name="Normal 5 2 5 5 2" xfId="8726"/>
    <cellStyle name="Normal 5 2 5 5 3" xfId="8727"/>
    <cellStyle name="Normal 5 2 5 6" xfId="8728"/>
    <cellStyle name="Normal 5 2 5 7" xfId="8729"/>
    <cellStyle name="Normal 5 2 5 8" xfId="8730"/>
    <cellStyle name="Normal 5 2 6" xfId="8731"/>
    <cellStyle name="Normal 5 2 6 2" xfId="8732"/>
    <cellStyle name="Normal 5 2 6 2 2" xfId="8733"/>
    <cellStyle name="Normal 5 2 6 2 2 2" xfId="8734"/>
    <cellStyle name="Normal 5 2 6 2 2 3" xfId="8735"/>
    <cellStyle name="Normal 5 2 6 2 3" xfId="8736"/>
    <cellStyle name="Normal 5 2 6 2 4" xfId="8737"/>
    <cellStyle name="Normal 5 2 6 2 5" xfId="8738"/>
    <cellStyle name="Normal 5 2 6 3" xfId="8739"/>
    <cellStyle name="Normal 5 2 6 3 2" xfId="8740"/>
    <cellStyle name="Normal 5 2 6 3 2 2" xfId="8741"/>
    <cellStyle name="Normal 5 2 6 3 2 3" xfId="8742"/>
    <cellStyle name="Normal 5 2 6 3 3" xfId="8743"/>
    <cellStyle name="Normal 5 2 6 3 4" xfId="8744"/>
    <cellStyle name="Normal 5 2 6 3 5" xfId="8745"/>
    <cellStyle name="Normal 5 2 6 4" xfId="8746"/>
    <cellStyle name="Normal 5 2 6 4 2" xfId="8747"/>
    <cellStyle name="Normal 5 2 6 4 3" xfId="8748"/>
    <cellStyle name="Normal 5 2 6 5" xfId="8749"/>
    <cellStyle name="Normal 5 2 6 6" xfId="8750"/>
    <cellStyle name="Normal 5 2 6 7" xfId="8751"/>
    <cellStyle name="Normal 5 2 7" xfId="8752"/>
    <cellStyle name="Normal 5 2 7 2" xfId="8753"/>
    <cellStyle name="Normal 5 2 7 2 2" xfId="8754"/>
    <cellStyle name="Normal 5 2 7 2 2 2" xfId="8755"/>
    <cellStyle name="Normal 5 2 7 2 2 3" xfId="8756"/>
    <cellStyle name="Normal 5 2 7 2 3" xfId="8757"/>
    <cellStyle name="Normal 5 2 7 2 4" xfId="8758"/>
    <cellStyle name="Normal 5 2 7 2 5" xfId="8759"/>
    <cellStyle name="Normal 5 2 7 3" xfId="8760"/>
    <cellStyle name="Normal 5 2 7 3 2" xfId="8761"/>
    <cellStyle name="Normal 5 2 7 3 2 2" xfId="8762"/>
    <cellStyle name="Normal 5 2 7 3 2 3" xfId="8763"/>
    <cellStyle name="Normal 5 2 7 3 3" xfId="8764"/>
    <cellStyle name="Normal 5 2 7 3 4" xfId="8765"/>
    <cellStyle name="Normal 5 2 7 3 5" xfId="8766"/>
    <cellStyle name="Normal 5 2 7 4" xfId="8767"/>
    <cellStyle name="Normal 5 2 7 4 2" xfId="8768"/>
    <cellStyle name="Normal 5 2 7 4 3" xfId="8769"/>
    <cellStyle name="Normal 5 2 7 5" xfId="8770"/>
    <cellStyle name="Normal 5 2 7 6" xfId="8771"/>
    <cellStyle name="Normal 5 2 7 7" xfId="8772"/>
    <cellStyle name="Normal 5 2 8" xfId="8773"/>
    <cellStyle name="Normal 5 2 8 2" xfId="8774"/>
    <cellStyle name="Normal 5 2 8 2 2" xfId="8775"/>
    <cellStyle name="Normal 5 2 8 2 3" xfId="8776"/>
    <cellStyle name="Normal 5 2 8 3" xfId="8777"/>
    <cellStyle name="Normal 5 2 8 4" xfId="8778"/>
    <cellStyle name="Normal 5 2 8 5" xfId="8779"/>
    <cellStyle name="Normal 5 2 9" xfId="8780"/>
    <cellStyle name="Normal 5 2 9 2" xfId="8781"/>
    <cellStyle name="Normal 5 2 9 2 2" xfId="8782"/>
    <cellStyle name="Normal 5 2 9 2 3" xfId="8783"/>
    <cellStyle name="Normal 5 2 9 3" xfId="8784"/>
    <cellStyle name="Normal 5 2 9 4" xfId="8785"/>
    <cellStyle name="Normal 5 2 9 5" xfId="8786"/>
    <cellStyle name="Normal 5 28" xfId="8787"/>
    <cellStyle name="Normal 5 28 2" xfId="8788"/>
    <cellStyle name="Normal 5 3" xfId="8789"/>
    <cellStyle name="Normal 5 3 2" xfId="8790"/>
    <cellStyle name="Normal 5 3 2 2" xfId="8791"/>
    <cellStyle name="Normal 5 3 2 2 2" xfId="8792"/>
    <cellStyle name="Normal 5 3 2 2 2 2" xfId="8793"/>
    <cellStyle name="Normal 5 3 2 2 2 2 2" xfId="8794"/>
    <cellStyle name="Normal 5 3 2 2 2 2 3" xfId="8795"/>
    <cellStyle name="Normal 5 3 2 2 2 3" xfId="8796"/>
    <cellStyle name="Normal 5 3 2 2 2 4" xfId="8797"/>
    <cellStyle name="Normal 5 3 2 2 2 5" xfId="8798"/>
    <cellStyle name="Normal 5 3 2 2 3" xfId="8799"/>
    <cellStyle name="Normal 5 3 2 2 3 2" xfId="8800"/>
    <cellStyle name="Normal 5 3 2 2 3 2 2" xfId="8801"/>
    <cellStyle name="Normal 5 3 2 2 3 2 3" xfId="8802"/>
    <cellStyle name="Normal 5 3 2 2 3 3" xfId="8803"/>
    <cellStyle name="Normal 5 3 2 2 3 4" xfId="8804"/>
    <cellStyle name="Normal 5 3 2 2 3 5" xfId="8805"/>
    <cellStyle name="Normal 5 3 2 2 4" xfId="8806"/>
    <cellStyle name="Normal 5 3 2 2 4 2" xfId="8807"/>
    <cellStyle name="Normal 5 3 2 2 4 3" xfId="8808"/>
    <cellStyle name="Normal 5 3 2 2 5" xfId="8809"/>
    <cellStyle name="Normal 5 3 2 2 6" xfId="8810"/>
    <cellStyle name="Normal 5 3 2 2 7" xfId="8811"/>
    <cellStyle name="Normal 5 3 2 3" xfId="8812"/>
    <cellStyle name="Normal 5 3 2 3 2" xfId="8813"/>
    <cellStyle name="Normal 5 3 2 3 2 2" xfId="8814"/>
    <cellStyle name="Normal 5 3 2 3 2 3" xfId="8815"/>
    <cellStyle name="Normal 5 3 2 3 3" xfId="8816"/>
    <cellStyle name="Normal 5 3 2 3 4" xfId="8817"/>
    <cellStyle name="Normal 5 3 2 3 5" xfId="8818"/>
    <cellStyle name="Normal 5 3 2 4" xfId="8819"/>
    <cellStyle name="Normal 5 3 2 4 2" xfId="8820"/>
    <cellStyle name="Normal 5 3 2 4 2 2" xfId="8821"/>
    <cellStyle name="Normal 5 3 2 4 2 3" xfId="8822"/>
    <cellStyle name="Normal 5 3 2 4 3" xfId="8823"/>
    <cellStyle name="Normal 5 3 2 4 4" xfId="8824"/>
    <cellStyle name="Normal 5 3 2 4 5" xfId="8825"/>
    <cellStyle name="Normal 5 3 2 5" xfId="8826"/>
    <cellStyle name="Normal 5 3 2 5 2" xfId="8827"/>
    <cellStyle name="Normal 5 3 2 5 3" xfId="8828"/>
    <cellStyle name="Normal 5 3 2 6" xfId="8829"/>
    <cellStyle name="Normal 5 3 2 7" xfId="8830"/>
    <cellStyle name="Normal 5 3 2 8" xfId="8831"/>
    <cellStyle name="Normal 5 3 3" xfId="8832"/>
    <cellStyle name="Normal 5 3 3 2" xfId="8833"/>
    <cellStyle name="Normal 5 3 3 2 2" xfId="8834"/>
    <cellStyle name="Normal 5 3 3 2 2 2" xfId="8835"/>
    <cellStyle name="Normal 5 3 3 2 2 3" xfId="8836"/>
    <cellStyle name="Normal 5 3 3 2 3" xfId="8837"/>
    <cellStyle name="Normal 5 3 3 2 4" xfId="8838"/>
    <cellStyle name="Normal 5 3 3 2 5" xfId="8839"/>
    <cellStyle name="Normal 5 3 3 3" xfId="8840"/>
    <cellStyle name="Normal 5 3 3 3 2" xfId="8841"/>
    <cellStyle name="Normal 5 3 3 3 2 2" xfId="8842"/>
    <cellStyle name="Normal 5 3 3 3 2 3" xfId="8843"/>
    <cellStyle name="Normal 5 3 3 3 3" xfId="8844"/>
    <cellStyle name="Normal 5 3 3 3 4" xfId="8845"/>
    <cellStyle name="Normal 5 3 3 3 5" xfId="8846"/>
    <cellStyle name="Normal 5 3 3 4" xfId="8847"/>
    <cellStyle name="Normal 5 3 3 4 2" xfId="8848"/>
    <cellStyle name="Normal 5 3 3 4 3" xfId="8849"/>
    <cellStyle name="Normal 5 3 3 5" xfId="8850"/>
    <cellStyle name="Normal 5 3 3 6" xfId="8851"/>
    <cellStyle name="Normal 5 3 3 7" xfId="8852"/>
    <cellStyle name="Normal 5 3 4" xfId="8853"/>
    <cellStyle name="Normal 5 3 4 2" xfId="8854"/>
    <cellStyle name="Normal 5 3 4 2 2" xfId="8855"/>
    <cellStyle name="Normal 5 3 4 2 3" xfId="8856"/>
    <cellStyle name="Normal 5 3 4 3" xfId="8857"/>
    <cellStyle name="Normal 5 3 4 4" xfId="8858"/>
    <cellStyle name="Normal 5 3 4 5" xfId="8859"/>
    <cellStyle name="Normal 5 3 5" xfId="8860"/>
    <cellStyle name="Normal 5 3 5 2" xfId="8861"/>
    <cellStyle name="Normal 5 3 5 2 2" xfId="8862"/>
    <cellStyle name="Normal 5 3 5 2 3" xfId="8863"/>
    <cellStyle name="Normal 5 3 5 3" xfId="8864"/>
    <cellStyle name="Normal 5 3 5 4" xfId="8865"/>
    <cellStyle name="Normal 5 3 5 5" xfId="8866"/>
    <cellStyle name="Normal 5 3 6" xfId="8867"/>
    <cellStyle name="Normal 5 3 6 2" xfId="8868"/>
    <cellStyle name="Normal 5 3 6 3" xfId="8869"/>
    <cellStyle name="Normal 5 3 7" xfId="8870"/>
    <cellStyle name="Normal 5 3 8" xfId="8871"/>
    <cellStyle name="Normal 5 3 9" xfId="8872"/>
    <cellStyle name="Normal 5 4" xfId="8873"/>
    <cellStyle name="Normal 5 4 2" xfId="8874"/>
    <cellStyle name="Normal 5 4 2 2" xfId="8875"/>
    <cellStyle name="Normal 5 4 2 2 2" xfId="8876"/>
    <cellStyle name="Normal 5 4 2 2 2 2" xfId="8877"/>
    <cellStyle name="Normal 5 4 2 2 2 2 2" xfId="8878"/>
    <cellStyle name="Normal 5 4 2 2 2 2 3" xfId="8879"/>
    <cellStyle name="Normal 5 4 2 2 2 3" xfId="8880"/>
    <cellStyle name="Normal 5 4 2 2 2 4" xfId="8881"/>
    <cellStyle name="Normal 5 4 2 2 2 5" xfId="8882"/>
    <cellStyle name="Normal 5 4 2 2 3" xfId="8883"/>
    <cellStyle name="Normal 5 4 2 2 3 2" xfId="8884"/>
    <cellStyle name="Normal 5 4 2 2 3 2 2" xfId="8885"/>
    <cellStyle name="Normal 5 4 2 2 3 2 3" xfId="8886"/>
    <cellStyle name="Normal 5 4 2 2 3 3" xfId="8887"/>
    <cellStyle name="Normal 5 4 2 2 3 4" xfId="8888"/>
    <cellStyle name="Normal 5 4 2 2 3 5" xfId="8889"/>
    <cellStyle name="Normal 5 4 2 2 4" xfId="8890"/>
    <cellStyle name="Normal 5 4 2 2 4 2" xfId="8891"/>
    <cellStyle name="Normal 5 4 2 2 4 3" xfId="8892"/>
    <cellStyle name="Normal 5 4 2 2 5" xfId="8893"/>
    <cellStyle name="Normal 5 4 2 2 6" xfId="8894"/>
    <cellStyle name="Normal 5 4 2 2 7" xfId="8895"/>
    <cellStyle name="Normal 5 4 2 3" xfId="8896"/>
    <cellStyle name="Normal 5 4 2 3 2" xfId="8897"/>
    <cellStyle name="Normal 5 4 2 3 2 2" xfId="8898"/>
    <cellStyle name="Normal 5 4 2 3 2 3" xfId="8899"/>
    <cellStyle name="Normal 5 4 2 3 3" xfId="8900"/>
    <cellStyle name="Normal 5 4 2 3 4" xfId="8901"/>
    <cellStyle name="Normal 5 4 2 3 5" xfId="8902"/>
    <cellStyle name="Normal 5 4 2 4" xfId="8903"/>
    <cellStyle name="Normal 5 4 2 4 2" xfId="8904"/>
    <cellStyle name="Normal 5 4 2 4 2 2" xfId="8905"/>
    <cellStyle name="Normal 5 4 2 4 2 3" xfId="8906"/>
    <cellStyle name="Normal 5 4 2 4 3" xfId="8907"/>
    <cellStyle name="Normal 5 4 2 4 4" xfId="8908"/>
    <cellStyle name="Normal 5 4 2 4 5" xfId="8909"/>
    <cellStyle name="Normal 5 4 2 5" xfId="8910"/>
    <cellStyle name="Normal 5 4 2 5 2" xfId="8911"/>
    <cellStyle name="Normal 5 4 2 5 3" xfId="8912"/>
    <cellStyle name="Normal 5 4 2 6" xfId="8913"/>
    <cellStyle name="Normal 5 4 2 7" xfId="8914"/>
    <cellStyle name="Normal 5 4 2 8" xfId="8915"/>
    <cellStyle name="Normal 5 4 3" xfId="8916"/>
    <cellStyle name="Normal 5 4 3 2" xfId="8917"/>
    <cellStyle name="Normal 5 4 3 2 2" xfId="8918"/>
    <cellStyle name="Normal 5 4 3 2 2 2" xfId="8919"/>
    <cellStyle name="Normal 5 4 3 2 2 3" xfId="8920"/>
    <cellStyle name="Normal 5 4 3 2 3" xfId="8921"/>
    <cellStyle name="Normal 5 4 3 2 4" xfId="8922"/>
    <cellStyle name="Normal 5 4 3 2 5" xfId="8923"/>
    <cellStyle name="Normal 5 4 3 3" xfId="8924"/>
    <cellStyle name="Normal 5 4 3 3 2" xfId="8925"/>
    <cellStyle name="Normal 5 4 3 3 2 2" xfId="8926"/>
    <cellStyle name="Normal 5 4 3 3 2 3" xfId="8927"/>
    <cellStyle name="Normal 5 4 3 3 3" xfId="8928"/>
    <cellStyle name="Normal 5 4 3 3 4" xfId="8929"/>
    <cellStyle name="Normal 5 4 3 3 5" xfId="8930"/>
    <cellStyle name="Normal 5 4 3 4" xfId="8931"/>
    <cellStyle name="Normal 5 4 3 4 2" xfId="8932"/>
    <cellStyle name="Normal 5 4 3 4 3" xfId="8933"/>
    <cellStyle name="Normal 5 4 3 5" xfId="8934"/>
    <cellStyle name="Normal 5 4 3 6" xfId="8935"/>
    <cellStyle name="Normal 5 4 3 7" xfId="8936"/>
    <cellStyle name="Normal 5 4 4" xfId="8937"/>
    <cellStyle name="Normal 5 4 4 2" xfId="8938"/>
    <cellStyle name="Normal 5 4 4 2 2" xfId="8939"/>
    <cellStyle name="Normal 5 4 4 2 3" xfId="8940"/>
    <cellStyle name="Normal 5 4 4 3" xfId="8941"/>
    <cellStyle name="Normal 5 4 4 4" xfId="8942"/>
    <cellStyle name="Normal 5 4 4 5" xfId="8943"/>
    <cellStyle name="Normal 5 4 5" xfId="8944"/>
    <cellStyle name="Normal 5 4 5 2" xfId="8945"/>
    <cellStyle name="Normal 5 4 5 2 2" xfId="8946"/>
    <cellStyle name="Normal 5 4 5 2 3" xfId="8947"/>
    <cellStyle name="Normal 5 4 5 3" xfId="8948"/>
    <cellStyle name="Normal 5 4 5 4" xfId="8949"/>
    <cellStyle name="Normal 5 4 5 5" xfId="8950"/>
    <cellStyle name="Normal 5 4 6" xfId="8951"/>
    <cellStyle name="Normal 5 4 6 2" xfId="8952"/>
    <cellStyle name="Normal 5 4 6 3" xfId="8953"/>
    <cellStyle name="Normal 5 4 7" xfId="8954"/>
    <cellStyle name="Normal 5 4 8" xfId="8955"/>
    <cellStyle name="Normal 5 4 9" xfId="8956"/>
    <cellStyle name="Normal 5 5" xfId="8957"/>
    <cellStyle name="Normal 5 5 2" xfId="8958"/>
    <cellStyle name="Normal 5 5 2 2" xfId="8959"/>
    <cellStyle name="Normal 5 5 2 2 2" xfId="8960"/>
    <cellStyle name="Normal 5 5 2 2 2 2" xfId="8961"/>
    <cellStyle name="Normal 5 5 2 2 2 2 2" xfId="8962"/>
    <cellStyle name="Normal 5 5 2 2 2 2 3" xfId="8963"/>
    <cellStyle name="Normal 5 5 2 2 2 3" xfId="8964"/>
    <cellStyle name="Normal 5 5 2 2 2 4" xfId="8965"/>
    <cellStyle name="Normal 5 5 2 2 2 5" xfId="8966"/>
    <cellStyle name="Normal 5 5 2 2 3" xfId="8967"/>
    <cellStyle name="Normal 5 5 2 2 3 2" xfId="8968"/>
    <cellStyle name="Normal 5 5 2 2 3 2 2" xfId="8969"/>
    <cellStyle name="Normal 5 5 2 2 3 2 3" xfId="8970"/>
    <cellStyle name="Normal 5 5 2 2 3 3" xfId="8971"/>
    <cellStyle name="Normal 5 5 2 2 3 4" xfId="8972"/>
    <cellStyle name="Normal 5 5 2 2 3 5" xfId="8973"/>
    <cellStyle name="Normal 5 5 2 2 4" xfId="8974"/>
    <cellStyle name="Normal 5 5 2 2 4 2" xfId="8975"/>
    <cellStyle name="Normal 5 5 2 2 4 3" xfId="8976"/>
    <cellStyle name="Normal 5 5 2 2 5" xfId="8977"/>
    <cellStyle name="Normal 5 5 2 2 6" xfId="8978"/>
    <cellStyle name="Normal 5 5 2 2 7" xfId="8979"/>
    <cellStyle name="Normal 5 5 2 3" xfId="8980"/>
    <cellStyle name="Normal 5 5 2 3 2" xfId="8981"/>
    <cellStyle name="Normal 5 5 2 3 2 2" xfId="8982"/>
    <cellStyle name="Normal 5 5 2 3 2 3" xfId="8983"/>
    <cellStyle name="Normal 5 5 2 3 3" xfId="8984"/>
    <cellStyle name="Normal 5 5 2 3 4" xfId="8985"/>
    <cellStyle name="Normal 5 5 2 3 5" xfId="8986"/>
    <cellStyle name="Normal 5 5 2 4" xfId="8987"/>
    <cellStyle name="Normal 5 5 2 4 2" xfId="8988"/>
    <cellStyle name="Normal 5 5 2 4 2 2" xfId="8989"/>
    <cellStyle name="Normal 5 5 2 4 2 3" xfId="8990"/>
    <cellStyle name="Normal 5 5 2 4 3" xfId="8991"/>
    <cellStyle name="Normal 5 5 2 4 4" xfId="8992"/>
    <cellStyle name="Normal 5 5 2 4 5" xfId="8993"/>
    <cellStyle name="Normal 5 5 2 5" xfId="8994"/>
    <cellStyle name="Normal 5 5 2 5 2" xfId="8995"/>
    <cellStyle name="Normal 5 5 2 5 3" xfId="8996"/>
    <cellStyle name="Normal 5 5 2 6" xfId="8997"/>
    <cellStyle name="Normal 5 5 2 7" xfId="8998"/>
    <cellStyle name="Normal 5 5 2 8" xfId="8999"/>
    <cellStyle name="Normal 5 5 3" xfId="9000"/>
    <cellStyle name="Normal 5 5 3 2" xfId="9001"/>
    <cellStyle name="Normal 5 5 3 2 2" xfId="9002"/>
    <cellStyle name="Normal 5 5 3 2 2 2" xfId="9003"/>
    <cellStyle name="Normal 5 5 3 2 2 3" xfId="9004"/>
    <cellStyle name="Normal 5 5 3 2 3" xfId="9005"/>
    <cellStyle name="Normal 5 5 3 2 4" xfId="9006"/>
    <cellStyle name="Normal 5 5 3 2 5" xfId="9007"/>
    <cellStyle name="Normal 5 5 3 3" xfId="9008"/>
    <cellStyle name="Normal 5 5 3 3 2" xfId="9009"/>
    <cellStyle name="Normal 5 5 3 3 2 2" xfId="9010"/>
    <cellStyle name="Normal 5 5 3 3 2 3" xfId="9011"/>
    <cellStyle name="Normal 5 5 3 3 3" xfId="9012"/>
    <cellStyle name="Normal 5 5 3 3 4" xfId="9013"/>
    <cellStyle name="Normal 5 5 3 3 5" xfId="9014"/>
    <cellStyle name="Normal 5 5 3 4" xfId="9015"/>
    <cellStyle name="Normal 5 5 3 4 2" xfId="9016"/>
    <cellStyle name="Normal 5 5 3 4 3" xfId="9017"/>
    <cellStyle name="Normal 5 5 3 5" xfId="9018"/>
    <cellStyle name="Normal 5 5 3 6" xfId="9019"/>
    <cellStyle name="Normal 5 5 3 7" xfId="9020"/>
    <cellStyle name="Normal 5 5 4" xfId="9021"/>
    <cellStyle name="Normal 5 5 4 2" xfId="9022"/>
    <cellStyle name="Normal 5 5 4 2 2" xfId="9023"/>
    <cellStyle name="Normal 5 5 4 2 3" xfId="9024"/>
    <cellStyle name="Normal 5 5 4 3" xfId="9025"/>
    <cellStyle name="Normal 5 5 4 4" xfId="9026"/>
    <cellStyle name="Normal 5 5 4 5" xfId="9027"/>
    <cellStyle name="Normal 5 5 5" xfId="9028"/>
    <cellStyle name="Normal 5 5 5 2" xfId="9029"/>
    <cellStyle name="Normal 5 5 5 2 2" xfId="9030"/>
    <cellStyle name="Normal 5 5 5 2 3" xfId="9031"/>
    <cellStyle name="Normal 5 5 5 3" xfId="9032"/>
    <cellStyle name="Normal 5 5 5 4" xfId="9033"/>
    <cellStyle name="Normal 5 5 5 5" xfId="9034"/>
    <cellStyle name="Normal 5 5 6" xfId="9035"/>
    <cellStyle name="Normal 5 5 6 2" xfId="9036"/>
    <cellStyle name="Normal 5 5 6 3" xfId="9037"/>
    <cellStyle name="Normal 5 5 7" xfId="9038"/>
    <cellStyle name="Normal 5 5 8" xfId="9039"/>
    <cellStyle name="Normal 5 5 9" xfId="9040"/>
    <cellStyle name="Normal 5 6" xfId="9041"/>
    <cellStyle name="Normal 5 6 2" xfId="9042"/>
    <cellStyle name="Normal 5 6 2 2" xfId="9043"/>
    <cellStyle name="Normal 5 6 2 2 2" xfId="9044"/>
    <cellStyle name="Normal 5 6 2 2 2 2" xfId="9045"/>
    <cellStyle name="Normal 5 6 2 2 2 3" xfId="9046"/>
    <cellStyle name="Normal 5 6 2 2 3" xfId="9047"/>
    <cellStyle name="Normal 5 6 2 2 4" xfId="9048"/>
    <cellStyle name="Normal 5 6 2 2 5" xfId="9049"/>
    <cellStyle name="Normal 5 6 2 3" xfId="9050"/>
    <cellStyle name="Normal 5 6 2 3 2" xfId="9051"/>
    <cellStyle name="Normal 5 6 2 3 2 2" xfId="9052"/>
    <cellStyle name="Normal 5 6 2 3 2 3" xfId="9053"/>
    <cellStyle name="Normal 5 6 2 3 3" xfId="9054"/>
    <cellStyle name="Normal 5 6 2 3 4" xfId="9055"/>
    <cellStyle name="Normal 5 6 2 3 5" xfId="9056"/>
    <cellStyle name="Normal 5 6 2 4" xfId="9057"/>
    <cellStyle name="Normal 5 6 2 4 2" xfId="9058"/>
    <cellStyle name="Normal 5 6 2 4 3" xfId="9059"/>
    <cellStyle name="Normal 5 6 2 5" xfId="9060"/>
    <cellStyle name="Normal 5 6 2 6" xfId="9061"/>
    <cellStyle name="Normal 5 6 2 7" xfId="9062"/>
    <cellStyle name="Normal 5 6 3" xfId="9063"/>
    <cellStyle name="Normal 5 6 3 2" xfId="9064"/>
    <cellStyle name="Normal 5 6 3 2 2" xfId="9065"/>
    <cellStyle name="Normal 5 6 3 2 3" xfId="9066"/>
    <cellStyle name="Normal 5 6 3 3" xfId="9067"/>
    <cellStyle name="Normal 5 6 3 4" xfId="9068"/>
    <cellStyle name="Normal 5 6 3 5" xfId="9069"/>
    <cellStyle name="Normal 5 6 4" xfId="9070"/>
    <cellStyle name="Normal 5 6 4 2" xfId="9071"/>
    <cellStyle name="Normal 5 6 4 2 2" xfId="9072"/>
    <cellStyle name="Normal 5 6 4 2 3" xfId="9073"/>
    <cellStyle name="Normal 5 6 4 3" xfId="9074"/>
    <cellStyle name="Normal 5 6 4 4" xfId="9075"/>
    <cellStyle name="Normal 5 6 4 5" xfId="9076"/>
    <cellStyle name="Normal 5 6 5" xfId="9077"/>
    <cellStyle name="Normal 5 6 5 2" xfId="9078"/>
    <cellStyle name="Normal 5 6 5 3" xfId="9079"/>
    <cellStyle name="Normal 5 6 6" xfId="9080"/>
    <cellStyle name="Normal 5 6 7" xfId="9081"/>
    <cellStyle name="Normal 5 6 8" xfId="9082"/>
    <cellStyle name="Normal 5 7" xfId="9083"/>
    <cellStyle name="Normal 5 7 2" xfId="9084"/>
    <cellStyle name="Normal 5 7 2 2" xfId="9085"/>
    <cellStyle name="Normal 5 7 2 2 2" xfId="9086"/>
    <cellStyle name="Normal 5 7 2 2 3" xfId="9087"/>
    <cellStyle name="Normal 5 7 2 3" xfId="9088"/>
    <cellStyle name="Normal 5 7 2 4" xfId="9089"/>
    <cellStyle name="Normal 5 7 2 5" xfId="9090"/>
    <cellStyle name="Normal 5 7 3" xfId="9091"/>
    <cellStyle name="Normal 5 7 3 2" xfId="9092"/>
    <cellStyle name="Normal 5 7 3 2 2" xfId="9093"/>
    <cellStyle name="Normal 5 7 3 2 3" xfId="9094"/>
    <cellStyle name="Normal 5 7 3 3" xfId="9095"/>
    <cellStyle name="Normal 5 7 3 4" xfId="9096"/>
    <cellStyle name="Normal 5 7 3 5" xfId="9097"/>
    <cellStyle name="Normal 5 8" xfId="9098"/>
    <cellStyle name="Normal 5 8 2" xfId="9099"/>
    <cellStyle name="Normal 5 8 2 2" xfId="9100"/>
    <cellStyle name="Normal 5 8 2 2 2" xfId="9101"/>
    <cellStyle name="Normal 5 8 2 2 3" xfId="9102"/>
    <cellStyle name="Normal 5 8 2 3" xfId="9103"/>
    <cellStyle name="Normal 5 8 2 4" xfId="9104"/>
    <cellStyle name="Normal 5 8 2 5" xfId="9105"/>
    <cellStyle name="Normal 5 8 3" xfId="9106"/>
    <cellStyle name="Normal 5 8 3 2" xfId="9107"/>
    <cellStyle name="Normal 5 8 3 2 2" xfId="9108"/>
    <cellStyle name="Normal 5 8 3 2 3" xfId="9109"/>
    <cellStyle name="Normal 5 8 3 3" xfId="9110"/>
    <cellStyle name="Normal 5 8 3 4" xfId="9111"/>
    <cellStyle name="Normal 5 8 3 5" xfId="9112"/>
    <cellStyle name="Normal 5 8 4" xfId="9113"/>
    <cellStyle name="Normal 5 8 4 2" xfId="9114"/>
    <cellStyle name="Normal 5 8 4 3" xfId="9115"/>
    <cellStyle name="Normal 5 8 5" xfId="9116"/>
    <cellStyle name="Normal 5 8 6" xfId="9117"/>
    <cellStyle name="Normal 5 8 7" xfId="9118"/>
    <cellStyle name="Normal 5 9" xfId="9119"/>
    <cellStyle name="Normal 5 9 2" xfId="9120"/>
    <cellStyle name="Normal 5 9 2 2" xfId="9121"/>
    <cellStyle name="Normal 5 9 2 3" xfId="9122"/>
    <cellStyle name="Normal 5 9 3" xfId="9123"/>
    <cellStyle name="Normal 5 9 4" xfId="9124"/>
    <cellStyle name="Normal 5 9 5" xfId="9125"/>
    <cellStyle name="Normal 53" xfId="9126"/>
    <cellStyle name="Normal 53 2" xfId="9127"/>
    <cellStyle name="Normal 6" xfId="193"/>
    <cellStyle name="Normal 6 10" xfId="773"/>
    <cellStyle name="Normal 6 10 2" xfId="989"/>
    <cellStyle name="Normal 6 10 2 2" xfId="9746"/>
    <cellStyle name="Normal 6 10 3" xfId="9530"/>
    <cellStyle name="Normal 6 11" xfId="845"/>
    <cellStyle name="Normal 6 11 2" xfId="9602"/>
    <cellStyle name="Normal 6 12" xfId="9384"/>
    <cellStyle name="Normal 6 2" xfId="194"/>
    <cellStyle name="Normal 6 2 10" xfId="9385"/>
    <cellStyle name="Normal 6 2 2" xfId="195"/>
    <cellStyle name="Normal 6 2 2 2" xfId="196"/>
    <cellStyle name="Normal 6 2 2 2 2" xfId="371"/>
    <cellStyle name="Normal 6 2 2 2 2 2" xfId="705"/>
    <cellStyle name="Normal 6 2 2 2 2 2 2" xfId="933"/>
    <cellStyle name="Normal 6 2 2 2 2 2 2 2" xfId="9690"/>
    <cellStyle name="Normal 6 2 2 2 2 2 3" xfId="9474"/>
    <cellStyle name="Normal 6 2 2 2 2 3" xfId="789"/>
    <cellStyle name="Normal 6 2 2 2 2 3 2" xfId="1005"/>
    <cellStyle name="Normal 6 2 2 2 2 3 2 2" xfId="9762"/>
    <cellStyle name="Normal 6 2 2 2 2 3 3" xfId="9546"/>
    <cellStyle name="Normal 6 2 2 2 2 4" xfId="861"/>
    <cellStyle name="Normal 6 2 2 2 2 4 2" xfId="9618"/>
    <cellStyle name="Normal 6 2 2 2 2 5" xfId="9402"/>
    <cellStyle name="Normal 6 2 2 2 3" xfId="413"/>
    <cellStyle name="Normal 6 2 2 2 3 2" xfId="718"/>
    <cellStyle name="Normal 6 2 2 2 3 2 2" xfId="946"/>
    <cellStyle name="Normal 6 2 2 2 3 2 2 2" xfId="9703"/>
    <cellStyle name="Normal 6 2 2 2 3 2 3" xfId="9487"/>
    <cellStyle name="Normal 6 2 2 2 3 3" xfId="802"/>
    <cellStyle name="Normal 6 2 2 2 3 3 2" xfId="1018"/>
    <cellStyle name="Normal 6 2 2 2 3 3 2 2" xfId="9775"/>
    <cellStyle name="Normal 6 2 2 2 3 3 3" xfId="9559"/>
    <cellStyle name="Normal 6 2 2 2 3 4" xfId="874"/>
    <cellStyle name="Normal 6 2 2 2 3 4 2" xfId="9631"/>
    <cellStyle name="Normal 6 2 2 2 3 5" xfId="9415"/>
    <cellStyle name="Normal 6 2 2 2 4" xfId="652"/>
    <cellStyle name="Normal 6 2 2 2 4 2" xfId="757"/>
    <cellStyle name="Normal 6 2 2 2 4 2 2" xfId="973"/>
    <cellStyle name="Normal 6 2 2 2 4 2 2 2" xfId="9730"/>
    <cellStyle name="Normal 6 2 2 2 4 2 3" xfId="9514"/>
    <cellStyle name="Normal 6 2 2 2 4 3" xfId="829"/>
    <cellStyle name="Normal 6 2 2 2 4 3 2" xfId="1045"/>
    <cellStyle name="Normal 6 2 2 2 4 3 2 2" xfId="9802"/>
    <cellStyle name="Normal 6 2 2 2 4 3 3" xfId="9586"/>
    <cellStyle name="Normal 6 2 2 2 4 4" xfId="901"/>
    <cellStyle name="Normal 6 2 2 2 4 4 2" xfId="9658"/>
    <cellStyle name="Normal 6 2 2 2 4 5" xfId="9442"/>
    <cellStyle name="Normal 6 2 2 2 5" xfId="691"/>
    <cellStyle name="Normal 6 2 2 2 5 2" xfId="920"/>
    <cellStyle name="Normal 6 2 2 2 5 2 2" xfId="9677"/>
    <cellStyle name="Normal 6 2 2 2 5 3" xfId="9461"/>
    <cellStyle name="Normal 6 2 2 2 6" xfId="776"/>
    <cellStyle name="Normal 6 2 2 2 6 2" xfId="992"/>
    <cellStyle name="Normal 6 2 2 2 6 2 2" xfId="9749"/>
    <cellStyle name="Normal 6 2 2 2 6 3" xfId="9533"/>
    <cellStyle name="Normal 6 2 2 2 7" xfId="848"/>
    <cellStyle name="Normal 6 2 2 2 7 2" xfId="9605"/>
    <cellStyle name="Normal 6 2 2 2 8" xfId="9387"/>
    <cellStyle name="Normal 6 2 2 3" xfId="370"/>
    <cellStyle name="Normal 6 2 2 3 2" xfId="704"/>
    <cellStyle name="Normal 6 2 2 3 2 2" xfId="932"/>
    <cellStyle name="Normal 6 2 2 3 2 2 2" xfId="9689"/>
    <cellStyle name="Normal 6 2 2 3 2 3" xfId="9473"/>
    <cellStyle name="Normal 6 2 2 3 3" xfId="788"/>
    <cellStyle name="Normal 6 2 2 3 3 2" xfId="1004"/>
    <cellStyle name="Normal 6 2 2 3 3 2 2" xfId="9761"/>
    <cellStyle name="Normal 6 2 2 3 3 3" xfId="9545"/>
    <cellStyle name="Normal 6 2 2 3 4" xfId="860"/>
    <cellStyle name="Normal 6 2 2 3 4 2" xfId="9617"/>
    <cellStyle name="Normal 6 2 2 3 5" xfId="9401"/>
    <cellStyle name="Normal 6 2 2 4" xfId="412"/>
    <cellStyle name="Normal 6 2 2 4 2" xfId="717"/>
    <cellStyle name="Normal 6 2 2 4 2 2" xfId="945"/>
    <cellStyle name="Normal 6 2 2 4 2 2 2" xfId="9702"/>
    <cellStyle name="Normal 6 2 2 4 2 3" xfId="9486"/>
    <cellStyle name="Normal 6 2 2 4 3" xfId="801"/>
    <cellStyle name="Normal 6 2 2 4 3 2" xfId="1017"/>
    <cellStyle name="Normal 6 2 2 4 3 2 2" xfId="9774"/>
    <cellStyle name="Normal 6 2 2 4 3 3" xfId="9558"/>
    <cellStyle name="Normal 6 2 2 4 4" xfId="873"/>
    <cellStyle name="Normal 6 2 2 4 4 2" xfId="9630"/>
    <cellStyle name="Normal 6 2 2 4 5" xfId="9414"/>
    <cellStyle name="Normal 6 2 2 5" xfId="651"/>
    <cellStyle name="Normal 6 2 2 5 2" xfId="756"/>
    <cellStyle name="Normal 6 2 2 5 2 2" xfId="972"/>
    <cellStyle name="Normal 6 2 2 5 2 2 2" xfId="9729"/>
    <cellStyle name="Normal 6 2 2 5 2 3" xfId="9513"/>
    <cellStyle name="Normal 6 2 2 5 3" xfId="828"/>
    <cellStyle name="Normal 6 2 2 5 3 2" xfId="1044"/>
    <cellStyle name="Normal 6 2 2 5 3 2 2" xfId="9801"/>
    <cellStyle name="Normal 6 2 2 5 3 3" xfId="9585"/>
    <cellStyle name="Normal 6 2 2 5 4" xfId="900"/>
    <cellStyle name="Normal 6 2 2 5 4 2" xfId="9657"/>
    <cellStyle name="Normal 6 2 2 5 5" xfId="9441"/>
    <cellStyle name="Normal 6 2 2 6" xfId="690"/>
    <cellStyle name="Normal 6 2 2 6 2" xfId="919"/>
    <cellStyle name="Normal 6 2 2 6 2 2" xfId="9676"/>
    <cellStyle name="Normal 6 2 2 6 3" xfId="9460"/>
    <cellStyle name="Normal 6 2 2 7" xfId="775"/>
    <cellStyle name="Normal 6 2 2 7 2" xfId="991"/>
    <cellStyle name="Normal 6 2 2 7 2 2" xfId="9748"/>
    <cellStyle name="Normal 6 2 2 7 3" xfId="9532"/>
    <cellStyle name="Normal 6 2 2 8" xfId="847"/>
    <cellStyle name="Normal 6 2 2 8 2" xfId="9604"/>
    <cellStyle name="Normal 6 2 2 9" xfId="9386"/>
    <cellStyle name="Normal 6 2 3" xfId="197"/>
    <cellStyle name="Normal 6 2 3 2" xfId="372"/>
    <cellStyle name="Normal 6 2 3 2 2" xfId="706"/>
    <cellStyle name="Normal 6 2 3 2 2 2" xfId="934"/>
    <cellStyle name="Normal 6 2 3 2 2 2 2" xfId="9691"/>
    <cellStyle name="Normal 6 2 3 2 2 3" xfId="9475"/>
    <cellStyle name="Normal 6 2 3 2 3" xfId="790"/>
    <cellStyle name="Normal 6 2 3 2 3 2" xfId="1006"/>
    <cellStyle name="Normal 6 2 3 2 3 2 2" xfId="9763"/>
    <cellStyle name="Normal 6 2 3 2 3 3" xfId="9547"/>
    <cellStyle name="Normal 6 2 3 2 4" xfId="862"/>
    <cellStyle name="Normal 6 2 3 2 4 2" xfId="9619"/>
    <cellStyle name="Normal 6 2 3 2 5" xfId="9403"/>
    <cellStyle name="Normal 6 2 3 3" xfId="414"/>
    <cellStyle name="Normal 6 2 3 3 2" xfId="719"/>
    <cellStyle name="Normal 6 2 3 3 2 2" xfId="947"/>
    <cellStyle name="Normal 6 2 3 3 2 2 2" xfId="9704"/>
    <cellStyle name="Normal 6 2 3 3 2 3" xfId="9488"/>
    <cellStyle name="Normal 6 2 3 3 3" xfId="803"/>
    <cellStyle name="Normal 6 2 3 3 3 2" xfId="1019"/>
    <cellStyle name="Normal 6 2 3 3 3 2 2" xfId="9776"/>
    <cellStyle name="Normal 6 2 3 3 3 3" xfId="9560"/>
    <cellStyle name="Normal 6 2 3 3 4" xfId="875"/>
    <cellStyle name="Normal 6 2 3 3 4 2" xfId="9632"/>
    <cellStyle name="Normal 6 2 3 3 5" xfId="9416"/>
    <cellStyle name="Normal 6 2 3 4" xfId="653"/>
    <cellStyle name="Normal 6 2 3 4 2" xfId="758"/>
    <cellStyle name="Normal 6 2 3 4 2 2" xfId="974"/>
    <cellStyle name="Normal 6 2 3 4 2 2 2" xfId="9731"/>
    <cellStyle name="Normal 6 2 3 4 2 3" xfId="9515"/>
    <cellStyle name="Normal 6 2 3 4 3" xfId="830"/>
    <cellStyle name="Normal 6 2 3 4 3 2" xfId="1046"/>
    <cellStyle name="Normal 6 2 3 4 3 2 2" xfId="9803"/>
    <cellStyle name="Normal 6 2 3 4 3 3" xfId="9587"/>
    <cellStyle name="Normal 6 2 3 4 4" xfId="902"/>
    <cellStyle name="Normal 6 2 3 4 4 2" xfId="9659"/>
    <cellStyle name="Normal 6 2 3 4 5" xfId="9443"/>
    <cellStyle name="Normal 6 2 3 5" xfId="692"/>
    <cellStyle name="Normal 6 2 3 5 2" xfId="921"/>
    <cellStyle name="Normal 6 2 3 5 2 2" xfId="9678"/>
    <cellStyle name="Normal 6 2 3 5 3" xfId="9462"/>
    <cellStyle name="Normal 6 2 3 6" xfId="777"/>
    <cellStyle name="Normal 6 2 3 6 2" xfId="993"/>
    <cellStyle name="Normal 6 2 3 6 2 2" xfId="9750"/>
    <cellStyle name="Normal 6 2 3 6 3" xfId="9534"/>
    <cellStyle name="Normal 6 2 3 7" xfId="849"/>
    <cellStyle name="Normal 6 2 3 7 2" xfId="9606"/>
    <cellStyle name="Normal 6 2 3 8" xfId="9388"/>
    <cellStyle name="Normal 6 2 4" xfId="369"/>
    <cellStyle name="Normal 6 2 4 2" xfId="703"/>
    <cellStyle name="Normal 6 2 4 2 2" xfId="931"/>
    <cellStyle name="Normal 6 2 4 2 2 2" xfId="9688"/>
    <cellStyle name="Normal 6 2 4 2 3" xfId="9472"/>
    <cellStyle name="Normal 6 2 4 3" xfId="787"/>
    <cellStyle name="Normal 6 2 4 3 2" xfId="1003"/>
    <cellStyle name="Normal 6 2 4 3 2 2" xfId="9760"/>
    <cellStyle name="Normal 6 2 4 3 3" xfId="9544"/>
    <cellStyle name="Normal 6 2 4 4" xfId="859"/>
    <cellStyle name="Normal 6 2 4 4 2" xfId="9616"/>
    <cellStyle name="Normal 6 2 4 5" xfId="9400"/>
    <cellStyle name="Normal 6 2 5" xfId="411"/>
    <cellStyle name="Normal 6 2 5 2" xfId="716"/>
    <cellStyle name="Normal 6 2 5 2 2" xfId="944"/>
    <cellStyle name="Normal 6 2 5 2 2 2" xfId="9701"/>
    <cellStyle name="Normal 6 2 5 2 3" xfId="9485"/>
    <cellStyle name="Normal 6 2 5 3" xfId="800"/>
    <cellStyle name="Normal 6 2 5 3 2" xfId="1016"/>
    <cellStyle name="Normal 6 2 5 3 2 2" xfId="9773"/>
    <cellStyle name="Normal 6 2 5 3 3" xfId="9557"/>
    <cellStyle name="Normal 6 2 5 4" xfId="872"/>
    <cellStyle name="Normal 6 2 5 4 2" xfId="9629"/>
    <cellStyle name="Normal 6 2 5 5" xfId="9413"/>
    <cellStyle name="Normal 6 2 6" xfId="650"/>
    <cellStyle name="Normal 6 2 6 2" xfId="755"/>
    <cellStyle name="Normal 6 2 6 2 2" xfId="971"/>
    <cellStyle name="Normal 6 2 6 2 2 2" xfId="9728"/>
    <cellStyle name="Normal 6 2 6 2 3" xfId="9512"/>
    <cellStyle name="Normal 6 2 6 3" xfId="827"/>
    <cellStyle name="Normal 6 2 6 3 2" xfId="1043"/>
    <cellStyle name="Normal 6 2 6 3 2 2" xfId="9800"/>
    <cellStyle name="Normal 6 2 6 3 3" xfId="9584"/>
    <cellStyle name="Normal 6 2 6 4" xfId="899"/>
    <cellStyle name="Normal 6 2 6 4 2" xfId="9656"/>
    <cellStyle name="Normal 6 2 6 5" xfId="9440"/>
    <cellStyle name="Normal 6 2 7" xfId="689"/>
    <cellStyle name="Normal 6 2 7 2" xfId="918"/>
    <cellStyle name="Normal 6 2 7 2 2" xfId="9675"/>
    <cellStyle name="Normal 6 2 7 3" xfId="9459"/>
    <cellStyle name="Normal 6 2 8" xfId="774"/>
    <cellStyle name="Normal 6 2 8 2" xfId="990"/>
    <cellStyle name="Normal 6 2 8 2 2" xfId="9747"/>
    <cellStyle name="Normal 6 2 8 3" xfId="9531"/>
    <cellStyle name="Normal 6 2 9" xfId="846"/>
    <cellStyle name="Normal 6 2 9 2" xfId="9603"/>
    <cellStyle name="Normal 6 3" xfId="198"/>
    <cellStyle name="Normal 6 3 2" xfId="199"/>
    <cellStyle name="Normal 6 3 2 2" xfId="374"/>
    <cellStyle name="Normal 6 3 2 2 2" xfId="708"/>
    <cellStyle name="Normal 6 3 2 2 2 2" xfId="936"/>
    <cellStyle name="Normal 6 3 2 2 2 2 2" xfId="9693"/>
    <cellStyle name="Normal 6 3 2 2 2 3" xfId="9477"/>
    <cellStyle name="Normal 6 3 2 2 3" xfId="792"/>
    <cellStyle name="Normal 6 3 2 2 3 2" xfId="1008"/>
    <cellStyle name="Normal 6 3 2 2 3 2 2" xfId="9765"/>
    <cellStyle name="Normal 6 3 2 2 3 3" xfId="9549"/>
    <cellStyle name="Normal 6 3 2 2 4" xfId="864"/>
    <cellStyle name="Normal 6 3 2 2 4 2" xfId="9621"/>
    <cellStyle name="Normal 6 3 2 2 5" xfId="9405"/>
    <cellStyle name="Normal 6 3 2 3" xfId="416"/>
    <cellStyle name="Normal 6 3 2 3 2" xfId="721"/>
    <cellStyle name="Normal 6 3 2 3 2 2" xfId="949"/>
    <cellStyle name="Normal 6 3 2 3 2 2 2" xfId="9706"/>
    <cellStyle name="Normal 6 3 2 3 2 3" xfId="9490"/>
    <cellStyle name="Normal 6 3 2 3 3" xfId="805"/>
    <cellStyle name="Normal 6 3 2 3 3 2" xfId="1021"/>
    <cellStyle name="Normal 6 3 2 3 3 2 2" xfId="9778"/>
    <cellStyle name="Normal 6 3 2 3 3 3" xfId="9562"/>
    <cellStyle name="Normal 6 3 2 3 4" xfId="877"/>
    <cellStyle name="Normal 6 3 2 3 4 2" xfId="9634"/>
    <cellStyle name="Normal 6 3 2 3 5" xfId="9418"/>
    <cellStyle name="Normal 6 3 2 4" xfId="655"/>
    <cellStyle name="Normal 6 3 2 4 2" xfId="760"/>
    <cellStyle name="Normal 6 3 2 4 2 2" xfId="976"/>
    <cellStyle name="Normal 6 3 2 4 2 2 2" xfId="9733"/>
    <cellStyle name="Normal 6 3 2 4 2 3" xfId="9517"/>
    <cellStyle name="Normal 6 3 2 4 3" xfId="832"/>
    <cellStyle name="Normal 6 3 2 4 3 2" xfId="1048"/>
    <cellStyle name="Normal 6 3 2 4 3 2 2" xfId="9805"/>
    <cellStyle name="Normal 6 3 2 4 3 3" xfId="9589"/>
    <cellStyle name="Normal 6 3 2 4 4" xfId="904"/>
    <cellStyle name="Normal 6 3 2 4 4 2" xfId="9661"/>
    <cellStyle name="Normal 6 3 2 4 5" xfId="9445"/>
    <cellStyle name="Normal 6 3 2 5" xfId="694"/>
    <cellStyle name="Normal 6 3 2 5 2" xfId="923"/>
    <cellStyle name="Normal 6 3 2 5 2 2" xfId="9680"/>
    <cellStyle name="Normal 6 3 2 5 3" xfId="9464"/>
    <cellStyle name="Normal 6 3 2 6" xfId="779"/>
    <cellStyle name="Normal 6 3 2 6 2" xfId="995"/>
    <cellStyle name="Normal 6 3 2 6 2 2" xfId="9752"/>
    <cellStyle name="Normal 6 3 2 6 3" xfId="9536"/>
    <cellStyle name="Normal 6 3 2 7" xfId="851"/>
    <cellStyle name="Normal 6 3 2 7 2" xfId="9608"/>
    <cellStyle name="Normal 6 3 2 8" xfId="9390"/>
    <cellStyle name="Normal 6 3 3" xfId="373"/>
    <cellStyle name="Normal 6 3 3 2" xfId="707"/>
    <cellStyle name="Normal 6 3 3 2 2" xfId="935"/>
    <cellStyle name="Normal 6 3 3 2 2 2" xfId="9692"/>
    <cellStyle name="Normal 6 3 3 2 3" xfId="9476"/>
    <cellStyle name="Normal 6 3 3 3" xfId="791"/>
    <cellStyle name="Normal 6 3 3 3 2" xfId="1007"/>
    <cellStyle name="Normal 6 3 3 3 2 2" xfId="9764"/>
    <cellStyle name="Normal 6 3 3 3 3" xfId="9548"/>
    <cellStyle name="Normal 6 3 3 4" xfId="863"/>
    <cellStyle name="Normal 6 3 3 4 2" xfId="9620"/>
    <cellStyle name="Normal 6 3 3 5" xfId="9404"/>
    <cellStyle name="Normal 6 3 4" xfId="415"/>
    <cellStyle name="Normal 6 3 4 2" xfId="720"/>
    <cellStyle name="Normal 6 3 4 2 2" xfId="948"/>
    <cellStyle name="Normal 6 3 4 2 2 2" xfId="9705"/>
    <cellStyle name="Normal 6 3 4 2 3" xfId="9489"/>
    <cellStyle name="Normal 6 3 4 3" xfId="804"/>
    <cellStyle name="Normal 6 3 4 3 2" xfId="1020"/>
    <cellStyle name="Normal 6 3 4 3 2 2" xfId="9777"/>
    <cellStyle name="Normal 6 3 4 3 3" xfId="9561"/>
    <cellStyle name="Normal 6 3 4 4" xfId="876"/>
    <cellStyle name="Normal 6 3 4 4 2" xfId="9633"/>
    <cellStyle name="Normal 6 3 4 5" xfId="9417"/>
    <cellStyle name="Normal 6 3 5" xfId="654"/>
    <cellStyle name="Normal 6 3 5 2" xfId="759"/>
    <cellStyle name="Normal 6 3 5 2 2" xfId="975"/>
    <cellStyle name="Normal 6 3 5 2 2 2" xfId="9732"/>
    <cellStyle name="Normal 6 3 5 2 3" xfId="9516"/>
    <cellStyle name="Normal 6 3 5 3" xfId="831"/>
    <cellStyle name="Normal 6 3 5 3 2" xfId="1047"/>
    <cellStyle name="Normal 6 3 5 3 2 2" xfId="9804"/>
    <cellStyle name="Normal 6 3 5 3 3" xfId="9588"/>
    <cellStyle name="Normal 6 3 5 4" xfId="903"/>
    <cellStyle name="Normal 6 3 5 4 2" xfId="9660"/>
    <cellStyle name="Normal 6 3 5 5" xfId="9444"/>
    <cellStyle name="Normal 6 3 6" xfId="693"/>
    <cellStyle name="Normal 6 3 6 2" xfId="922"/>
    <cellStyle name="Normal 6 3 6 2 2" xfId="9679"/>
    <cellStyle name="Normal 6 3 6 3" xfId="9463"/>
    <cellStyle name="Normal 6 3 7" xfId="778"/>
    <cellStyle name="Normal 6 3 7 2" xfId="994"/>
    <cellStyle name="Normal 6 3 7 2 2" xfId="9751"/>
    <cellStyle name="Normal 6 3 7 3" xfId="9535"/>
    <cellStyle name="Normal 6 3 8" xfId="850"/>
    <cellStyle name="Normal 6 3 8 2" xfId="9607"/>
    <cellStyle name="Normal 6 3 9" xfId="9389"/>
    <cellStyle name="Normal 6 4" xfId="200"/>
    <cellStyle name="Normal 6 4 2" xfId="375"/>
    <cellStyle name="Normal 6 4 2 2" xfId="709"/>
    <cellStyle name="Normal 6 4 2 2 2" xfId="937"/>
    <cellStyle name="Normal 6 4 2 2 2 2" xfId="9694"/>
    <cellStyle name="Normal 6 4 2 2 3" xfId="9478"/>
    <cellStyle name="Normal 6 4 2 3" xfId="793"/>
    <cellStyle name="Normal 6 4 2 3 2" xfId="1009"/>
    <cellStyle name="Normal 6 4 2 3 2 2" xfId="9766"/>
    <cellStyle name="Normal 6 4 2 3 3" xfId="9550"/>
    <cellStyle name="Normal 6 4 2 4" xfId="865"/>
    <cellStyle name="Normal 6 4 2 4 2" xfId="9622"/>
    <cellStyle name="Normal 6 4 2 5" xfId="9406"/>
    <cellStyle name="Normal 6 4 3" xfId="417"/>
    <cellStyle name="Normal 6 4 3 2" xfId="722"/>
    <cellStyle name="Normal 6 4 3 2 2" xfId="950"/>
    <cellStyle name="Normal 6 4 3 2 2 2" xfId="9707"/>
    <cellStyle name="Normal 6 4 3 2 3" xfId="9491"/>
    <cellStyle name="Normal 6 4 3 3" xfId="806"/>
    <cellStyle name="Normal 6 4 3 3 2" xfId="1022"/>
    <cellStyle name="Normal 6 4 3 3 2 2" xfId="9779"/>
    <cellStyle name="Normal 6 4 3 3 3" xfId="9563"/>
    <cellStyle name="Normal 6 4 3 4" xfId="878"/>
    <cellStyle name="Normal 6 4 3 4 2" xfId="9635"/>
    <cellStyle name="Normal 6 4 3 5" xfId="9419"/>
    <cellStyle name="Normal 6 4 4" xfId="656"/>
    <cellStyle name="Normal 6 4 4 2" xfId="761"/>
    <cellStyle name="Normal 6 4 4 2 2" xfId="977"/>
    <cellStyle name="Normal 6 4 4 2 2 2" xfId="9734"/>
    <cellStyle name="Normal 6 4 4 2 3" xfId="9518"/>
    <cellStyle name="Normal 6 4 4 3" xfId="833"/>
    <cellStyle name="Normal 6 4 4 3 2" xfId="1049"/>
    <cellStyle name="Normal 6 4 4 3 2 2" xfId="9806"/>
    <cellStyle name="Normal 6 4 4 3 3" xfId="9590"/>
    <cellStyle name="Normal 6 4 4 4" xfId="905"/>
    <cellStyle name="Normal 6 4 4 4 2" xfId="9662"/>
    <cellStyle name="Normal 6 4 4 5" xfId="9446"/>
    <cellStyle name="Normal 6 4 5" xfId="695"/>
    <cellStyle name="Normal 6 4 5 2" xfId="924"/>
    <cellStyle name="Normal 6 4 5 2 2" xfId="9681"/>
    <cellStyle name="Normal 6 4 5 3" xfId="9465"/>
    <cellStyle name="Normal 6 4 6" xfId="780"/>
    <cellStyle name="Normal 6 4 6 2" xfId="996"/>
    <cellStyle name="Normal 6 4 6 2 2" xfId="9753"/>
    <cellStyle name="Normal 6 4 6 3" xfId="9537"/>
    <cellStyle name="Normal 6 4 7" xfId="852"/>
    <cellStyle name="Normal 6 4 7 2" xfId="9609"/>
    <cellStyle name="Normal 6 4 8" xfId="9391"/>
    <cellStyle name="Normal 6 5" xfId="368"/>
    <cellStyle name="Normal 6 5 2" xfId="702"/>
    <cellStyle name="Normal 6 5 2 2" xfId="930"/>
    <cellStyle name="Normal 6 5 2 2 2" xfId="9687"/>
    <cellStyle name="Normal 6 5 2 3" xfId="9471"/>
    <cellStyle name="Normal 6 5 3" xfId="786"/>
    <cellStyle name="Normal 6 5 3 2" xfId="1002"/>
    <cellStyle name="Normal 6 5 3 2 2" xfId="9759"/>
    <cellStyle name="Normal 6 5 3 3" xfId="9543"/>
    <cellStyle name="Normal 6 5 4" xfId="858"/>
    <cellStyle name="Normal 6 5 4 2" xfId="9615"/>
    <cellStyle name="Normal 6 5 5" xfId="9399"/>
    <cellStyle name="Normal 6 6" xfId="410"/>
    <cellStyle name="Normal 6 6 2" xfId="715"/>
    <cellStyle name="Normal 6 6 2 2" xfId="943"/>
    <cellStyle name="Normal 6 6 2 2 2" xfId="9700"/>
    <cellStyle name="Normal 6 6 2 3" xfId="9484"/>
    <cellStyle name="Normal 6 6 3" xfId="799"/>
    <cellStyle name="Normal 6 6 3 2" xfId="1015"/>
    <cellStyle name="Normal 6 6 3 2 2" xfId="9772"/>
    <cellStyle name="Normal 6 6 3 3" xfId="9556"/>
    <cellStyle name="Normal 6 6 4" xfId="871"/>
    <cellStyle name="Normal 6 6 4 2" xfId="9628"/>
    <cellStyle name="Normal 6 6 5" xfId="9412"/>
    <cellStyle name="Normal 6 7" xfId="622"/>
    <cellStyle name="Normal 6 8" xfId="649"/>
    <cellStyle name="Normal 6 8 2" xfId="754"/>
    <cellStyle name="Normal 6 8 2 2" xfId="970"/>
    <cellStyle name="Normal 6 8 2 2 2" xfId="9727"/>
    <cellStyle name="Normal 6 8 2 3" xfId="9511"/>
    <cellStyle name="Normal 6 8 3" xfId="826"/>
    <cellStyle name="Normal 6 8 3 2" xfId="1042"/>
    <cellStyle name="Normal 6 8 3 2 2" xfId="9799"/>
    <cellStyle name="Normal 6 8 3 3" xfId="9583"/>
    <cellStyle name="Normal 6 8 4" xfId="898"/>
    <cellStyle name="Normal 6 8 4 2" xfId="9655"/>
    <cellStyle name="Normal 6 8 5" xfId="9439"/>
    <cellStyle name="Normal 6 9" xfId="688"/>
    <cellStyle name="Normal 6 9 2" xfId="917"/>
    <cellStyle name="Normal 6 9 2 2" xfId="9674"/>
    <cellStyle name="Normal 6 9 3" xfId="9458"/>
    <cellStyle name="Normal 7" xfId="201"/>
    <cellStyle name="Normal 7 2" xfId="444"/>
    <cellStyle name="Normal 7 2 2" xfId="9128"/>
    <cellStyle name="Normal 7 2 2 2" xfId="9129"/>
    <cellStyle name="Normal 7 2 2 2 2" xfId="9130"/>
    <cellStyle name="Normal 7 2 2 2 3" xfId="9131"/>
    <cellStyle name="Normal 7 2 2 3" xfId="9132"/>
    <cellStyle name="Normal 7 2 2 4" xfId="9133"/>
    <cellStyle name="Normal 7 2 2 5" xfId="9134"/>
    <cellStyle name="Normal 7 3" xfId="9135"/>
    <cellStyle name="Normal 7 3 2" xfId="9136"/>
    <cellStyle name="Normal 7 3 2 2" xfId="9137"/>
    <cellStyle name="Normal 7 3 2 3" xfId="9138"/>
    <cellStyle name="Normal 7 3 3" xfId="9139"/>
    <cellStyle name="Normal 7 3 4" xfId="9140"/>
    <cellStyle name="Normal 7 3 5" xfId="9141"/>
    <cellStyle name="Normal 7 4" xfId="9142"/>
    <cellStyle name="Normal 8" xfId="202"/>
    <cellStyle name="Normal 8 10" xfId="443"/>
    <cellStyle name="Normal 8 10 2" xfId="442"/>
    <cellStyle name="Normal 8 11" xfId="441"/>
    <cellStyle name="Normal 8 12" xfId="440"/>
    <cellStyle name="Normal 8 13" xfId="657"/>
    <cellStyle name="Normal 8 13 2" xfId="762"/>
    <cellStyle name="Normal 8 13 2 2" xfId="978"/>
    <cellStyle name="Normal 8 13 2 2 2" xfId="9735"/>
    <cellStyle name="Normal 8 13 2 3" xfId="9519"/>
    <cellStyle name="Normal 8 13 3" xfId="834"/>
    <cellStyle name="Normal 8 13 3 2" xfId="1050"/>
    <cellStyle name="Normal 8 13 3 2 2" xfId="9807"/>
    <cellStyle name="Normal 8 13 3 3" xfId="9591"/>
    <cellStyle name="Normal 8 13 4" xfId="906"/>
    <cellStyle name="Normal 8 13 4 2" xfId="9663"/>
    <cellStyle name="Normal 8 13 5" xfId="9447"/>
    <cellStyle name="Normal 8 14" xfId="696"/>
    <cellStyle name="Normal 8 14 2" xfId="925"/>
    <cellStyle name="Normal 8 14 2 2" xfId="9682"/>
    <cellStyle name="Normal 8 14 3" xfId="9466"/>
    <cellStyle name="Normal 8 15" xfId="781"/>
    <cellStyle name="Normal 8 15 2" xfId="997"/>
    <cellStyle name="Normal 8 15 2 2" xfId="9754"/>
    <cellStyle name="Normal 8 15 3" xfId="9538"/>
    <cellStyle name="Normal 8 16" xfId="853"/>
    <cellStyle name="Normal 8 16 2" xfId="9610"/>
    <cellStyle name="Normal 8 17" xfId="9392"/>
    <cellStyle name="Normal 8 2" xfId="203"/>
    <cellStyle name="Normal 8 2 10" xfId="854"/>
    <cellStyle name="Normal 8 2 10 2" xfId="9611"/>
    <cellStyle name="Normal 8 2 11" xfId="9393"/>
    <cellStyle name="Normal 8 2 2" xfId="377"/>
    <cellStyle name="Normal 8 2 2 2" xfId="439"/>
    <cellStyle name="Normal 8 2 2 3" xfId="711"/>
    <cellStyle name="Normal 8 2 2 3 2" xfId="939"/>
    <cellStyle name="Normal 8 2 2 3 2 2" xfId="9696"/>
    <cellStyle name="Normal 8 2 2 3 3" xfId="9480"/>
    <cellStyle name="Normal 8 2 2 4" xfId="795"/>
    <cellStyle name="Normal 8 2 2 4 2" xfId="1011"/>
    <cellStyle name="Normal 8 2 2 4 2 2" xfId="9768"/>
    <cellStyle name="Normal 8 2 2 4 3" xfId="9552"/>
    <cellStyle name="Normal 8 2 2 5" xfId="867"/>
    <cellStyle name="Normal 8 2 2 5 2" xfId="9624"/>
    <cellStyle name="Normal 8 2 2 6" xfId="9408"/>
    <cellStyle name="Normal 8 2 3" xfId="420"/>
    <cellStyle name="Normal 8 2 3 2" xfId="438"/>
    <cellStyle name="Normal 8 2 3 3" xfId="724"/>
    <cellStyle name="Normal 8 2 3 3 2" xfId="952"/>
    <cellStyle name="Normal 8 2 3 3 2 2" xfId="9709"/>
    <cellStyle name="Normal 8 2 3 3 3" xfId="9493"/>
    <cellStyle name="Normal 8 2 3 4" xfId="808"/>
    <cellStyle name="Normal 8 2 3 4 2" xfId="1024"/>
    <cellStyle name="Normal 8 2 3 4 2 2" xfId="9781"/>
    <cellStyle name="Normal 8 2 3 4 3" xfId="9565"/>
    <cellStyle name="Normal 8 2 3 5" xfId="880"/>
    <cellStyle name="Normal 8 2 3 5 2" xfId="9637"/>
    <cellStyle name="Normal 8 2 3 6" xfId="9421"/>
    <cellStyle name="Normal 8 2 4" xfId="437"/>
    <cellStyle name="Normal 8 2 4 2" xfId="436"/>
    <cellStyle name="Normal 8 2 5" xfId="435"/>
    <cellStyle name="Normal 8 2 6" xfId="434"/>
    <cellStyle name="Normal 8 2 7" xfId="658"/>
    <cellStyle name="Normal 8 2 7 2" xfId="763"/>
    <cellStyle name="Normal 8 2 7 2 2" xfId="979"/>
    <cellStyle name="Normal 8 2 7 2 2 2" xfId="9736"/>
    <cellStyle name="Normal 8 2 7 2 3" xfId="9520"/>
    <cellStyle name="Normal 8 2 7 3" xfId="835"/>
    <cellStyle name="Normal 8 2 7 3 2" xfId="1051"/>
    <cellStyle name="Normal 8 2 7 3 2 2" xfId="9808"/>
    <cellStyle name="Normal 8 2 7 3 3" xfId="9592"/>
    <cellStyle name="Normal 8 2 7 4" xfId="907"/>
    <cellStyle name="Normal 8 2 7 4 2" xfId="9664"/>
    <cellStyle name="Normal 8 2 7 5" xfId="9448"/>
    <cellStyle name="Normal 8 2 8" xfId="697"/>
    <cellStyle name="Normal 8 2 8 2" xfId="926"/>
    <cellStyle name="Normal 8 2 8 2 2" xfId="9683"/>
    <cellStyle name="Normal 8 2 8 3" xfId="9467"/>
    <cellStyle name="Normal 8 2 9" xfId="782"/>
    <cellStyle name="Normal 8 2 9 2" xfId="998"/>
    <cellStyle name="Normal 8 2 9 2 2" xfId="9755"/>
    <cellStyle name="Normal 8 2 9 3" xfId="9539"/>
    <cellStyle name="Normal 8 3" xfId="376"/>
    <cellStyle name="Normal 8 3 10" xfId="9407"/>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0"/>
    <cellStyle name="Normal 8 3 7 2" xfId="938"/>
    <cellStyle name="Normal 8 3 7 2 2" xfId="9695"/>
    <cellStyle name="Normal 8 3 7 3" xfId="9479"/>
    <cellStyle name="Normal 8 3 8" xfId="794"/>
    <cellStyle name="Normal 8 3 8 2" xfId="1010"/>
    <cellStyle name="Normal 8 3 8 2 2" xfId="9767"/>
    <cellStyle name="Normal 8 3 8 3" xfId="9551"/>
    <cellStyle name="Normal 8 3 9" xfId="866"/>
    <cellStyle name="Normal 8 3 9 2" xfId="9623"/>
    <cellStyle name="Normal 8 4" xfId="419"/>
    <cellStyle name="Normal 8 4 10" xfId="9420"/>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3"/>
    <cellStyle name="Normal 8 4 7 2" xfId="951"/>
    <cellStyle name="Normal 8 4 7 2 2" xfId="9708"/>
    <cellStyle name="Normal 8 4 7 3" xfId="9492"/>
    <cellStyle name="Normal 8 4 8" xfId="807"/>
    <cellStyle name="Normal 8 4 8 2" xfId="1023"/>
    <cellStyle name="Normal 8 4 8 2 2" xfId="9780"/>
    <cellStyle name="Normal 8 4 8 3" xfId="9564"/>
    <cellStyle name="Normal 8 4 9" xfId="879"/>
    <cellStyle name="Normal 8 4 9 2" xfId="9636"/>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3"/>
    <cellStyle name="Normal 9 10 2" xfId="999"/>
    <cellStyle name="Normal 9 10 2 2" xfId="9756"/>
    <cellStyle name="Normal 9 10 3" xfId="9540"/>
    <cellStyle name="Normal 9 11" xfId="855"/>
    <cellStyle name="Normal 9 11 2" xfId="9612"/>
    <cellStyle name="Normal 9 12" xfId="9394"/>
    <cellStyle name="Normal 9 2" xfId="205"/>
    <cellStyle name="Normal 9 2 2" xfId="379"/>
    <cellStyle name="Normal 9 2 2 2" xfId="713"/>
    <cellStyle name="Normal 9 2 2 2 2" xfId="941"/>
    <cellStyle name="Normal 9 2 2 2 2 2" xfId="9698"/>
    <cellStyle name="Normal 9 2 2 2 3" xfId="9482"/>
    <cellStyle name="Normal 9 2 2 3" xfId="797"/>
    <cellStyle name="Normal 9 2 2 3 2" xfId="1013"/>
    <cellStyle name="Normal 9 2 2 3 2 2" xfId="9770"/>
    <cellStyle name="Normal 9 2 2 3 3" xfId="9554"/>
    <cellStyle name="Normal 9 2 2 4" xfId="869"/>
    <cellStyle name="Normal 9 2 2 4 2" xfId="9626"/>
    <cellStyle name="Normal 9 2 2 5" xfId="9410"/>
    <cellStyle name="Normal 9 2 3" xfId="422"/>
    <cellStyle name="Normal 9 2 3 2" xfId="726"/>
    <cellStyle name="Normal 9 2 3 2 2" xfId="954"/>
    <cellStyle name="Normal 9 2 3 2 2 2" xfId="9711"/>
    <cellStyle name="Normal 9 2 3 2 3" xfId="9495"/>
    <cellStyle name="Normal 9 2 3 3" xfId="810"/>
    <cellStyle name="Normal 9 2 3 3 2" xfId="1026"/>
    <cellStyle name="Normal 9 2 3 3 2 2" xfId="9783"/>
    <cellStyle name="Normal 9 2 3 3 3" xfId="9567"/>
    <cellStyle name="Normal 9 2 3 4" xfId="882"/>
    <cellStyle name="Normal 9 2 3 4 2" xfId="9639"/>
    <cellStyle name="Normal 9 2 3 5" xfId="9423"/>
    <cellStyle name="Normal 9 2 4" xfId="660"/>
    <cellStyle name="Normal 9 2 4 2" xfId="765"/>
    <cellStyle name="Normal 9 2 4 2 2" xfId="981"/>
    <cellStyle name="Normal 9 2 4 2 2 2" xfId="9738"/>
    <cellStyle name="Normal 9 2 4 2 3" xfId="9522"/>
    <cellStyle name="Normal 9 2 4 3" xfId="837"/>
    <cellStyle name="Normal 9 2 4 3 2" xfId="1053"/>
    <cellStyle name="Normal 9 2 4 3 2 2" xfId="9810"/>
    <cellStyle name="Normal 9 2 4 3 3" xfId="9594"/>
    <cellStyle name="Normal 9 2 4 4" xfId="909"/>
    <cellStyle name="Normal 9 2 4 4 2" xfId="9666"/>
    <cellStyle name="Normal 9 2 4 5" xfId="9450"/>
    <cellStyle name="Normal 9 2 5" xfId="699"/>
    <cellStyle name="Normal 9 2 5 2" xfId="928"/>
    <cellStyle name="Normal 9 2 5 2 2" xfId="9685"/>
    <cellStyle name="Normal 9 2 5 3" xfId="9469"/>
    <cellStyle name="Normal 9 2 6" xfId="784"/>
    <cellStyle name="Normal 9 2 6 2" xfId="1000"/>
    <cellStyle name="Normal 9 2 6 2 2" xfId="9757"/>
    <cellStyle name="Normal 9 2 6 3" xfId="9541"/>
    <cellStyle name="Normal 9 2 7" xfId="856"/>
    <cellStyle name="Normal 9 2 7 2" xfId="9613"/>
    <cellStyle name="Normal 9 2 8" xfId="9395"/>
    <cellStyle name="Normal 9 3" xfId="378"/>
    <cellStyle name="Normal 9 3 2" xfId="712"/>
    <cellStyle name="Normal 9 3 2 2" xfId="940"/>
    <cellStyle name="Normal 9 3 2 2 2" xfId="9697"/>
    <cellStyle name="Normal 9 3 2 3" xfId="9481"/>
    <cellStyle name="Normal 9 3 3" xfId="796"/>
    <cellStyle name="Normal 9 3 3 2" xfId="1012"/>
    <cellStyle name="Normal 9 3 3 2 2" xfId="9769"/>
    <cellStyle name="Normal 9 3 3 3" xfId="9553"/>
    <cellStyle name="Normal 9 3 4" xfId="868"/>
    <cellStyle name="Normal 9 3 4 2" xfId="9625"/>
    <cellStyle name="Normal 9 3 5" xfId="9409"/>
    <cellStyle name="Normal 9 4" xfId="421"/>
    <cellStyle name="Normal 9 4 2" xfId="725"/>
    <cellStyle name="Normal 9 4 2 2" xfId="953"/>
    <cellStyle name="Normal 9 4 2 2 2" xfId="9710"/>
    <cellStyle name="Normal 9 4 2 3" xfId="9494"/>
    <cellStyle name="Normal 9 4 3" xfId="809"/>
    <cellStyle name="Normal 9 4 3 2" xfId="1025"/>
    <cellStyle name="Normal 9 4 3 2 2" xfId="9782"/>
    <cellStyle name="Normal 9 4 3 3" xfId="9566"/>
    <cellStyle name="Normal 9 4 4" xfId="881"/>
    <cellStyle name="Normal 9 4 4 2" xfId="9638"/>
    <cellStyle name="Normal 9 4 5" xfId="9422"/>
    <cellStyle name="Normal 9 5" xfId="624"/>
    <cellStyle name="Normal 9 5 2" xfId="734"/>
    <cellStyle name="Normal 9 5 2 2" xfId="962"/>
    <cellStyle name="Normal 9 5 2 2 2" xfId="9719"/>
    <cellStyle name="Normal 9 5 2 3" xfId="9503"/>
    <cellStyle name="Normal 9 5 3" xfId="818"/>
    <cellStyle name="Normal 9 5 3 2" xfId="1034"/>
    <cellStyle name="Normal 9 5 3 2 2" xfId="9791"/>
    <cellStyle name="Normal 9 5 3 3" xfId="9575"/>
    <cellStyle name="Normal 9 5 4" xfId="890"/>
    <cellStyle name="Normal 9 5 4 2" xfId="9647"/>
    <cellStyle name="Normal 9 5 5" xfId="9431"/>
    <cellStyle name="Normal 9 6" xfId="632"/>
    <cellStyle name="Normal 9 6 2" xfId="740"/>
    <cellStyle name="Normal 9 6 2 2" xfId="968"/>
    <cellStyle name="Normal 9 6 2 2 2" xfId="9725"/>
    <cellStyle name="Normal 9 6 2 3" xfId="9509"/>
    <cellStyle name="Normal 9 6 3" xfId="824"/>
    <cellStyle name="Normal 9 6 3 2" xfId="1040"/>
    <cellStyle name="Normal 9 6 3 2 2" xfId="9797"/>
    <cellStyle name="Normal 9 6 3 3" xfId="9581"/>
    <cellStyle name="Normal 9 6 4" xfId="896"/>
    <cellStyle name="Normal 9 6 4 2" xfId="9653"/>
    <cellStyle name="Normal 9 6 5" xfId="9437"/>
    <cellStyle name="Normal 9 7" xfId="659"/>
    <cellStyle name="Normal 9 7 2" xfId="764"/>
    <cellStyle name="Normal 9 7 2 2" xfId="980"/>
    <cellStyle name="Normal 9 7 2 2 2" xfId="9737"/>
    <cellStyle name="Normal 9 7 2 3" xfId="9521"/>
    <cellStyle name="Normal 9 7 3" xfId="836"/>
    <cellStyle name="Normal 9 7 3 2" xfId="1052"/>
    <cellStyle name="Normal 9 7 3 2 2" xfId="9809"/>
    <cellStyle name="Normal 9 7 3 3" xfId="9593"/>
    <cellStyle name="Normal 9 7 4" xfId="908"/>
    <cellStyle name="Normal 9 7 4 2" xfId="9665"/>
    <cellStyle name="Normal 9 7 5" xfId="9449"/>
    <cellStyle name="Normal 9 8" xfId="677"/>
    <cellStyle name="Normal 9 8 2" xfId="771"/>
    <cellStyle name="Normal 9 8 2 2" xfId="987"/>
    <cellStyle name="Normal 9 8 2 2 2" xfId="9744"/>
    <cellStyle name="Normal 9 8 2 3" xfId="9528"/>
    <cellStyle name="Normal 9 8 3" xfId="843"/>
    <cellStyle name="Normal 9 8 3 2" xfId="1059"/>
    <cellStyle name="Normal 9 8 3 2 2" xfId="9816"/>
    <cellStyle name="Normal 9 8 3 3" xfId="9600"/>
    <cellStyle name="Normal 9 8 4" xfId="915"/>
    <cellStyle name="Normal 9 8 4 2" xfId="9672"/>
    <cellStyle name="Normal 9 8 5" xfId="9456"/>
    <cellStyle name="Normal 9 9" xfId="698"/>
    <cellStyle name="Normal 9 9 2" xfId="927"/>
    <cellStyle name="Normal 9 9 2 2" xfId="9684"/>
    <cellStyle name="Normal 9 9 3" xfId="9468"/>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Schedule O Info for Mike" xfId="211"/>
    <cellStyle name="Normal_Support 2003 PSI Peak Demand excluding Joint Owners 2" xfId="555"/>
    <cellStyle name="Note 2" xfId="604"/>
    <cellStyle name="Note 2 2" xfId="9143"/>
    <cellStyle name="Note 3" xfId="9144"/>
    <cellStyle name="Note 4" xfId="9145"/>
    <cellStyle name="Note 5" xfId="9146"/>
    <cellStyle name="Note 5 2" xfId="9147"/>
    <cellStyle name="Note 5 2 2" xfId="9148"/>
    <cellStyle name="Note 5 2 3" xfId="9149"/>
    <cellStyle name="Note 5 3" xfId="9150"/>
    <cellStyle name="Note 5 4" xfId="9151"/>
    <cellStyle name="Note 5 5" xfId="9152"/>
    <cellStyle name="Note 6" xfId="9153"/>
    <cellStyle name="Note 7" xfId="9154"/>
    <cellStyle name="Note 8" xfId="9155"/>
    <cellStyle name="Note 9" xfId="9156"/>
    <cellStyle name="Output 2" xfId="605"/>
    <cellStyle name="Output 2 2" xfId="9157"/>
    <cellStyle name="Output 3" xfId="9158"/>
    <cellStyle name="Output 4" xfId="9159"/>
    <cellStyle name="Output 5" xfId="9160"/>
    <cellStyle name="Output 6" xfId="9161"/>
    <cellStyle name="Output 7" xfId="9162"/>
    <cellStyle name="Output 8" xfId="9163"/>
    <cellStyle name="Output 9" xfId="9164"/>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3"/>
    <cellStyle name="Percent 11" xfId="645"/>
    <cellStyle name="Percent 11 2" xfId="750"/>
    <cellStyle name="Percent 12" xfId="635"/>
    <cellStyle name="Percent 12 2" xfId="742"/>
    <cellStyle name="Percent 13" xfId="682"/>
    <cellStyle name="Percent 14" xfId="661"/>
    <cellStyle name="Percent 15" xfId="683"/>
    <cellStyle name="Percent 16" xfId="666"/>
    <cellStyle name="Percent 17" xfId="684"/>
    <cellStyle name="Percent 18" xfId="665"/>
    <cellStyle name="Percent 19" xfId="685"/>
    <cellStyle name="Percent 2" xfId="281"/>
    <cellStyle name="Percent 2 2" xfId="282"/>
    <cellStyle name="Percent 2 3" xfId="9165"/>
    <cellStyle name="Percent 20" xfId="663"/>
    <cellStyle name="Percent 21" xfId="686"/>
    <cellStyle name="Percent 22" xfId="662"/>
    <cellStyle name="Percent 3" xfId="283"/>
    <cellStyle name="Percent 3 2" xfId="284"/>
    <cellStyle name="Percent 3 3" xfId="606"/>
    <cellStyle name="Percent 3 4" xfId="607"/>
    <cellStyle name="Percent 3 5" xfId="646"/>
    <cellStyle name="Percent 3 5 2" xfId="751"/>
    <cellStyle name="Percent 4" xfId="285"/>
    <cellStyle name="Percent 4 2" xfId="608"/>
    <cellStyle name="Percent 5" xfId="286"/>
    <cellStyle name="Percent 6" xfId="287"/>
    <cellStyle name="Percent 7" xfId="288"/>
    <cellStyle name="Percent 7 2" xfId="9166"/>
    <cellStyle name="Percent 7 2 2" xfId="9167"/>
    <cellStyle name="Percent 7 2 3" xfId="9168"/>
    <cellStyle name="Percent 7 3" xfId="9169"/>
    <cellStyle name="Percent 7 4" xfId="9170"/>
    <cellStyle name="Percent 7 5" xfId="9171"/>
    <cellStyle name="Percent 8" xfId="625"/>
    <cellStyle name="Percent 9" xfId="584"/>
    <cellStyle name="Percent Input" xfId="289"/>
    <cellStyle name="Percent0" xfId="290"/>
    <cellStyle name="Percent1" xfId="291"/>
    <cellStyle name="Percent2" xfId="292"/>
    <cellStyle name="PSChar" xfId="293"/>
    <cellStyle name="PSChar 10" xfId="9172"/>
    <cellStyle name="PSChar 10 2" xfId="9173"/>
    <cellStyle name="PSChar 11" xfId="9174"/>
    <cellStyle name="PSChar 11 2" xfId="9175"/>
    <cellStyle name="PSChar 12" xfId="9176"/>
    <cellStyle name="PSChar 12 2" xfId="9177"/>
    <cellStyle name="PSChar 13" xfId="9178"/>
    <cellStyle name="PSChar 14" xfId="9179"/>
    <cellStyle name="PSChar 14 2" xfId="9180"/>
    <cellStyle name="PSChar 15" xfId="9181"/>
    <cellStyle name="PSChar 16" xfId="9182"/>
    <cellStyle name="PSChar 16 2" xfId="9183"/>
    <cellStyle name="PSChar 2" xfId="9184"/>
    <cellStyle name="PSChar 2 2" xfId="9185"/>
    <cellStyle name="PSChar 3" xfId="9186"/>
    <cellStyle name="PSChar 3 2" xfId="9187"/>
    <cellStyle name="PSChar 4" xfId="9188"/>
    <cellStyle name="PSChar 4 2" xfId="9189"/>
    <cellStyle name="PSChar 5" xfId="9190"/>
    <cellStyle name="PSChar 5 2" xfId="9191"/>
    <cellStyle name="PSChar 6" xfId="9192"/>
    <cellStyle name="PSChar 6 2" xfId="9193"/>
    <cellStyle name="PSChar 7" xfId="9194"/>
    <cellStyle name="PSChar 7 2" xfId="9195"/>
    <cellStyle name="PSChar 8" xfId="9196"/>
    <cellStyle name="PSChar 8 2" xfId="9197"/>
    <cellStyle name="PSChar 9" xfId="9198"/>
    <cellStyle name="PSChar 9 2" xfId="9199"/>
    <cellStyle name="PSChar 9 2 2" xfId="9200"/>
    <cellStyle name="PSChar 9 3" xfId="9201"/>
    <cellStyle name="PSDate" xfId="294"/>
    <cellStyle name="PSDate 10" xfId="9202"/>
    <cellStyle name="PSDate 10 2" xfId="9203"/>
    <cellStyle name="PSDate 11" xfId="9204"/>
    <cellStyle name="PSDate 11 2" xfId="9205"/>
    <cellStyle name="PSDate 12" xfId="9206"/>
    <cellStyle name="PSDate 12 2" xfId="9207"/>
    <cellStyle name="PSDate 13" xfId="9208"/>
    <cellStyle name="PSDate 14" xfId="9209"/>
    <cellStyle name="PSDate 14 2" xfId="9210"/>
    <cellStyle name="PSDate 15" xfId="9211"/>
    <cellStyle name="PSDate 16" xfId="9212"/>
    <cellStyle name="PSDate 16 2" xfId="9213"/>
    <cellStyle name="PSDate 2" xfId="9214"/>
    <cellStyle name="PSDate 2 2" xfId="9215"/>
    <cellStyle name="PSDate 3" xfId="9216"/>
    <cellStyle name="PSDate 3 2" xfId="9217"/>
    <cellStyle name="PSDate 4" xfId="9218"/>
    <cellStyle name="PSDate 4 2" xfId="9219"/>
    <cellStyle name="PSDate 5" xfId="9220"/>
    <cellStyle name="PSDate 5 2" xfId="9221"/>
    <cellStyle name="PSDate 6" xfId="9222"/>
    <cellStyle name="PSDate 6 2" xfId="9223"/>
    <cellStyle name="PSDate 7" xfId="9224"/>
    <cellStyle name="PSDate 7 2" xfId="9225"/>
    <cellStyle name="PSDate 8" xfId="9226"/>
    <cellStyle name="PSDate 8 2" xfId="9227"/>
    <cellStyle name="PSDate 9" xfId="9228"/>
    <cellStyle name="PSDate 9 2" xfId="9229"/>
    <cellStyle name="PSDate 9 2 2" xfId="9230"/>
    <cellStyle name="PSDate 9 3" xfId="9231"/>
    <cellStyle name="PSDec" xfId="295"/>
    <cellStyle name="PSDec 10" xfId="9232"/>
    <cellStyle name="PSDec 10 2" xfId="9233"/>
    <cellStyle name="PSDec 11" xfId="9234"/>
    <cellStyle name="PSDec 11 2" xfId="9235"/>
    <cellStyle name="PSDec 12" xfId="9236"/>
    <cellStyle name="PSDec 12 2" xfId="9237"/>
    <cellStyle name="PSDec 13" xfId="9238"/>
    <cellStyle name="PSDec 14" xfId="9239"/>
    <cellStyle name="PSDec 14 2" xfId="9240"/>
    <cellStyle name="PSDec 15" xfId="9241"/>
    <cellStyle name="PSDec 16" xfId="9242"/>
    <cellStyle name="PSDec 16 2" xfId="9243"/>
    <cellStyle name="PSDec 2" xfId="9244"/>
    <cellStyle name="PSDec 2 2" xfId="9245"/>
    <cellStyle name="PSDec 3" xfId="9246"/>
    <cellStyle name="PSDec 3 2" xfId="9247"/>
    <cellStyle name="PSDec 4" xfId="9248"/>
    <cellStyle name="PSDec 4 2" xfId="9249"/>
    <cellStyle name="PSDec 5" xfId="9250"/>
    <cellStyle name="PSDec 5 2" xfId="9251"/>
    <cellStyle name="PSDec 6" xfId="9252"/>
    <cellStyle name="PSDec 6 2" xfId="9253"/>
    <cellStyle name="PSDec 7" xfId="9254"/>
    <cellStyle name="PSDec 7 2" xfId="9255"/>
    <cellStyle name="PSDec 8" xfId="9256"/>
    <cellStyle name="PSDec 8 2" xfId="9257"/>
    <cellStyle name="PSDec 9" xfId="9258"/>
    <cellStyle name="PSDec 9 2" xfId="9259"/>
    <cellStyle name="PSDec 9 2 2" xfId="9260"/>
    <cellStyle name="PSDec 9 3" xfId="9261"/>
    <cellStyle name="PSdesc" xfId="296"/>
    <cellStyle name="PSHeading" xfId="297"/>
    <cellStyle name="PSHeading 10" xfId="9262"/>
    <cellStyle name="PSHeading 10 2" xfId="9263"/>
    <cellStyle name="PSHeading 11" xfId="9264"/>
    <cellStyle name="PSHeading 11 2" xfId="9265"/>
    <cellStyle name="PSHeading 11 2 2" xfId="9266"/>
    <cellStyle name="PSHeading 11 3" xfId="9267"/>
    <cellStyle name="PSHeading 12" xfId="9268"/>
    <cellStyle name="PSHeading 12 2" xfId="9269"/>
    <cellStyle name="PSHeading 13" xfId="9270"/>
    <cellStyle name="PSHeading 13 2" xfId="9271"/>
    <cellStyle name="PSHeading 14" xfId="9272"/>
    <cellStyle name="PSHeading 14 2" xfId="9273"/>
    <cellStyle name="PSHeading 15" xfId="9274"/>
    <cellStyle name="PSHeading 16" xfId="9275"/>
    <cellStyle name="PSHeading 16 2" xfId="9276"/>
    <cellStyle name="PSHeading 17" xfId="9277"/>
    <cellStyle name="PSHeading 18" xfId="9278"/>
    <cellStyle name="PSHeading 19" xfId="9279"/>
    <cellStyle name="PSHeading 19 2" xfId="9280"/>
    <cellStyle name="PSHeading 19 3" xfId="9281"/>
    <cellStyle name="PSHeading 2" xfId="9282"/>
    <cellStyle name="PSHeading 2 2" xfId="9283"/>
    <cellStyle name="PSHeading 20" xfId="9284"/>
    <cellStyle name="PSHeading 20 2" xfId="9285"/>
    <cellStyle name="PSHeading 21" xfId="9396"/>
    <cellStyle name="PSHeading 3" xfId="9286"/>
    <cellStyle name="PSHeading 3 2" xfId="9287"/>
    <cellStyle name="PSHeading 4" xfId="9288"/>
    <cellStyle name="PSHeading 4 2" xfId="9289"/>
    <cellStyle name="PSHeading 5" xfId="9290"/>
    <cellStyle name="PSHeading 5 2" xfId="9291"/>
    <cellStyle name="PSHeading 6" xfId="9292"/>
    <cellStyle name="PSHeading 6 2" xfId="9293"/>
    <cellStyle name="PSHeading 7" xfId="9294"/>
    <cellStyle name="PSHeading 7 2" xfId="9295"/>
    <cellStyle name="PSHeading 8" xfId="9296"/>
    <cellStyle name="PSHeading 8 2" xfId="9297"/>
    <cellStyle name="PSHeading 9" xfId="9298"/>
    <cellStyle name="PSHeading_July prelim tb" xfId="9299"/>
    <cellStyle name="PSInt" xfId="298"/>
    <cellStyle name="PSInt 10" xfId="9300"/>
    <cellStyle name="PSInt 10 2" xfId="9301"/>
    <cellStyle name="PSInt 11" xfId="9302"/>
    <cellStyle name="PSInt 11 2" xfId="9303"/>
    <cellStyle name="PSInt 12" xfId="9304"/>
    <cellStyle name="PSInt 12 2" xfId="9305"/>
    <cellStyle name="PSInt 13" xfId="9306"/>
    <cellStyle name="PSInt 14" xfId="9307"/>
    <cellStyle name="PSInt 14 2" xfId="9308"/>
    <cellStyle name="PSInt 15" xfId="9309"/>
    <cellStyle name="PSInt 16" xfId="9310"/>
    <cellStyle name="PSInt 16 2" xfId="9311"/>
    <cellStyle name="PSInt 2" xfId="9312"/>
    <cellStyle name="PSInt 2 2" xfId="9313"/>
    <cellStyle name="PSInt 3" xfId="9314"/>
    <cellStyle name="PSInt 3 2" xfId="9315"/>
    <cellStyle name="PSInt 4" xfId="9316"/>
    <cellStyle name="PSInt 4 2" xfId="9317"/>
    <cellStyle name="PSInt 5" xfId="9318"/>
    <cellStyle name="PSInt 5 2" xfId="9319"/>
    <cellStyle name="PSInt 6" xfId="9320"/>
    <cellStyle name="PSInt 6 2" xfId="9321"/>
    <cellStyle name="PSInt 7" xfId="9322"/>
    <cellStyle name="PSInt 7 2" xfId="9323"/>
    <cellStyle name="PSInt 8" xfId="9324"/>
    <cellStyle name="PSInt 8 2" xfId="9325"/>
    <cellStyle name="PSInt 9" xfId="9326"/>
    <cellStyle name="PSInt 9 2" xfId="9327"/>
    <cellStyle name="PSInt 9 2 2" xfId="9328"/>
    <cellStyle name="PSInt 9 3" xfId="9329"/>
    <cellStyle name="PSSpacer" xfId="299"/>
    <cellStyle name="PSSpacer 10" xfId="9330"/>
    <cellStyle name="PSSpacer 10 2" xfId="9331"/>
    <cellStyle name="PSSpacer 11" xfId="9332"/>
    <cellStyle name="PSSpacer 11 2" xfId="9333"/>
    <cellStyle name="PSSpacer 12" xfId="9334"/>
    <cellStyle name="PSSpacer 13" xfId="9335"/>
    <cellStyle name="PSSpacer 13 2" xfId="9336"/>
    <cellStyle name="PSSpacer 14" xfId="9337"/>
    <cellStyle name="PSSpacer 15" xfId="9338"/>
    <cellStyle name="PSSpacer 15 2" xfId="9339"/>
    <cellStyle name="PSSpacer 2" xfId="9340"/>
    <cellStyle name="PSSpacer 2 2" xfId="9341"/>
    <cellStyle name="PSSpacer 3" xfId="9342"/>
    <cellStyle name="PSSpacer 3 2" xfId="9343"/>
    <cellStyle name="PSSpacer 4" xfId="9344"/>
    <cellStyle name="PSSpacer 4 2" xfId="9345"/>
    <cellStyle name="PSSpacer 5" xfId="9346"/>
    <cellStyle name="PSSpacer 5 2" xfId="9347"/>
    <cellStyle name="PSSpacer 6" xfId="9348"/>
    <cellStyle name="PSSpacer 6 2" xfId="9349"/>
    <cellStyle name="PSSpacer 7" xfId="9350"/>
    <cellStyle name="PSSpacer 7 2" xfId="9351"/>
    <cellStyle name="PSSpacer 8" xfId="9352"/>
    <cellStyle name="PSSpacer 8 2" xfId="9353"/>
    <cellStyle name="PSSpacer 8 2 2" xfId="9354"/>
    <cellStyle name="PSSpacer 8 3" xfId="9355"/>
    <cellStyle name="PSSpacer 9" xfId="9356"/>
    <cellStyle name="PSSpacer 9 2" xfId="9357"/>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cenario 2" xfId="939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 3" xfId="9358"/>
    <cellStyle name="Title 4" xfId="9359"/>
    <cellStyle name="Title 5" xfId="9360"/>
    <cellStyle name="Title 6" xfId="9361"/>
    <cellStyle name="Title 7" xfId="9362"/>
    <cellStyle name="Title 8" xfId="9363"/>
    <cellStyle name="Title1" xfId="348"/>
    <cellStyle name="top" xfId="349"/>
    <cellStyle name="Total" xfId="350" builtinId="25" customBuiltin="1"/>
    <cellStyle name="Total 2" xfId="9364"/>
    <cellStyle name="Total 2 2" xfId="9365"/>
    <cellStyle name="Total 3" xfId="9366"/>
    <cellStyle name="Total 4" xfId="9367"/>
    <cellStyle name="Total 5" xfId="9368"/>
    <cellStyle name="Total 6" xfId="9369"/>
    <cellStyle name="Total 7" xfId="9370"/>
    <cellStyle name="Total 8" xfId="9371"/>
    <cellStyle name="w" xfId="351"/>
    <cellStyle name="Warning Text 2" xfId="614"/>
    <cellStyle name="Warning Text 2 2" xfId="9372"/>
    <cellStyle name="Warning Text 3" xfId="9373"/>
    <cellStyle name="Warning Text 4" xfId="9374"/>
    <cellStyle name="Warning Text 5" xfId="9375"/>
    <cellStyle name="Warning Text 6" xfId="9376"/>
    <cellStyle name="Warning Text 7" xfId="9377"/>
    <cellStyle name="Warning Text 8" xfId="9378"/>
    <cellStyle name="Warning Text 9" xfId="9379"/>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373380</xdr:colOff>
          <xdr:row>4</xdr:row>
          <xdr:rowOff>7620</xdr:rowOff>
        </xdr:from>
        <xdr:to>
          <xdr:col>2</xdr:col>
          <xdr:colOff>1021080</xdr:colOff>
          <xdr:row>4</xdr:row>
          <xdr:rowOff>7620</xdr:rowOff>
        </xdr:to>
        <xdr:sp macro="" textlink="">
          <xdr:nvSpPr>
            <xdr:cNvPr id="98305" name="Object 1" hidden="1">
              <a:extLst>
                <a:ext uri="{63B3BB69-23CF-44E3-9099-C40C66FF867C}">
                  <a14:compatExt spid="_x0000_s983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373380</xdr:colOff>
          <xdr:row>4</xdr:row>
          <xdr:rowOff>7620</xdr:rowOff>
        </xdr:from>
        <xdr:to>
          <xdr:col>1</xdr:col>
          <xdr:colOff>1021080</xdr:colOff>
          <xdr:row>4</xdr:row>
          <xdr:rowOff>7620</xdr:rowOff>
        </xdr:to>
        <xdr:sp macro="" textlink="">
          <xdr:nvSpPr>
            <xdr:cNvPr id="98306" name="Object 2" hidden="1">
              <a:extLst>
                <a:ext uri="{63B3BB69-23CF-44E3-9099-C40C66FF867C}">
                  <a14:compatExt spid="_x0000_s983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365760</xdr:colOff>
          <xdr:row>3</xdr:row>
          <xdr:rowOff>152400</xdr:rowOff>
        </xdr:from>
        <xdr:to>
          <xdr:col>2</xdr:col>
          <xdr:colOff>998220</xdr:colOff>
          <xdr:row>3</xdr:row>
          <xdr:rowOff>152400</xdr:rowOff>
        </xdr:to>
        <xdr:sp macro="" textlink="">
          <xdr:nvSpPr>
            <xdr:cNvPr id="96257" name="Object 1" hidden="1">
              <a:extLst>
                <a:ext uri="{63B3BB69-23CF-44E3-9099-C40C66FF867C}">
                  <a14:compatExt spid="_x0000_s96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ory\Transmission\Transmission%20-FTR\Formula%20Rate%20FY2014\Annual%20Update\Posting%20Files\Updated%20for%20Depr%20Rate%20Chang\KCPL%20Transmission%20%20Formula%20Rate%20FY2014-Annual%20Update%20-Depr%20Chang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37.bin"/><Relationship Id="rId7" Type="http://schemas.openxmlformats.org/officeDocument/2006/relationships/image" Target="../media/image1.emf"/><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oleObject" Target="../embeddings/oleObject1.bin"/><Relationship Id="rId5" Type="http://schemas.openxmlformats.org/officeDocument/2006/relationships/vmlDrawing" Target="../drawings/vmlDrawing4.vml"/><Relationship Id="rId4"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image" Target="../media/image1.emf"/><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oleObject" Target="../embeddings/oleObject3.bin"/><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tabSelected="1" view="pageBreakPreview" zoomScale="85" zoomScaleNormal="85" zoomScaleSheetLayoutView="85" workbookViewId="0">
      <selection activeCell="D21" sqref="D21"/>
    </sheetView>
  </sheetViews>
  <sheetFormatPr defaultColWidth="8.90625" defaultRowHeight="13.2"/>
  <cols>
    <col min="1" max="1" width="6.81640625" style="14" customWidth="1"/>
    <col min="2" max="2" width="43.54296875" style="14" customWidth="1"/>
    <col min="3" max="3" width="36.08984375" style="14" customWidth="1"/>
    <col min="4" max="4" width="16.36328125" style="14" customWidth="1"/>
    <col min="5" max="5" width="6.81640625" style="14" customWidth="1"/>
    <col min="6" max="6" width="7.36328125" style="14" customWidth="1"/>
    <col min="7" max="7" width="9.453125" style="14" customWidth="1"/>
    <col min="8" max="8" width="4.90625" style="14" customWidth="1"/>
    <col min="9" max="9" width="13.54296875" style="14" customWidth="1"/>
    <col min="10" max="10" width="5.6328125" style="14" customWidth="1"/>
    <col min="11" max="11" width="14.453125" style="14" bestFit="1" customWidth="1"/>
    <col min="12" max="12" width="14.6328125" style="14" bestFit="1" customWidth="1"/>
    <col min="13" max="16384" width="8.90625" style="14"/>
  </cols>
  <sheetData>
    <row r="1" spans="1:10">
      <c r="A1" s="103"/>
      <c r="B1" s="103"/>
      <c r="C1" s="103"/>
      <c r="D1" s="103"/>
      <c r="E1" s="103"/>
      <c r="F1" s="103"/>
      <c r="G1" s="103"/>
      <c r="H1" s="103"/>
      <c r="I1" s="103"/>
      <c r="J1" s="104" t="s">
        <v>628</v>
      </c>
    </row>
    <row r="2" spans="1:10">
      <c r="A2" s="103"/>
      <c r="B2" s="103"/>
      <c r="C2" s="103"/>
      <c r="D2" s="103"/>
      <c r="E2" s="103"/>
      <c r="F2" s="103"/>
      <c r="G2" s="103"/>
      <c r="H2" s="103"/>
      <c r="I2" s="103"/>
      <c r="J2" s="103"/>
    </row>
    <row r="3" spans="1:10">
      <c r="A3" s="34"/>
      <c r="B3" s="26" t="s">
        <v>1</v>
      </c>
      <c r="C3" s="201"/>
      <c r="D3" s="105" t="s">
        <v>746</v>
      </c>
      <c r="E3" s="26"/>
      <c r="F3" s="26"/>
      <c r="G3" s="106"/>
      <c r="H3" s="107"/>
      <c r="I3" s="108"/>
      <c r="J3" s="19" t="s">
        <v>910</v>
      </c>
    </row>
    <row r="4" spans="1:10">
      <c r="A4" s="34"/>
      <c r="C4" s="27"/>
      <c r="D4" s="30" t="s">
        <v>97</v>
      </c>
      <c r="E4" s="27"/>
      <c r="F4" s="27"/>
      <c r="G4" s="27"/>
      <c r="H4" s="109"/>
      <c r="I4" s="109"/>
      <c r="J4" s="110"/>
    </row>
    <row r="5" spans="1:10" ht="13.8">
      <c r="A5" s="34"/>
      <c r="B5" s="111"/>
      <c r="C5" s="118"/>
      <c r="D5" s="264" t="s">
        <v>733</v>
      </c>
      <c r="E5" s="118"/>
      <c r="F5" s="118"/>
      <c r="G5" s="118"/>
      <c r="H5" s="110"/>
      <c r="I5" s="110"/>
      <c r="J5" s="110"/>
    </row>
    <row r="6" spans="1:10" ht="13.8">
      <c r="B6" s="111"/>
      <c r="J6" s="112"/>
    </row>
    <row r="7" spans="1:10">
      <c r="A7" s="105"/>
      <c r="C7" s="110"/>
      <c r="D7" s="113"/>
      <c r="E7" s="110"/>
      <c r="F7" s="110"/>
      <c r="G7" s="110"/>
      <c r="H7" s="110"/>
      <c r="I7" s="110"/>
      <c r="J7" s="110"/>
    </row>
    <row r="8" spans="1:10">
      <c r="A8" s="105"/>
      <c r="B8" s="114" t="s">
        <v>3</v>
      </c>
      <c r="C8" s="114" t="s">
        <v>4</v>
      </c>
      <c r="D8" s="114" t="s">
        <v>5</v>
      </c>
      <c r="E8" s="27" t="s">
        <v>2</v>
      </c>
      <c r="F8" s="27"/>
      <c r="G8" s="113" t="s">
        <v>6</v>
      </c>
      <c r="H8" s="27"/>
      <c r="I8" s="113" t="s">
        <v>7</v>
      </c>
      <c r="J8" s="110"/>
    </row>
    <row r="9" spans="1:10">
      <c r="A9" s="105" t="s">
        <v>8</v>
      </c>
      <c r="B9" s="110"/>
      <c r="C9" s="110"/>
      <c r="D9" s="115"/>
      <c r="E9" s="110"/>
      <c r="F9" s="110"/>
      <c r="G9" s="110"/>
      <c r="H9" s="110"/>
      <c r="I9" s="105" t="s">
        <v>9</v>
      </c>
      <c r="J9" s="110"/>
    </row>
    <row r="10" spans="1:10" ht="13.8" thickBot="1">
      <c r="A10" s="31" t="s">
        <v>10</v>
      </c>
      <c r="B10" s="110"/>
      <c r="C10" s="142" t="s">
        <v>199</v>
      </c>
      <c r="D10" s="110"/>
      <c r="E10" s="110"/>
      <c r="F10" s="110"/>
      <c r="G10" s="110"/>
      <c r="H10" s="110"/>
      <c r="I10" s="31" t="s">
        <v>11</v>
      </c>
      <c r="J10" s="110"/>
    </row>
    <row r="11" spans="1:10">
      <c r="A11" s="105">
        <v>1</v>
      </c>
      <c r="B11" s="110" t="s">
        <v>521</v>
      </c>
      <c r="C11" s="110" t="s">
        <v>565</v>
      </c>
      <c r="D11" s="116"/>
      <c r="E11" s="110"/>
      <c r="F11" s="110"/>
      <c r="G11" s="110"/>
      <c r="H11" s="110"/>
      <c r="I11" s="117">
        <f>+I171</f>
        <v>9067439.3955416922</v>
      </c>
      <c r="J11" s="118"/>
    </row>
    <row r="12" spans="1:10">
      <c r="A12" s="105"/>
      <c r="B12" s="110"/>
      <c r="C12" s="110"/>
      <c r="D12" s="110"/>
      <c r="E12" s="110"/>
      <c r="F12" s="110"/>
      <c r="G12" s="110"/>
      <c r="H12" s="110"/>
      <c r="I12" s="116"/>
      <c r="J12" s="110"/>
    </row>
    <row r="13" spans="1:10" ht="13.8" thickBot="1">
      <c r="A13" s="105" t="s">
        <v>2</v>
      </c>
      <c r="B13" s="29" t="s">
        <v>12</v>
      </c>
      <c r="C13" s="35" t="s">
        <v>504</v>
      </c>
      <c r="D13" s="31" t="s">
        <v>13</v>
      </c>
      <c r="E13" s="27"/>
      <c r="F13" s="119" t="s">
        <v>14</v>
      </c>
      <c r="G13" s="119"/>
      <c r="H13" s="110"/>
      <c r="I13" s="116"/>
      <c r="J13" s="110"/>
    </row>
    <row r="14" spans="1:10">
      <c r="A14" s="105">
        <f>+A11+1</f>
        <v>2</v>
      </c>
      <c r="B14" s="29" t="s">
        <v>102</v>
      </c>
      <c r="C14" s="35" t="str">
        <f>"(page 4, line "&amp;A210&amp;")"</f>
        <v>(page 4, line 20)</v>
      </c>
      <c r="D14" s="158">
        <f>I210</f>
        <v>0</v>
      </c>
      <c r="E14" s="27"/>
      <c r="F14" s="27" t="s">
        <v>15</v>
      </c>
      <c r="G14" s="167">
        <f>$I$189</f>
        <v>1</v>
      </c>
      <c r="H14" s="42"/>
      <c r="I14" s="16">
        <f>+G14*D14</f>
        <v>0</v>
      </c>
      <c r="J14" s="110"/>
    </row>
    <row r="15" spans="1:10">
      <c r="A15" s="105">
        <f>+A14+1</f>
        <v>3</v>
      </c>
      <c r="B15" s="29" t="s">
        <v>797</v>
      </c>
      <c r="C15" s="502" t="str">
        <f>"(page 4, line "&amp;A212&amp;")"</f>
        <v>(page 4, line 21)</v>
      </c>
      <c r="D15" s="158">
        <f>+I212</f>
        <v>0</v>
      </c>
      <c r="E15" s="27"/>
      <c r="F15" s="27" t="s">
        <v>15</v>
      </c>
      <c r="G15" s="167">
        <f>$I$189</f>
        <v>1</v>
      </c>
      <c r="H15" s="42"/>
      <c r="I15" s="16">
        <f>+G15*D15</f>
        <v>0</v>
      </c>
      <c r="J15" s="110"/>
    </row>
    <row r="16" spans="1:10">
      <c r="A16" s="479">
        <f>+A15+1</f>
        <v>4</v>
      </c>
      <c r="B16" s="120" t="s">
        <v>245</v>
      </c>
      <c r="C16" s="328" t="s">
        <v>511</v>
      </c>
      <c r="D16" s="325">
        <v>0</v>
      </c>
      <c r="E16" s="27"/>
      <c r="F16" s="27" t="s">
        <v>15</v>
      </c>
      <c r="G16" s="167">
        <f>$I$189</f>
        <v>1</v>
      </c>
      <c r="H16" s="42"/>
      <c r="I16" s="16">
        <f>+G16*D16</f>
        <v>0</v>
      </c>
      <c r="J16" s="110"/>
    </row>
    <row r="17" spans="1:12" ht="13.8" thickBot="1">
      <c r="A17" s="105">
        <f>+A16+1</f>
        <v>5</v>
      </c>
      <c r="B17" s="120" t="s">
        <v>103</v>
      </c>
      <c r="C17" s="121"/>
      <c r="D17" s="325">
        <v>0</v>
      </c>
      <c r="E17" s="27"/>
      <c r="F17" s="27" t="s">
        <v>15</v>
      </c>
      <c r="G17" s="167">
        <f>$I$189</f>
        <v>1</v>
      </c>
      <c r="H17" s="42"/>
      <c r="I17" s="40">
        <f>+G17*D17</f>
        <v>0</v>
      </c>
      <c r="J17" s="110"/>
    </row>
    <row r="18" spans="1:12">
      <c r="A18" s="479">
        <f>+A17+1</f>
        <v>6</v>
      </c>
      <c r="B18" s="29" t="s">
        <v>216</v>
      </c>
      <c r="C18" s="110" t="str">
        <f>"(Sum of Lines "&amp;A14&amp;" through "&amp;A17&amp;")"</f>
        <v>(Sum of Lines 2 through 5)</v>
      </c>
      <c r="D18" s="480">
        <f>SUM(D14:D17)</f>
        <v>0</v>
      </c>
      <c r="E18" s="27"/>
      <c r="F18" s="27"/>
      <c r="G18" s="43"/>
      <c r="H18" s="42"/>
      <c r="I18" s="480">
        <f>SUM(I14:I17)</f>
        <v>0</v>
      </c>
      <c r="J18" s="110"/>
    </row>
    <row r="19" spans="1:12">
      <c r="A19" s="105"/>
      <c r="B19" s="34"/>
      <c r="C19" s="110"/>
      <c r="D19" s="469" t="s">
        <v>2</v>
      </c>
      <c r="E19" s="110"/>
      <c r="F19" s="110"/>
      <c r="G19" s="122"/>
      <c r="H19" s="110"/>
      <c r="I19" s="34"/>
      <c r="J19" s="110"/>
    </row>
    <row r="20" spans="1:12" s="321" customFormat="1">
      <c r="A20" s="479">
        <f>+A18+1</f>
        <v>7</v>
      </c>
      <c r="B20" s="120" t="s">
        <v>697</v>
      </c>
      <c r="C20" s="121" t="s">
        <v>491</v>
      </c>
      <c r="D20" s="158">
        <f>+'11-Corrections'!F30</f>
        <v>0</v>
      </c>
      <c r="E20" s="27"/>
      <c r="F20" s="27" t="s">
        <v>77</v>
      </c>
      <c r="G20" s="167">
        <v>1</v>
      </c>
      <c r="H20" s="27"/>
      <c r="I20" s="405">
        <f>+G20*D20</f>
        <v>0</v>
      </c>
      <c r="J20" s="110"/>
      <c r="L20" s="123"/>
    </row>
    <row r="21" spans="1:12">
      <c r="A21" s="124">
        <f>+A20+1</f>
        <v>8</v>
      </c>
      <c r="B21" s="125" t="s">
        <v>98</v>
      </c>
      <c r="C21" s="301" t="str">
        <f>"Attachment 3, line "&amp;'3-Project True-up'!A29&amp;", Col. G+H"</f>
        <v>Attachment 3, line 9, Col. G+H</v>
      </c>
      <c r="D21" s="158">
        <f>'3-Project True-up'!I29+'3-Project True-up'!J29</f>
        <v>-1938004.0241136414</v>
      </c>
      <c r="E21" s="126"/>
      <c r="F21" s="127" t="s">
        <v>77</v>
      </c>
      <c r="G21" s="167">
        <v>1</v>
      </c>
      <c r="H21" s="126"/>
      <c r="I21" s="16">
        <f>+G21*D21</f>
        <v>-1938004.0241136414</v>
      </c>
      <c r="J21" s="128"/>
    </row>
    <row r="22" spans="1:12" s="321" customFormat="1">
      <c r="A22" s="124">
        <f>+A21+1</f>
        <v>9</v>
      </c>
      <c r="B22" s="125" t="s">
        <v>741</v>
      </c>
      <c r="C22" s="301" t="s">
        <v>740</v>
      </c>
      <c r="D22" s="158">
        <f>+'13 - 30.9 credits'!D8</f>
        <v>0</v>
      </c>
      <c r="E22" s="126"/>
      <c r="F22" s="541" t="s">
        <v>77</v>
      </c>
      <c r="G22" s="167">
        <v>1</v>
      </c>
      <c r="H22" s="126"/>
      <c r="I22" s="405">
        <f>+G22*D22</f>
        <v>0</v>
      </c>
      <c r="J22" s="128"/>
    </row>
    <row r="23" spans="1:12">
      <c r="A23" s="124"/>
      <c r="B23" s="125"/>
      <c r="C23" s="301"/>
      <c r="D23" s="470"/>
      <c r="E23" s="129"/>
      <c r="F23" s="129"/>
      <c r="G23" s="129"/>
      <c r="H23" s="129"/>
      <c r="I23" s="130"/>
      <c r="J23" s="128"/>
    </row>
    <row r="24" spans="1:12" ht="13.8" thickBot="1">
      <c r="A24" s="124">
        <f>+A22+1</f>
        <v>10</v>
      </c>
      <c r="B24" s="125" t="s">
        <v>399</v>
      </c>
      <c r="C24" s="541" t="str">
        <f>"( Line "&amp;A11&amp;" less line "&amp;A18&amp;" plus lines "&amp;A20&amp;","&amp;A21&amp;", and "&amp;A22&amp;")"</f>
        <v>( Line 1 less line 6 plus lines 7,8, and 9)</v>
      </c>
      <c r="D24" s="129"/>
      <c r="E24" s="130"/>
      <c r="F24" s="130"/>
      <c r="G24" s="130"/>
      <c r="H24" s="130"/>
      <c r="I24" s="131">
        <f>+I11-I18+I20+I21+I22</f>
        <v>7129435.371428051</v>
      </c>
      <c r="J24" s="128"/>
    </row>
    <row r="25" spans="1:12" ht="13.8" thickTop="1">
      <c r="A25" s="132"/>
      <c r="B25" s="120"/>
      <c r="C25" s="128"/>
      <c r="D25" s="128"/>
      <c r="E25" s="128"/>
      <c r="F25" s="133"/>
      <c r="G25" s="134"/>
      <c r="H25" s="128"/>
      <c r="I25" s="120"/>
      <c r="J25" s="128"/>
    </row>
    <row r="26" spans="1:12" s="321" customFormat="1">
      <c r="A26" s="132"/>
      <c r="B26" s="125"/>
      <c r="C26" s="301"/>
      <c r="D26" s="158"/>
      <c r="E26" s="128"/>
      <c r="F26" s="133"/>
      <c r="G26" s="134"/>
      <c r="H26" s="128"/>
      <c r="I26" s="120"/>
      <c r="J26" s="128"/>
    </row>
    <row r="27" spans="1:12" customFormat="1" ht="15"/>
    <row r="28" spans="1:12" customFormat="1" ht="15"/>
    <row r="29" spans="1:12" customFormat="1" ht="15"/>
    <row r="30" spans="1:12" customFormat="1" ht="15"/>
    <row r="31" spans="1:12" customFormat="1" ht="15"/>
    <row r="32" spans="1:12" customFormat="1" ht="15"/>
    <row r="33" customFormat="1" ht="15.75" customHeight="1"/>
    <row r="34" customFormat="1" ht="15"/>
    <row r="35" customFormat="1" ht="15"/>
    <row r="36" customFormat="1" ht="15"/>
    <row r="37" customFormat="1" ht="15"/>
    <row r="38" customFormat="1" ht="15"/>
    <row r="39" customFormat="1" ht="15"/>
    <row r="40" customFormat="1" ht="15"/>
    <row r="41" customFormat="1" ht="15"/>
    <row r="42" customFormat="1" ht="15"/>
    <row r="43" customFormat="1" ht="15"/>
    <row r="44" customFormat="1" ht="15"/>
    <row r="45" customFormat="1" ht="15"/>
    <row r="46" customFormat="1" ht="15"/>
    <row r="47" customFormat="1" ht="15"/>
    <row r="48" customFormat="1" ht="15"/>
    <row r="49" spans="1:10" customFormat="1" ht="15"/>
    <row r="50" spans="1:10" customFormat="1" ht="15"/>
    <row r="51" spans="1:10" customFormat="1" ht="15"/>
    <row r="52" spans="1:10">
      <c r="A52" s="105"/>
      <c r="B52" s="29"/>
      <c r="C52" s="110"/>
      <c r="D52" s="135"/>
      <c r="E52" s="136"/>
      <c r="F52" s="136"/>
      <c r="G52" s="136"/>
      <c r="H52" s="136"/>
      <c r="I52" s="136"/>
      <c r="J52" s="110"/>
    </row>
    <row r="53" spans="1:10">
      <c r="A53" s="105"/>
      <c r="B53" s="29"/>
      <c r="C53" s="110"/>
      <c r="D53" s="135"/>
      <c r="E53" s="136"/>
      <c r="F53" s="136"/>
      <c r="G53" s="136"/>
      <c r="H53" s="136"/>
      <c r="I53" s="136"/>
      <c r="J53" s="110"/>
    </row>
    <row r="54" spans="1:10">
      <c r="A54" s="34"/>
      <c r="B54" s="29"/>
      <c r="C54" s="110"/>
      <c r="D54" s="110"/>
      <c r="E54" s="110"/>
      <c r="F54" s="110"/>
      <c r="G54" s="110"/>
      <c r="H54" s="110"/>
      <c r="I54" s="137"/>
      <c r="J54" s="138" t="s">
        <v>627</v>
      </c>
    </row>
    <row r="55" spans="1:10">
      <c r="A55" s="34"/>
      <c r="B55" s="110"/>
      <c r="C55" s="110"/>
      <c r="D55" s="110"/>
      <c r="E55" s="110"/>
      <c r="F55" s="110"/>
      <c r="G55" s="110"/>
      <c r="H55" s="110"/>
      <c r="I55" s="110"/>
      <c r="J55" s="110"/>
    </row>
    <row r="56" spans="1:10">
      <c r="A56" s="34"/>
      <c r="B56" s="29" t="s">
        <v>1</v>
      </c>
      <c r="C56" s="29"/>
      <c r="D56" s="105" t="str">
        <f>+D3</f>
        <v>Rate Formula Template - Attachment H-29A</v>
      </c>
      <c r="E56" s="29"/>
      <c r="F56" s="29"/>
      <c r="G56" s="29"/>
      <c r="H56" s="29"/>
      <c r="I56" s="103"/>
      <c r="J56" s="138" t="str">
        <f>J3</f>
        <v>For  the 12 months ended 12/31/2022</v>
      </c>
    </row>
    <row r="57" spans="1:10">
      <c r="A57" s="34"/>
      <c r="B57" s="139"/>
      <c r="C57" s="27"/>
      <c r="D57" s="30" t="s">
        <v>97</v>
      </c>
      <c r="E57" s="27"/>
      <c r="F57" s="27"/>
      <c r="G57" s="27"/>
      <c r="H57" s="27"/>
      <c r="I57" s="27"/>
      <c r="J57" s="27"/>
    </row>
    <row r="58" spans="1:10">
      <c r="A58" s="34"/>
      <c r="B58" s="29"/>
      <c r="C58" s="27"/>
      <c r="D58" s="30" t="str">
        <f>+D5</f>
        <v>Transource Pennsylvania, LLC</v>
      </c>
      <c r="E58" s="27"/>
      <c r="F58" s="27"/>
      <c r="G58" s="27" t="s">
        <v>2</v>
      </c>
      <c r="H58" s="27"/>
      <c r="I58" s="27"/>
      <c r="J58" s="27"/>
    </row>
    <row r="59" spans="1:10">
      <c r="A59" s="991"/>
      <c r="B59" s="991"/>
      <c r="C59" s="991"/>
      <c r="D59" s="991"/>
      <c r="E59" s="991"/>
      <c r="F59" s="991"/>
      <c r="G59" s="991"/>
      <c r="H59" s="991"/>
      <c r="I59" s="991"/>
      <c r="J59" s="991"/>
    </row>
    <row r="60" spans="1:10">
      <c r="A60" s="34"/>
      <c r="B60" s="114" t="s">
        <v>3</v>
      </c>
      <c r="C60" s="114" t="s">
        <v>4</v>
      </c>
      <c r="D60" s="114" t="s">
        <v>5</v>
      </c>
      <c r="E60" s="27" t="s">
        <v>2</v>
      </c>
      <c r="F60" s="27"/>
      <c r="G60" s="113" t="s">
        <v>6</v>
      </c>
      <c r="H60" s="27"/>
      <c r="I60" s="113" t="s">
        <v>7</v>
      </c>
      <c r="J60" s="114"/>
    </row>
    <row r="61" spans="1:10">
      <c r="A61" s="34"/>
      <c r="B61" s="29"/>
      <c r="C61" s="140"/>
      <c r="D61" s="27"/>
      <c r="E61" s="27"/>
      <c r="F61" s="27"/>
      <c r="G61" s="105"/>
      <c r="H61" s="27"/>
      <c r="I61" s="141" t="s">
        <v>16</v>
      </c>
      <c r="J61" s="114"/>
    </row>
    <row r="62" spans="1:10">
      <c r="A62" s="105" t="s">
        <v>8</v>
      </c>
      <c r="B62" s="29"/>
      <c r="C62" s="142" t="s">
        <v>199</v>
      </c>
      <c r="D62" s="141" t="s">
        <v>18</v>
      </c>
      <c r="E62" s="143"/>
      <c r="F62" s="141" t="s">
        <v>19</v>
      </c>
      <c r="G62" s="34"/>
      <c r="H62" s="143"/>
      <c r="I62" s="105" t="s">
        <v>20</v>
      </c>
      <c r="J62" s="114"/>
    </row>
    <row r="63" spans="1:10" ht="13.8" thickBot="1">
      <c r="A63" s="327" t="s">
        <v>10</v>
      </c>
      <c r="B63" s="144" t="s">
        <v>328</v>
      </c>
      <c r="C63" s="27"/>
      <c r="D63" s="27"/>
      <c r="E63" s="27"/>
      <c r="F63" s="27"/>
      <c r="G63" s="27"/>
      <c r="H63" s="27"/>
      <c r="I63" s="27"/>
      <c r="J63" s="27"/>
    </row>
    <row r="64" spans="1:10">
      <c r="A64" s="299"/>
      <c r="B64" s="29" t="s">
        <v>539</v>
      </c>
      <c r="C64" s="27" t="s">
        <v>374</v>
      </c>
      <c r="D64" s="27"/>
      <c r="E64" s="27"/>
      <c r="F64" s="27"/>
      <c r="G64" s="27"/>
      <c r="H64" s="27"/>
      <c r="I64" s="27"/>
      <c r="J64" s="27"/>
    </row>
    <row r="65" spans="1:10">
      <c r="A65" s="299">
        <v>1</v>
      </c>
      <c r="B65" s="29" t="s">
        <v>246</v>
      </c>
      <c r="C65" s="42" t="s">
        <v>250</v>
      </c>
      <c r="D65" s="325">
        <v>0</v>
      </c>
      <c r="E65" s="27"/>
      <c r="F65" s="27" t="s">
        <v>21</v>
      </c>
      <c r="G65" s="168">
        <v>0</v>
      </c>
      <c r="H65" s="27"/>
      <c r="I65" s="16">
        <f>+G65*D65</f>
        <v>0</v>
      </c>
      <c r="J65" s="27"/>
    </row>
    <row r="66" spans="1:10">
      <c r="A66" s="299">
        <f>+A65+1</f>
        <v>2</v>
      </c>
      <c r="B66" s="29" t="s">
        <v>22</v>
      </c>
      <c r="C66" s="42" t="s">
        <v>248</v>
      </c>
      <c r="D66" s="158">
        <f>'4- Rate Base'!C23</f>
        <v>0</v>
      </c>
      <c r="E66" s="27"/>
      <c r="F66" s="27" t="s">
        <v>15</v>
      </c>
      <c r="G66" s="167">
        <f>$I$189</f>
        <v>1</v>
      </c>
      <c r="H66" s="42"/>
      <c r="I66" s="16">
        <f>+G66*D66</f>
        <v>0</v>
      </c>
      <c r="J66" s="27"/>
    </row>
    <row r="67" spans="1:10">
      <c r="A67" s="299">
        <f t="shared" ref="A67:A103" si="0">+A66+1</f>
        <v>3</v>
      </c>
      <c r="B67" s="29" t="s">
        <v>247</v>
      </c>
      <c r="C67" s="42" t="s">
        <v>251</v>
      </c>
      <c r="D67" s="325">
        <v>0</v>
      </c>
      <c r="E67" s="27"/>
      <c r="F67" s="27" t="s">
        <v>21</v>
      </c>
      <c r="G67" s="168">
        <v>0</v>
      </c>
      <c r="H67" s="42"/>
      <c r="I67" s="16">
        <f>+G67*D67</f>
        <v>0</v>
      </c>
      <c r="J67" s="27"/>
    </row>
    <row r="68" spans="1:10" ht="13.8" thickBot="1">
      <c r="A68" s="299">
        <f t="shared" si="0"/>
        <v>4</v>
      </c>
      <c r="B68" s="29" t="s">
        <v>88</v>
      </c>
      <c r="C68" s="42" t="s">
        <v>249</v>
      </c>
      <c r="D68" s="147">
        <f>'4- Rate Base'!D23</f>
        <v>1108749.9881514586</v>
      </c>
      <c r="E68" s="27"/>
      <c r="F68" s="27" t="s">
        <v>23</v>
      </c>
      <c r="G68" s="167">
        <f>$I$197</f>
        <v>1</v>
      </c>
      <c r="H68" s="42"/>
      <c r="I68" s="147">
        <f>+G68*D68</f>
        <v>1108749.9881514586</v>
      </c>
      <c r="J68" s="27"/>
    </row>
    <row r="69" spans="1:10">
      <c r="A69" s="299">
        <f t="shared" si="0"/>
        <v>5</v>
      </c>
      <c r="B69" s="26" t="s">
        <v>212</v>
      </c>
      <c r="C69" s="27" t="s">
        <v>507</v>
      </c>
      <c r="D69" s="405">
        <f>SUM(D65:D68)</f>
        <v>1108749.9881514586</v>
      </c>
      <c r="E69" s="27"/>
      <c r="F69" s="27" t="s">
        <v>24</v>
      </c>
      <c r="G69" s="330">
        <f>IF(I69&gt;0,I69/D69,1)</f>
        <v>1</v>
      </c>
      <c r="H69" s="42"/>
      <c r="I69" s="405">
        <f>SUM(I65:I68)</f>
        <v>1108749.9881514586</v>
      </c>
      <c r="J69" s="149"/>
    </row>
    <row r="70" spans="1:10">
      <c r="A70" s="299"/>
      <c r="B70" s="29"/>
      <c r="C70" s="27"/>
      <c r="D70" s="16"/>
      <c r="E70" s="27"/>
      <c r="F70" s="27"/>
      <c r="G70" s="331"/>
      <c r="H70" s="27"/>
      <c r="I70" s="16"/>
      <c r="J70" s="149"/>
    </row>
    <row r="71" spans="1:10">
      <c r="A71" s="299">
        <f>+A69+1</f>
        <v>6</v>
      </c>
      <c r="B71" s="29" t="s">
        <v>538</v>
      </c>
      <c r="C71" s="27" t="s">
        <v>374</v>
      </c>
      <c r="D71" s="16"/>
      <c r="E71" s="27"/>
      <c r="F71" s="27"/>
      <c r="G71" s="167"/>
      <c r="H71" s="27"/>
      <c r="I71" s="16"/>
      <c r="J71" s="27"/>
    </row>
    <row r="72" spans="1:10">
      <c r="A72" s="299">
        <f t="shared" si="0"/>
        <v>7</v>
      </c>
      <c r="B72" s="29" t="s">
        <v>246</v>
      </c>
      <c r="C72" s="27" t="s">
        <v>252</v>
      </c>
      <c r="D72" s="145">
        <v>0</v>
      </c>
      <c r="E72" s="27"/>
      <c r="F72" s="27" t="s">
        <v>21</v>
      </c>
      <c r="G72" s="167">
        <v>0</v>
      </c>
      <c r="H72" s="27"/>
      <c r="I72" s="16">
        <f>+G72*D72</f>
        <v>0</v>
      </c>
      <c r="J72" s="27"/>
    </row>
    <row r="73" spans="1:10">
      <c r="A73" s="299">
        <f t="shared" si="0"/>
        <v>8</v>
      </c>
      <c r="B73" s="29" t="s">
        <v>22</v>
      </c>
      <c r="C73" s="27" t="s">
        <v>254</v>
      </c>
      <c r="D73" s="158">
        <f>'4- Rate Base'!I23</f>
        <v>0</v>
      </c>
      <c r="E73" s="27"/>
      <c r="F73" s="27" t="s">
        <v>15</v>
      </c>
      <c r="G73" s="167">
        <f>$I$189</f>
        <v>1</v>
      </c>
      <c r="H73" s="42"/>
      <c r="I73" s="16">
        <f>+G73*D73</f>
        <v>0</v>
      </c>
      <c r="J73" s="27"/>
    </row>
    <row r="74" spans="1:10">
      <c r="A74" s="299">
        <f t="shared" si="0"/>
        <v>9</v>
      </c>
      <c r="B74" s="29" t="s">
        <v>247</v>
      </c>
      <c r="C74" s="27" t="s">
        <v>253</v>
      </c>
      <c r="D74" s="325">
        <v>0</v>
      </c>
      <c r="E74" s="27"/>
      <c r="F74" s="27" t="s">
        <v>21</v>
      </c>
      <c r="G74" s="167">
        <f>+G67</f>
        <v>0</v>
      </c>
      <c r="H74" s="42"/>
      <c r="I74" s="158">
        <f>+G74*D74</f>
        <v>0</v>
      </c>
      <c r="J74" s="27"/>
    </row>
    <row r="75" spans="1:10" ht="13.8" thickBot="1">
      <c r="A75" s="299">
        <f t="shared" si="0"/>
        <v>10</v>
      </c>
      <c r="B75" s="29" t="s">
        <v>88</v>
      </c>
      <c r="C75" s="27" t="s">
        <v>255</v>
      </c>
      <c r="D75" s="147">
        <f>'4- Rate Base'!J23</f>
        <v>255533.26171604608</v>
      </c>
      <c r="E75" s="27"/>
      <c r="F75" s="27" t="s">
        <v>23</v>
      </c>
      <c r="G75" s="167">
        <f>$I$197</f>
        <v>1</v>
      </c>
      <c r="H75" s="42"/>
      <c r="I75" s="147">
        <f>+G75*D75</f>
        <v>255533.26171604608</v>
      </c>
      <c r="J75" s="27"/>
    </row>
    <row r="76" spans="1:10">
      <c r="A76" s="299">
        <f t="shared" si="0"/>
        <v>11</v>
      </c>
      <c r="B76" s="29" t="s">
        <v>213</v>
      </c>
      <c r="C76" s="27" t="s">
        <v>226</v>
      </c>
      <c r="D76" s="405">
        <f>SUM(D72:D75)</f>
        <v>255533.26171604608</v>
      </c>
      <c r="E76" s="27"/>
      <c r="F76" s="27"/>
      <c r="G76" s="25"/>
      <c r="H76" s="42"/>
      <c r="I76" s="405">
        <f>SUM(I72:I75)</f>
        <v>255533.26171604608</v>
      </c>
      <c r="J76" s="27"/>
    </row>
    <row r="77" spans="1:10">
      <c r="A77" s="299"/>
      <c r="B77" s="34"/>
      <c r="C77" s="27" t="s">
        <v>2</v>
      </c>
      <c r="D77" s="16"/>
      <c r="E77" s="27"/>
      <c r="F77" s="27"/>
      <c r="G77" s="148"/>
      <c r="H77" s="27"/>
      <c r="I77" s="16"/>
      <c r="J77" s="149"/>
    </row>
    <row r="78" spans="1:10">
      <c r="A78" s="299">
        <f>+A76+1</f>
        <v>12</v>
      </c>
      <c r="B78" s="29" t="s">
        <v>25</v>
      </c>
      <c r="C78" s="27"/>
      <c r="D78" s="16"/>
      <c r="E78" s="27"/>
      <c r="F78" s="27"/>
      <c r="G78" s="25"/>
      <c r="H78" s="27"/>
      <c r="I78" s="16"/>
      <c r="J78" s="27"/>
    </row>
    <row r="79" spans="1:10">
      <c r="A79" s="299">
        <f t="shared" si="0"/>
        <v>13</v>
      </c>
      <c r="B79" s="29" t="s">
        <v>246</v>
      </c>
      <c r="C79" s="27" t="str">
        <f>"(line "&amp;A65&amp;" - line "&amp;A72&amp;")"</f>
        <v>(line 1 - line 7)</v>
      </c>
      <c r="D79" s="16">
        <f>D65-D72</f>
        <v>0</v>
      </c>
      <c r="E79" s="42"/>
      <c r="F79" s="42"/>
      <c r="G79" s="148"/>
      <c r="H79" s="42"/>
      <c r="I79" s="16">
        <f>I65-I72</f>
        <v>0</v>
      </c>
      <c r="J79" s="149"/>
    </row>
    <row r="80" spans="1:10">
      <c r="A80" s="299">
        <f t="shared" si="0"/>
        <v>14</v>
      </c>
      <c r="B80" s="29" t="s">
        <v>22</v>
      </c>
      <c r="C80" s="27" t="str">
        <f>"(line "&amp;A66&amp;" - line "&amp;A73&amp;")"</f>
        <v>(line 2 - line 8)</v>
      </c>
      <c r="D80" s="16">
        <f>D66-D73</f>
        <v>0</v>
      </c>
      <c r="E80" s="42"/>
      <c r="F80" s="42"/>
      <c r="G80" s="25"/>
      <c r="H80" s="42"/>
      <c r="I80" s="16">
        <f>I66-I73</f>
        <v>0</v>
      </c>
      <c r="J80" s="149"/>
    </row>
    <row r="81" spans="1:10">
      <c r="A81" s="299">
        <f t="shared" si="0"/>
        <v>15</v>
      </c>
      <c r="B81" s="29" t="s">
        <v>247</v>
      </c>
      <c r="C81" s="27" t="str">
        <f>"(line "&amp;A67&amp;" - line "&amp;A74&amp;")"</f>
        <v>(line 3 - line 9)</v>
      </c>
      <c r="D81" s="16">
        <f>D67-D74</f>
        <v>0</v>
      </c>
      <c r="E81" s="42"/>
      <c r="F81" s="42"/>
      <c r="G81" s="148"/>
      <c r="H81" s="42"/>
      <c r="I81" s="158">
        <f>I67-I74</f>
        <v>0</v>
      </c>
      <c r="J81" s="149"/>
    </row>
    <row r="82" spans="1:10" ht="13.8" thickBot="1">
      <c r="A82" s="299">
        <f t="shared" si="0"/>
        <v>16</v>
      </c>
      <c r="B82" s="29" t="s">
        <v>88</v>
      </c>
      <c r="C82" s="27" t="str">
        <f>"(line "&amp;A68&amp;" - line "&amp;A75&amp;")"</f>
        <v>(line 4 - line 10)</v>
      </c>
      <c r="D82" s="147">
        <f>D68-D75</f>
        <v>853216.72643541242</v>
      </c>
      <c r="E82" s="42"/>
      <c r="F82" s="42"/>
      <c r="G82" s="148"/>
      <c r="H82" s="42"/>
      <c r="I82" s="147">
        <f>I68-I75</f>
        <v>853216.72643541242</v>
      </c>
      <c r="J82" s="149"/>
    </row>
    <row r="83" spans="1:10">
      <c r="A83" s="299">
        <f t="shared" si="0"/>
        <v>17</v>
      </c>
      <c r="B83" s="29" t="s">
        <v>215</v>
      </c>
      <c r="C83" s="27" t="str">
        <f>"( Sum of line "&amp;A69&amp;" - line "&amp;A76&amp;")"</f>
        <v>( Sum of line 5 - line 11)</v>
      </c>
      <c r="D83" s="405">
        <f>SUM(D79:D82)</f>
        <v>853216.72643541242</v>
      </c>
      <c r="E83" s="42"/>
      <c r="F83" s="42" t="s">
        <v>26</v>
      </c>
      <c r="G83" s="330">
        <f>IF(I83&gt;0,I83/D83,1)</f>
        <v>1</v>
      </c>
      <c r="H83" s="42"/>
      <c r="I83" s="405">
        <f>SUM(I79:I82)</f>
        <v>853216.72643541242</v>
      </c>
      <c r="J83" s="27"/>
    </row>
    <row r="84" spans="1:10">
      <c r="A84" s="299"/>
      <c r="B84" s="34"/>
      <c r="C84" s="27"/>
      <c r="D84" s="16"/>
      <c r="E84" s="27"/>
      <c r="F84" s="34"/>
      <c r="G84" s="481"/>
      <c r="H84" s="27"/>
      <c r="I84" s="16"/>
      <c r="J84" s="149"/>
    </row>
    <row r="85" spans="1:10">
      <c r="A85" s="299">
        <f>+A83+1</f>
        <v>18</v>
      </c>
      <c r="B85" s="26" t="s">
        <v>256</v>
      </c>
      <c r="C85" s="27"/>
      <c r="D85" s="16"/>
      <c r="E85" s="27"/>
      <c r="F85" s="27"/>
      <c r="G85" s="481"/>
      <c r="H85" s="27"/>
      <c r="I85" s="16"/>
      <c r="J85" s="27"/>
    </row>
    <row r="86" spans="1:10">
      <c r="A86" s="299">
        <f>+A85+1</f>
        <v>19</v>
      </c>
      <c r="B86" s="542" t="s">
        <v>884</v>
      </c>
      <c r="C86" s="541" t="s">
        <v>513</v>
      </c>
      <c r="D86" s="47">
        <f>-'4- Rate Base'!E42</f>
        <v>0</v>
      </c>
      <c r="E86" s="27"/>
      <c r="F86" s="502" t="s">
        <v>21</v>
      </c>
      <c r="G86" s="955" t="s">
        <v>105</v>
      </c>
      <c r="H86" s="42"/>
      <c r="I86" s="16">
        <v>0</v>
      </c>
      <c r="J86" s="149"/>
    </row>
    <row r="87" spans="1:10" s="321" customFormat="1">
      <c r="A87" s="299">
        <f t="shared" ref="A87:A90" si="1">+A86+1</f>
        <v>20</v>
      </c>
      <c r="B87" s="542" t="s">
        <v>885</v>
      </c>
      <c r="C87" s="541" t="s">
        <v>886</v>
      </c>
      <c r="D87" s="545">
        <f>-'4- Rate Base'!F42</f>
        <v>-90496.486548818473</v>
      </c>
      <c r="E87" s="541"/>
      <c r="F87" s="502" t="s">
        <v>27</v>
      </c>
      <c r="G87" s="167">
        <f>+G83</f>
        <v>1</v>
      </c>
      <c r="H87" s="42"/>
      <c r="I87" s="405">
        <f t="shared" ref="I87:I89" si="2">D87*G87</f>
        <v>-90496.486548818473</v>
      </c>
      <c r="J87" s="149"/>
    </row>
    <row r="88" spans="1:10" s="321" customFormat="1">
      <c r="A88" s="299">
        <f t="shared" si="1"/>
        <v>21</v>
      </c>
      <c r="B88" s="542" t="s">
        <v>887</v>
      </c>
      <c r="C88" s="541" t="s">
        <v>888</v>
      </c>
      <c r="D88" s="545">
        <f>-'4- Rate Base'!G42</f>
        <v>600916.56676262338</v>
      </c>
      <c r="E88" s="541"/>
      <c r="F88" s="502" t="s">
        <v>27</v>
      </c>
      <c r="G88" s="167">
        <f>+G83</f>
        <v>1</v>
      </c>
      <c r="H88" s="42"/>
      <c r="I88" s="405">
        <f t="shared" si="2"/>
        <v>600916.56676262338</v>
      </c>
      <c r="J88" s="149"/>
    </row>
    <row r="89" spans="1:10" s="321" customFormat="1">
      <c r="A89" s="299">
        <f t="shared" si="1"/>
        <v>22</v>
      </c>
      <c r="B89" s="542" t="s">
        <v>889</v>
      </c>
      <c r="C89" s="541" t="s">
        <v>890</v>
      </c>
      <c r="D89" s="545">
        <f>+'4- Rate Base'!H42</f>
        <v>1199945.3959798489</v>
      </c>
      <c r="E89" s="541"/>
      <c r="F89" s="502" t="s">
        <v>27</v>
      </c>
      <c r="G89" s="167">
        <f>+G83</f>
        <v>1</v>
      </c>
      <c r="H89" s="42"/>
      <c r="I89" s="405">
        <f t="shared" si="2"/>
        <v>1199945.3959798489</v>
      </c>
      <c r="J89" s="149"/>
    </row>
    <row r="90" spans="1:10">
      <c r="A90" s="299">
        <f t="shared" si="1"/>
        <v>23</v>
      </c>
      <c r="B90" s="34" t="s">
        <v>89</v>
      </c>
      <c r="C90" s="34" t="s">
        <v>891</v>
      </c>
      <c r="D90" s="47">
        <f>-'4- Rate Base'!I42</f>
        <v>0</v>
      </c>
      <c r="E90" s="27"/>
      <c r="F90" s="27" t="s">
        <v>27</v>
      </c>
      <c r="G90" s="167">
        <f>+$G$83</f>
        <v>1</v>
      </c>
      <c r="H90" s="42"/>
      <c r="I90" s="40">
        <f>D90*G90</f>
        <v>0</v>
      </c>
      <c r="J90" s="149"/>
    </row>
    <row r="91" spans="1:10" s="215" customFormat="1">
      <c r="A91" s="299">
        <f t="shared" si="0"/>
        <v>24</v>
      </c>
      <c r="B91" s="32" t="s">
        <v>377</v>
      </c>
      <c r="C91" s="32" t="s">
        <v>603</v>
      </c>
      <c r="D91" s="47">
        <f>+'4- Rate Base'!K73</f>
        <v>0</v>
      </c>
      <c r="E91" s="35"/>
      <c r="F91" s="35" t="s">
        <v>77</v>
      </c>
      <c r="G91" s="168">
        <f>G92</f>
        <v>1</v>
      </c>
      <c r="H91" s="159"/>
      <c r="I91" s="47">
        <f>+G91*D91</f>
        <v>0</v>
      </c>
      <c r="J91" s="300"/>
    </row>
    <row r="92" spans="1:10">
      <c r="A92" s="299">
        <f t="shared" si="0"/>
        <v>25</v>
      </c>
      <c r="B92" s="129" t="s">
        <v>87</v>
      </c>
      <c r="C92" s="155" t="s">
        <v>894</v>
      </c>
      <c r="D92" s="47">
        <f>'4- Rate Base'!E23</f>
        <v>79472827.156153843</v>
      </c>
      <c r="E92" s="152"/>
      <c r="F92" s="153" t="str">
        <f>+F93</f>
        <v>DA</v>
      </c>
      <c r="G92" s="169">
        <v>1</v>
      </c>
      <c r="H92" s="152"/>
      <c r="I92" s="40">
        <f>+G92*D92</f>
        <v>79472827.156153843</v>
      </c>
      <c r="J92" s="149"/>
    </row>
    <row r="93" spans="1:10">
      <c r="A93" s="299">
        <f t="shared" si="0"/>
        <v>26</v>
      </c>
      <c r="B93" s="154" t="s">
        <v>100</v>
      </c>
      <c r="C93" s="155" t="s">
        <v>514</v>
      </c>
      <c r="D93" s="47">
        <f>+'4- Rate Base'!C42</f>
        <v>79117.900000000503</v>
      </c>
      <c r="E93" s="153"/>
      <c r="F93" s="153" t="str">
        <f>+F94</f>
        <v>DA</v>
      </c>
      <c r="G93" s="169">
        <v>1</v>
      </c>
      <c r="H93" s="153"/>
      <c r="I93" s="40">
        <f>+G93*D93</f>
        <v>79117.900000000503</v>
      </c>
      <c r="J93" s="149"/>
    </row>
    <row r="94" spans="1:10" ht="13.8" thickBot="1">
      <c r="A94" s="299">
        <f t="shared" si="0"/>
        <v>27</v>
      </c>
      <c r="B94" s="154" t="s">
        <v>101</v>
      </c>
      <c r="C94" s="155" t="s">
        <v>515</v>
      </c>
      <c r="D94" s="170">
        <f>+'4- Rate Base'!D42</f>
        <v>0</v>
      </c>
      <c r="E94" s="152"/>
      <c r="F94" s="152" t="s">
        <v>77</v>
      </c>
      <c r="G94" s="329">
        <v>1</v>
      </c>
      <c r="H94" s="152"/>
      <c r="I94" s="147">
        <f>+G94*D94</f>
        <v>0</v>
      </c>
      <c r="J94" s="149"/>
    </row>
    <row r="95" spans="1:10">
      <c r="A95" s="299">
        <f t="shared" si="0"/>
        <v>28</v>
      </c>
      <c r="B95" s="29" t="s">
        <v>214</v>
      </c>
      <c r="C95" s="27" t="str">
        <f>"( Sum of line "&amp;A86&amp;" - line "&amp;A94&amp;")"</f>
        <v>( Sum of line 19 - line 27)</v>
      </c>
      <c r="D95" s="16">
        <f>SUM(D86:D94)</f>
        <v>81262310.5323475</v>
      </c>
      <c r="E95" s="27"/>
      <c r="F95" s="27"/>
      <c r="G95" s="482"/>
      <c r="H95" s="42"/>
      <c r="I95" s="16">
        <f>SUM(I86:I94)</f>
        <v>81262310.5323475</v>
      </c>
      <c r="J95" s="27"/>
    </row>
    <row r="96" spans="1:10">
      <c r="A96" s="299"/>
      <c r="B96" s="34"/>
      <c r="C96" s="27"/>
      <c r="D96" s="16"/>
      <c r="E96" s="27"/>
      <c r="F96" s="27"/>
      <c r="G96" s="329"/>
      <c r="H96" s="27"/>
      <c r="I96" s="16"/>
      <c r="J96" s="149"/>
    </row>
    <row r="97" spans="1:10">
      <c r="A97" s="299">
        <f>+A95+1</f>
        <v>29</v>
      </c>
      <c r="B97" s="26" t="s">
        <v>664</v>
      </c>
      <c r="C97" s="157" t="s">
        <v>516</v>
      </c>
      <c r="D97" s="158">
        <f>+'4- Rate Base'!F23</f>
        <v>0</v>
      </c>
      <c r="E97" s="27"/>
      <c r="F97" s="27" t="s">
        <v>15</v>
      </c>
      <c r="G97" s="167">
        <f>$I$189</f>
        <v>1</v>
      </c>
      <c r="H97" s="42"/>
      <c r="I97" s="16">
        <f>+G97*D97</f>
        <v>0</v>
      </c>
      <c r="J97" s="27"/>
    </row>
    <row r="98" spans="1:10">
      <c r="A98" s="299"/>
      <c r="B98" s="29"/>
      <c r="C98" s="27"/>
      <c r="D98" s="16"/>
      <c r="E98" s="27"/>
      <c r="F98" s="27"/>
      <c r="G98" s="329"/>
      <c r="H98" s="42"/>
      <c r="I98" s="16"/>
      <c r="J98" s="27"/>
    </row>
    <row r="99" spans="1:10">
      <c r="A99" s="299">
        <f>+A97+1</f>
        <v>30</v>
      </c>
      <c r="B99" s="29" t="s">
        <v>537</v>
      </c>
      <c r="C99" s="27" t="s">
        <v>536</v>
      </c>
      <c r="D99" s="16"/>
      <c r="E99" s="27"/>
      <c r="F99" s="27"/>
      <c r="G99" s="329"/>
      <c r="H99" s="42"/>
      <c r="I99" s="16"/>
      <c r="J99" s="27"/>
    </row>
    <row r="100" spans="1:10">
      <c r="A100" s="299">
        <f t="shared" si="0"/>
        <v>31</v>
      </c>
      <c r="B100" s="29" t="s">
        <v>625</v>
      </c>
      <c r="C100" s="34" t="str">
        <f>"1/8*(Page 3, Line "&amp;A134&amp;" minus Page 3, Line "&amp;A131&amp;")"</f>
        <v>1/8*(Page 3, Line 17 minus Page 3, Line 14)</v>
      </c>
      <c r="D100" s="158">
        <f>(D134-D131)/8</f>
        <v>104993.89699687877</v>
      </c>
      <c r="E100" s="35"/>
      <c r="F100" s="35"/>
      <c r="G100" s="329"/>
      <c r="H100" s="159"/>
      <c r="I100" s="158">
        <f>(I134-I131)/8</f>
        <v>104993.89699687877</v>
      </c>
      <c r="J100" s="149"/>
    </row>
    <row r="101" spans="1:10">
      <c r="A101" s="299">
        <f t="shared" si="0"/>
        <v>32</v>
      </c>
      <c r="B101" s="29" t="s">
        <v>162</v>
      </c>
      <c r="C101" s="157" t="s">
        <v>518</v>
      </c>
      <c r="D101" s="158">
        <f>+'4- Rate Base'!G23</f>
        <v>0</v>
      </c>
      <c r="E101" s="27"/>
      <c r="F101" s="27" t="s">
        <v>15</v>
      </c>
      <c r="G101" s="167">
        <f>$I$189</f>
        <v>1</v>
      </c>
      <c r="H101" s="42"/>
      <c r="I101" s="16">
        <f>+G101*D101</f>
        <v>0</v>
      </c>
      <c r="J101" s="149"/>
    </row>
    <row r="102" spans="1:10" ht="13.8" thickBot="1">
      <c r="A102" s="105">
        <f t="shared" si="0"/>
        <v>33</v>
      </c>
      <c r="B102" s="29" t="s">
        <v>90</v>
      </c>
      <c r="C102" s="42" t="s">
        <v>257</v>
      </c>
      <c r="D102" s="170">
        <f>+'4- Rate Base'!H23</f>
        <v>17541.209999999995</v>
      </c>
      <c r="E102" s="27"/>
      <c r="F102" s="27" t="s">
        <v>28</v>
      </c>
      <c r="G102" s="329">
        <f>+$G$69</f>
        <v>1</v>
      </c>
      <c r="H102" s="42"/>
      <c r="I102" s="147">
        <f>+G102*D102</f>
        <v>17541.209999999995</v>
      </c>
      <c r="J102" s="149"/>
    </row>
    <row r="103" spans="1:10">
      <c r="A103" s="105">
        <f t="shared" si="0"/>
        <v>34</v>
      </c>
      <c r="B103" s="29" t="s">
        <v>217</v>
      </c>
      <c r="C103" s="27" t="str">
        <f>"( Sum of line "&amp;A100&amp;" - line "&amp;A102&amp;")"</f>
        <v>( Sum of line 31 - line 33)</v>
      </c>
      <c r="D103" s="16">
        <f>SUM(D100:D102)</f>
        <v>122535.10699687876</v>
      </c>
      <c r="E103" s="110"/>
      <c r="F103" s="110"/>
      <c r="G103" s="156"/>
      <c r="H103" s="160"/>
      <c r="I103" s="16">
        <f>I100+I101+I102</f>
        <v>122535.10699687876</v>
      </c>
      <c r="J103" s="110"/>
    </row>
    <row r="104" spans="1:10" ht="13.8" thickBot="1">
      <c r="A104" s="105"/>
      <c r="B104" s="34"/>
      <c r="C104" s="27"/>
      <c r="D104" s="147"/>
      <c r="E104" s="27"/>
      <c r="F104" s="27"/>
      <c r="G104" s="27"/>
      <c r="H104" s="27"/>
      <c r="I104" s="147"/>
      <c r="J104" s="27"/>
    </row>
    <row r="105" spans="1:10" ht="13.8" thickBot="1">
      <c r="A105" s="105">
        <f>+A103+1</f>
        <v>35</v>
      </c>
      <c r="B105" s="29" t="s">
        <v>218</v>
      </c>
      <c r="C105" s="27" t="str">
        <f>"( Sum of line "&amp;A83&amp;", "&amp;A95&amp;", "&amp;A97&amp;", "&amp;A103&amp;")"</f>
        <v>( Sum of line 17, 28, 29, 34)</v>
      </c>
      <c r="D105" s="161">
        <f>+D103+D97+D95+D83</f>
        <v>82238062.365779787</v>
      </c>
      <c r="E105" s="42"/>
      <c r="F105" s="42"/>
      <c r="G105" s="162"/>
      <c r="H105" s="42"/>
      <c r="I105" s="161">
        <f>+I103+I97+I95+I83</f>
        <v>82238062.365779787</v>
      </c>
      <c r="J105" s="149"/>
    </row>
    <row r="106" spans="1:10" ht="13.8" thickTop="1">
      <c r="A106" s="105"/>
      <c r="B106" s="29"/>
      <c r="C106" s="27"/>
      <c r="D106" s="163"/>
      <c r="E106" s="42"/>
      <c r="F106" s="42"/>
      <c r="G106" s="162"/>
      <c r="H106" s="42"/>
      <c r="I106" s="163"/>
      <c r="J106" s="149"/>
    </row>
    <row r="107" spans="1:10">
      <c r="A107" s="105"/>
      <c r="B107" s="29"/>
      <c r="C107" s="27"/>
      <c r="D107" s="163"/>
      <c r="E107" s="42"/>
      <c r="F107" s="42"/>
      <c r="G107" s="162"/>
      <c r="H107" s="42"/>
      <c r="I107" s="163"/>
      <c r="J107" s="149"/>
    </row>
    <row r="108" spans="1:10">
      <c r="A108" s="105"/>
      <c r="B108" s="29"/>
      <c r="C108" s="27"/>
      <c r="D108" s="27"/>
      <c r="E108" s="27"/>
      <c r="F108" s="27"/>
      <c r="G108" s="27"/>
      <c r="H108" s="27"/>
      <c r="I108" s="27"/>
      <c r="J108" s="164" t="s">
        <v>626</v>
      </c>
    </row>
    <row r="109" spans="1:10">
      <c r="A109" s="105"/>
      <c r="B109" s="29"/>
      <c r="C109" s="27"/>
      <c r="D109" s="27"/>
      <c r="E109" s="27"/>
      <c r="F109" s="27"/>
      <c r="G109" s="27"/>
      <c r="H109" s="27"/>
      <c r="I109" s="27"/>
      <c r="J109" s="164"/>
    </row>
    <row r="110" spans="1:10">
      <c r="A110" s="105"/>
      <c r="B110" s="29" t="s">
        <v>1</v>
      </c>
      <c r="C110" s="27"/>
      <c r="D110" s="105" t="str">
        <f>+D3</f>
        <v>Rate Formula Template - Attachment H-29A</v>
      </c>
      <c r="E110" s="27"/>
      <c r="F110" s="27"/>
      <c r="G110" s="27"/>
      <c r="H110" s="27"/>
      <c r="I110" s="103"/>
      <c r="J110" s="164" t="str">
        <f>J3</f>
        <v>For  the 12 months ended 12/31/2022</v>
      </c>
    </row>
    <row r="111" spans="1:10">
      <c r="A111" s="105"/>
      <c r="B111" s="29"/>
      <c r="C111" s="27"/>
      <c r="D111" s="30" t="s">
        <v>97</v>
      </c>
      <c r="E111" s="27"/>
      <c r="F111" s="27"/>
      <c r="G111" s="27"/>
      <c r="H111" s="27"/>
      <c r="I111" s="27"/>
      <c r="J111" s="27"/>
    </row>
    <row r="112" spans="1:10">
      <c r="A112" s="105"/>
      <c r="B112" s="34"/>
      <c r="C112" s="27"/>
      <c r="D112" s="30" t="str">
        <f>+D58</f>
        <v>Transource Pennsylvania, LLC</v>
      </c>
      <c r="E112" s="27"/>
      <c r="F112" s="27"/>
      <c r="G112" s="27"/>
      <c r="H112" s="27"/>
      <c r="I112" s="27"/>
      <c r="J112" s="27"/>
    </row>
    <row r="113" spans="1:10">
      <c r="A113" s="992"/>
      <c r="B113" s="992"/>
      <c r="C113" s="992"/>
      <c r="D113" s="992"/>
      <c r="E113" s="992"/>
      <c r="F113" s="992"/>
      <c r="G113" s="992"/>
      <c r="H113" s="992"/>
      <c r="I113" s="992"/>
      <c r="J113" s="992"/>
    </row>
    <row r="114" spans="1:10">
      <c r="A114" s="105"/>
      <c r="B114" s="114" t="s">
        <v>3</v>
      </c>
      <c r="C114" s="114" t="s">
        <v>4</v>
      </c>
      <c r="D114" s="114" t="s">
        <v>5</v>
      </c>
      <c r="E114" s="27" t="s">
        <v>2</v>
      </c>
      <c r="F114" s="27"/>
      <c r="G114" s="113" t="s">
        <v>6</v>
      </c>
      <c r="H114" s="27"/>
      <c r="I114" s="113" t="s">
        <v>7</v>
      </c>
      <c r="J114" s="27"/>
    </row>
    <row r="115" spans="1:10">
      <c r="A115" s="105" t="s">
        <v>8</v>
      </c>
      <c r="B115" s="29"/>
      <c r="C115" s="140"/>
      <c r="D115" s="27"/>
      <c r="E115" s="27"/>
      <c r="F115" s="27"/>
      <c r="G115" s="105"/>
      <c r="H115" s="27"/>
      <c r="I115" s="141" t="s">
        <v>16</v>
      </c>
      <c r="J115" s="141"/>
    </row>
    <row r="116" spans="1:10" ht="13.8" thickBot="1">
      <c r="A116" s="31" t="s">
        <v>10</v>
      </c>
      <c r="B116" s="29"/>
      <c r="C116" s="142" t="s">
        <v>199</v>
      </c>
      <c r="D116" s="141" t="s">
        <v>18</v>
      </c>
      <c r="E116" s="143"/>
      <c r="F116" s="141" t="s">
        <v>19</v>
      </c>
      <c r="G116" s="34"/>
      <c r="H116" s="143"/>
      <c r="I116" s="105" t="s">
        <v>20</v>
      </c>
      <c r="J116" s="141"/>
    </row>
    <row r="117" spans="1:10">
      <c r="A117" s="105"/>
      <c r="B117" s="29" t="s">
        <v>0</v>
      </c>
      <c r="C117" s="27"/>
      <c r="D117" s="27"/>
      <c r="E117" s="27"/>
      <c r="F117" s="27"/>
      <c r="G117" s="27"/>
      <c r="H117" s="27"/>
      <c r="I117" s="27"/>
      <c r="J117" s="27"/>
    </row>
    <row r="118" spans="1:10">
      <c r="A118" s="105">
        <v>1</v>
      </c>
      <c r="B118" s="29" t="s">
        <v>29</v>
      </c>
      <c r="C118" s="27" t="s">
        <v>438</v>
      </c>
      <c r="D118" s="563">
        <v>503653.24722368002</v>
      </c>
      <c r="E118" s="27"/>
      <c r="F118" s="27" t="s">
        <v>15</v>
      </c>
      <c r="G118" s="167">
        <f>$I$189</f>
        <v>1</v>
      </c>
      <c r="H118" s="42"/>
      <c r="I118" s="16">
        <f t="shared" ref="I118:I129" si="3">+G118*D118</f>
        <v>503653.24722368002</v>
      </c>
      <c r="J118" s="27"/>
    </row>
    <row r="119" spans="1:10">
      <c r="A119" s="124">
        <f>+A118+1</f>
        <v>2</v>
      </c>
      <c r="B119" s="165" t="s">
        <v>94</v>
      </c>
      <c r="C119" s="27" t="s">
        <v>440</v>
      </c>
      <c r="D119" s="563">
        <v>230276.193729992</v>
      </c>
      <c r="E119" s="155"/>
      <c r="F119" s="155" t="str">
        <f>+F118</f>
        <v>TP</v>
      </c>
      <c r="G119" s="167">
        <f>$I$189</f>
        <v>1</v>
      </c>
      <c r="H119" s="155"/>
      <c r="I119" s="158">
        <f>+G119*D119</f>
        <v>230276.193729992</v>
      </c>
      <c r="J119" s="27"/>
    </row>
    <row r="120" spans="1:10">
      <c r="A120" s="124">
        <f t="shared" ref="A120:A166" si="4">+A119+1</f>
        <v>3</v>
      </c>
      <c r="B120" s="38" t="s">
        <v>30</v>
      </c>
      <c r="C120" s="27" t="s">
        <v>441</v>
      </c>
      <c r="D120" s="563">
        <v>0</v>
      </c>
      <c r="E120" s="27"/>
      <c r="F120" s="27" t="str">
        <f>+F119</f>
        <v>TP</v>
      </c>
      <c r="G120" s="167">
        <f>$I$189</f>
        <v>1</v>
      </c>
      <c r="H120" s="42"/>
      <c r="I120" s="16">
        <f t="shared" si="3"/>
        <v>0</v>
      </c>
      <c r="J120" s="27"/>
    </row>
    <row r="121" spans="1:10">
      <c r="A121" s="326">
        <f t="shared" si="4"/>
        <v>4</v>
      </c>
      <c r="B121" s="29" t="s">
        <v>31</v>
      </c>
      <c r="C121" s="27" t="s">
        <v>442</v>
      </c>
      <c r="D121" s="563">
        <v>501661.32491307799</v>
      </c>
      <c r="E121" s="27"/>
      <c r="F121" s="27" t="s">
        <v>23</v>
      </c>
      <c r="G121" s="167">
        <f t="shared" ref="G121:G126" si="5">$I$197</f>
        <v>1</v>
      </c>
      <c r="H121" s="42"/>
      <c r="I121" s="16">
        <f t="shared" si="3"/>
        <v>501661.32491307799</v>
      </c>
      <c r="J121" s="27" t="s">
        <v>2</v>
      </c>
    </row>
    <row r="122" spans="1:10">
      <c r="A122" s="326">
        <f t="shared" si="4"/>
        <v>5</v>
      </c>
      <c r="B122" s="29" t="s">
        <v>106</v>
      </c>
      <c r="C122" s="502" t="s">
        <v>716</v>
      </c>
      <c r="D122" s="563">
        <v>0</v>
      </c>
      <c r="E122" s="27"/>
      <c r="F122" s="27" t="s">
        <v>23</v>
      </c>
      <c r="G122" s="167">
        <f t="shared" si="5"/>
        <v>1</v>
      </c>
      <c r="H122" s="42"/>
      <c r="I122" s="16">
        <f t="shared" si="3"/>
        <v>0</v>
      </c>
    </row>
    <row r="123" spans="1:10">
      <c r="A123" s="326">
        <f t="shared" si="4"/>
        <v>6</v>
      </c>
      <c r="B123" s="38" t="s">
        <v>560</v>
      </c>
      <c r="C123" s="502" t="s">
        <v>519</v>
      </c>
      <c r="D123" s="563">
        <v>0</v>
      </c>
      <c r="E123" s="27"/>
      <c r="F123" s="27" t="s">
        <v>23</v>
      </c>
      <c r="G123" s="167">
        <f t="shared" si="5"/>
        <v>1</v>
      </c>
      <c r="H123" s="42"/>
      <c r="I123" s="16">
        <f t="shared" si="3"/>
        <v>0</v>
      </c>
      <c r="J123" s="27"/>
    </row>
    <row r="124" spans="1:10" s="321" customFormat="1">
      <c r="A124" s="326">
        <f t="shared" si="4"/>
        <v>7</v>
      </c>
      <c r="B124" s="38" t="s">
        <v>562</v>
      </c>
      <c r="C124" s="502" t="s">
        <v>519</v>
      </c>
      <c r="D124" s="563">
        <v>0</v>
      </c>
      <c r="E124" s="27"/>
      <c r="F124" s="27" t="s">
        <v>23</v>
      </c>
      <c r="G124" s="167">
        <f t="shared" si="5"/>
        <v>1</v>
      </c>
      <c r="H124" s="42"/>
      <c r="I124" s="405">
        <f>+G124*D124</f>
        <v>0</v>
      </c>
      <c r="J124" s="27"/>
    </row>
    <row r="125" spans="1:10" s="321" customFormat="1">
      <c r="A125" s="326">
        <f t="shared" si="4"/>
        <v>8</v>
      </c>
      <c r="B125" s="38" t="s">
        <v>561</v>
      </c>
      <c r="C125" s="502" t="s">
        <v>519</v>
      </c>
      <c r="D125" s="563">
        <v>0</v>
      </c>
      <c r="E125" s="27"/>
      <c r="F125" s="27" t="s">
        <v>23</v>
      </c>
      <c r="G125" s="167">
        <f t="shared" si="5"/>
        <v>1</v>
      </c>
      <c r="H125" s="42"/>
      <c r="I125" s="405">
        <f>+G125*D125</f>
        <v>0</v>
      </c>
      <c r="J125" s="27"/>
    </row>
    <row r="126" spans="1:10" s="13" customFormat="1">
      <c r="A126" s="326">
        <f t="shared" si="4"/>
        <v>9</v>
      </c>
      <c r="B126" s="38" t="s">
        <v>439</v>
      </c>
      <c r="C126" s="502" t="s">
        <v>526</v>
      </c>
      <c r="D126" s="173">
        <f>+'7 - PBOP'!F18</f>
        <v>0</v>
      </c>
      <c r="E126" s="100"/>
      <c r="F126" s="27" t="s">
        <v>23</v>
      </c>
      <c r="G126" s="167">
        <f t="shared" si="5"/>
        <v>1</v>
      </c>
      <c r="H126" s="42"/>
      <c r="I126" s="16">
        <f>+G126*D126</f>
        <v>0</v>
      </c>
      <c r="J126" s="100"/>
    </row>
    <row r="127" spans="1:10">
      <c r="A127" s="326">
        <f t="shared" si="4"/>
        <v>10</v>
      </c>
      <c r="B127" s="38" t="s">
        <v>209</v>
      </c>
      <c r="C127" s="502" t="s">
        <v>520</v>
      </c>
      <c r="D127" s="150">
        <v>0</v>
      </c>
      <c r="E127" s="27"/>
      <c r="F127" s="166" t="s">
        <v>15</v>
      </c>
      <c r="G127" s="167">
        <f>$I$189</f>
        <v>1</v>
      </c>
      <c r="H127" s="42"/>
      <c r="I127" s="16">
        <f t="shared" si="3"/>
        <v>0</v>
      </c>
      <c r="J127" s="27"/>
    </row>
    <row r="128" spans="1:10" s="13" customFormat="1">
      <c r="A128" s="326">
        <f t="shared" si="4"/>
        <v>11</v>
      </c>
      <c r="B128" s="38" t="s">
        <v>206</v>
      </c>
      <c r="C128" s="502" t="s">
        <v>742</v>
      </c>
      <c r="D128" s="173">
        <f>+'7 - PBOP'!F15</f>
        <v>-7127.5961617277771</v>
      </c>
      <c r="E128" s="100"/>
      <c r="F128" s="27" t="s">
        <v>23</v>
      </c>
      <c r="G128" s="167">
        <f>$I$197</f>
        <v>1</v>
      </c>
      <c r="H128" s="42"/>
      <c r="I128" s="16">
        <f>+G128*D128</f>
        <v>-7127.5961617277771</v>
      </c>
      <c r="J128" s="100"/>
    </row>
    <row r="129" spans="1:10" s="507" customFormat="1">
      <c r="A129" s="508">
        <f t="shared" si="4"/>
        <v>12</v>
      </c>
      <c r="B129" s="503" t="s">
        <v>566</v>
      </c>
      <c r="C129" s="502" t="s">
        <v>576</v>
      </c>
      <c r="D129" s="504">
        <v>0</v>
      </c>
      <c r="E129" s="502"/>
      <c r="F129" s="502" t="str">
        <f>+F131</f>
        <v>DA</v>
      </c>
      <c r="G129" s="506">
        <v>1</v>
      </c>
      <c r="H129" s="505"/>
      <c r="I129" s="504">
        <f t="shared" si="3"/>
        <v>0</v>
      </c>
      <c r="J129" s="502"/>
    </row>
    <row r="130" spans="1:10">
      <c r="A130" s="326">
        <f t="shared" si="4"/>
        <v>13</v>
      </c>
      <c r="B130" s="165" t="s">
        <v>95</v>
      </c>
      <c r="C130" s="155"/>
      <c r="D130" s="47"/>
      <c r="E130" s="155"/>
      <c r="F130" s="155"/>
      <c r="G130" s="168"/>
      <c r="H130" s="155"/>
      <c r="I130" s="47"/>
      <c r="J130" s="27"/>
    </row>
    <row r="131" spans="1:10">
      <c r="A131" s="326">
        <f t="shared" si="4"/>
        <v>14</v>
      </c>
      <c r="B131" s="165" t="s">
        <v>528</v>
      </c>
      <c r="C131" s="155" t="s">
        <v>527</v>
      </c>
      <c r="D131" s="150">
        <v>158235.80000000002</v>
      </c>
      <c r="E131" s="153"/>
      <c r="F131" s="153" t="s">
        <v>77</v>
      </c>
      <c r="G131" s="169">
        <v>1</v>
      </c>
      <c r="H131" s="153"/>
      <c r="I131" s="47">
        <f>+G131*D131</f>
        <v>158235.80000000002</v>
      </c>
      <c r="J131" s="27"/>
    </row>
    <row r="132" spans="1:10">
      <c r="A132" s="326">
        <f t="shared" si="4"/>
        <v>15</v>
      </c>
      <c r="B132" s="499" t="s">
        <v>564</v>
      </c>
      <c r="C132" s="502" t="s">
        <v>714</v>
      </c>
      <c r="D132" s="563">
        <v>72040.393729991978</v>
      </c>
      <c r="E132" s="153"/>
      <c r="F132" s="153" t="s">
        <v>15</v>
      </c>
      <c r="G132" s="167">
        <f>$I$189</f>
        <v>1</v>
      </c>
      <c r="H132" s="153"/>
      <c r="I132" s="47">
        <f>+G132*D132</f>
        <v>72040.393729991978</v>
      </c>
      <c r="J132" s="27"/>
    </row>
    <row r="133" spans="1:10" ht="13.8" thickBot="1">
      <c r="A133" s="326">
        <f t="shared" si="4"/>
        <v>16</v>
      </c>
      <c r="B133" s="165" t="s">
        <v>96</v>
      </c>
      <c r="C133" s="155" t="str">
        <f>"( Sum of line "&amp;A131&amp;" - line "&amp;A132&amp;")"" Ties to 321.97b"</f>
        <v>( Sum of line 14 - line 15)" Ties to 321.97b</v>
      </c>
      <c r="D133" s="170">
        <f>SUM(D131:D132)</f>
        <v>230276.193729992</v>
      </c>
      <c r="E133" s="153"/>
      <c r="F133" s="153"/>
      <c r="G133" s="169"/>
      <c r="H133" s="153"/>
      <c r="I133" s="170">
        <f>SUM(I131:I132)</f>
        <v>230276.193729992</v>
      </c>
      <c r="J133" s="27"/>
    </row>
    <row r="134" spans="1:10">
      <c r="A134" s="326">
        <f t="shared" si="4"/>
        <v>17</v>
      </c>
      <c r="B134" s="171" t="s">
        <v>219</v>
      </c>
      <c r="C134" s="838" t="s">
        <v>563</v>
      </c>
      <c r="D134" s="16">
        <f>+D118-D119-D120+D121-D122-D123-D124-D125-D126+D127+D128+D129+D133</f>
        <v>998186.97597503022</v>
      </c>
      <c r="E134" s="16"/>
      <c r="F134" s="16"/>
      <c r="G134" s="16"/>
      <c r="H134" s="16"/>
      <c r="I134" s="405">
        <f>+I118-I119-I120+I121-I122-I123-I124-I125-I126+I127+I128+I129+I133</f>
        <v>998186.97597503022</v>
      </c>
      <c r="J134" s="27"/>
    </row>
    <row r="135" spans="1:10">
      <c r="A135" s="326"/>
      <c r="B135" s="34"/>
      <c r="C135" s="502"/>
      <c r="D135" s="16"/>
      <c r="E135" s="16"/>
      <c r="F135" s="16"/>
      <c r="G135" s="16"/>
      <c r="H135" s="16"/>
      <c r="I135" s="16"/>
      <c r="J135" s="27"/>
    </row>
    <row r="136" spans="1:10">
      <c r="A136" s="326">
        <f>+A134+1</f>
        <v>18</v>
      </c>
      <c r="B136" s="29" t="s">
        <v>535</v>
      </c>
      <c r="C136" s="502" t="s">
        <v>374</v>
      </c>
      <c r="D136" s="16"/>
      <c r="E136" s="16"/>
      <c r="F136" s="16"/>
      <c r="G136" s="16"/>
      <c r="H136" s="16"/>
      <c r="I136" s="16"/>
      <c r="J136" s="27"/>
    </row>
    <row r="137" spans="1:10">
      <c r="A137" s="326">
        <f t="shared" si="4"/>
        <v>19</v>
      </c>
      <c r="B137" s="29" t="s">
        <v>29</v>
      </c>
      <c r="C137" s="839" t="s">
        <v>443</v>
      </c>
      <c r="D137" s="150">
        <v>0</v>
      </c>
      <c r="E137" s="16"/>
      <c r="F137" s="16" t="s">
        <v>15</v>
      </c>
      <c r="G137" s="167">
        <f>$I$189</f>
        <v>1</v>
      </c>
      <c r="H137" s="16"/>
      <c r="I137" s="16">
        <f>+G137*D137</f>
        <v>0</v>
      </c>
      <c r="J137" s="149"/>
    </row>
    <row r="138" spans="1:10">
      <c r="A138" s="326">
        <f t="shared" si="4"/>
        <v>20</v>
      </c>
      <c r="B138" s="172" t="s">
        <v>88</v>
      </c>
      <c r="C138" s="839" t="s">
        <v>444</v>
      </c>
      <c r="D138" s="150">
        <v>218296.981843332</v>
      </c>
      <c r="E138" s="16"/>
      <c r="F138" s="16" t="s">
        <v>23</v>
      </c>
      <c r="G138" s="167">
        <f>$I$197</f>
        <v>1</v>
      </c>
      <c r="H138" s="16"/>
      <c r="I138" s="16">
        <f>+G138*D138</f>
        <v>218296.981843332</v>
      </c>
      <c r="J138" s="149"/>
    </row>
    <row r="139" spans="1:10" ht="13.8" thickBot="1">
      <c r="A139" s="326">
        <f t="shared" si="4"/>
        <v>21</v>
      </c>
      <c r="B139" s="165" t="s">
        <v>91</v>
      </c>
      <c r="C139" s="502" t="s">
        <v>529</v>
      </c>
      <c r="D139" s="500">
        <v>0</v>
      </c>
      <c r="E139" s="16"/>
      <c r="F139" s="16" t="s">
        <v>77</v>
      </c>
      <c r="G139" s="167">
        <v>1</v>
      </c>
      <c r="H139" s="16"/>
      <c r="I139" s="147">
        <f>+G139*D139</f>
        <v>0</v>
      </c>
      <c r="J139" s="149"/>
    </row>
    <row r="140" spans="1:10">
      <c r="A140" s="326">
        <f t="shared" si="4"/>
        <v>22</v>
      </c>
      <c r="B140" s="29" t="s">
        <v>210</v>
      </c>
      <c r="C140" s="502" t="str">
        <f>"( Sum of line "&amp;A137&amp;" - line "&amp;A139&amp;")"</f>
        <v>( Sum of line 19 - line 21)</v>
      </c>
      <c r="D140" s="405">
        <f>SUM(D137:D139)</f>
        <v>218296.981843332</v>
      </c>
      <c r="E140" s="16"/>
      <c r="F140" s="16"/>
      <c r="G140" s="167"/>
      <c r="H140" s="16"/>
      <c r="I140" s="16">
        <f>SUM(I137:I139)</f>
        <v>218296.981843332</v>
      </c>
      <c r="J140" s="27"/>
    </row>
    <row r="141" spans="1:10">
      <c r="A141" s="326"/>
      <c r="B141" s="29"/>
      <c r="C141" s="502"/>
      <c r="D141" s="16"/>
      <c r="E141" s="16"/>
      <c r="F141" s="16"/>
      <c r="G141" s="167"/>
      <c r="H141" s="16"/>
      <c r="I141" s="16"/>
      <c r="J141" s="27"/>
    </row>
    <row r="142" spans="1:10">
      <c r="A142" s="326">
        <f>+A140+1</f>
        <v>23</v>
      </c>
      <c r="B142" s="29" t="s">
        <v>531</v>
      </c>
      <c r="C142" s="32"/>
      <c r="D142" s="16"/>
      <c r="E142" s="16"/>
      <c r="F142" s="16"/>
      <c r="G142" s="167"/>
      <c r="H142" s="16"/>
      <c r="I142" s="16"/>
      <c r="J142" s="27"/>
    </row>
    <row r="143" spans="1:10">
      <c r="A143" s="326">
        <f t="shared" si="4"/>
        <v>24</v>
      </c>
      <c r="B143" s="29" t="s">
        <v>32</v>
      </c>
      <c r="C143" s="32"/>
      <c r="D143" s="16"/>
      <c r="E143" s="16"/>
      <c r="F143" s="16"/>
      <c r="G143" s="167"/>
      <c r="H143" s="16"/>
      <c r="I143" s="16"/>
      <c r="J143" s="149"/>
    </row>
    <row r="144" spans="1:10">
      <c r="A144" s="326">
        <f t="shared" si="4"/>
        <v>25</v>
      </c>
      <c r="B144" s="29" t="s">
        <v>33</v>
      </c>
      <c r="C144" s="839" t="s">
        <v>715</v>
      </c>
      <c r="D144" s="150">
        <v>0</v>
      </c>
      <c r="E144" s="16"/>
      <c r="F144" s="16" t="s">
        <v>23</v>
      </c>
      <c r="G144" s="167">
        <f>$I$197</f>
        <v>1</v>
      </c>
      <c r="H144" s="16"/>
      <c r="I144" s="16">
        <f>+G144*D144</f>
        <v>0</v>
      </c>
    </row>
    <row r="145" spans="1:10">
      <c r="A145" s="326">
        <f t="shared" si="4"/>
        <v>26</v>
      </c>
      <c r="B145" s="29" t="s">
        <v>34</v>
      </c>
      <c r="C145" s="839" t="s">
        <v>715</v>
      </c>
      <c r="D145" s="563">
        <v>0</v>
      </c>
      <c r="E145" s="16"/>
      <c r="F145" s="16" t="s">
        <v>23</v>
      </c>
      <c r="G145" s="167">
        <f>$I$197</f>
        <v>1</v>
      </c>
      <c r="H145" s="16"/>
      <c r="I145" s="16">
        <f>+G145*D145</f>
        <v>0</v>
      </c>
    </row>
    <row r="146" spans="1:10">
      <c r="A146" s="326">
        <f t="shared" si="4"/>
        <v>27</v>
      </c>
      <c r="B146" s="29" t="s">
        <v>35</v>
      </c>
      <c r="C146" s="839" t="s">
        <v>2</v>
      </c>
      <c r="D146" s="158"/>
      <c r="E146" s="16"/>
      <c r="F146" s="16"/>
      <c r="G146" s="167"/>
      <c r="H146" s="16"/>
      <c r="I146" s="16"/>
    </row>
    <row r="147" spans="1:10">
      <c r="A147" s="326">
        <f t="shared" si="4"/>
        <v>28</v>
      </c>
      <c r="B147" s="29" t="s">
        <v>36</v>
      </c>
      <c r="C147" s="839" t="s">
        <v>715</v>
      </c>
      <c r="D147" s="150">
        <v>0</v>
      </c>
      <c r="E147" s="16"/>
      <c r="F147" s="16" t="s">
        <v>28</v>
      </c>
      <c r="G147" s="329">
        <f>+$G$69</f>
        <v>1</v>
      </c>
      <c r="H147" s="16"/>
      <c r="I147" s="16">
        <f>+G147*D147</f>
        <v>0</v>
      </c>
    </row>
    <row r="148" spans="1:10">
      <c r="A148" s="326">
        <f t="shared" si="4"/>
        <v>29</v>
      </c>
      <c r="B148" s="29" t="s">
        <v>37</v>
      </c>
      <c r="C148" s="839" t="s">
        <v>715</v>
      </c>
      <c r="D148" s="150">
        <v>0</v>
      </c>
      <c r="E148" s="16"/>
      <c r="F148" s="158" t="s">
        <v>21</v>
      </c>
      <c r="G148" s="186" t="s">
        <v>105</v>
      </c>
      <c r="H148" s="16"/>
      <c r="I148" s="325">
        <v>0</v>
      </c>
    </row>
    <row r="149" spans="1:10">
      <c r="A149" s="326">
        <f t="shared" si="4"/>
        <v>30</v>
      </c>
      <c r="B149" s="29" t="s">
        <v>38</v>
      </c>
      <c r="C149" s="839" t="s">
        <v>715</v>
      </c>
      <c r="D149" s="150">
        <v>0</v>
      </c>
      <c r="E149" s="16"/>
      <c r="F149" s="16" t="s">
        <v>28</v>
      </c>
      <c r="G149" s="329">
        <f>+$G$69</f>
        <v>1</v>
      </c>
      <c r="H149" s="16"/>
      <c r="I149" s="16">
        <f>+G149*D149</f>
        <v>0</v>
      </c>
    </row>
    <row r="150" spans="1:10" ht="13.8" thickBot="1">
      <c r="A150" s="326">
        <f t="shared" si="4"/>
        <v>31</v>
      </c>
      <c r="B150" s="29" t="s">
        <v>39</v>
      </c>
      <c r="C150" s="839" t="s">
        <v>715</v>
      </c>
      <c r="D150" s="150">
        <v>0</v>
      </c>
      <c r="E150" s="16"/>
      <c r="F150" s="16" t="s">
        <v>28</v>
      </c>
      <c r="G150" s="329">
        <f>+$G$69</f>
        <v>1</v>
      </c>
      <c r="H150" s="16"/>
      <c r="I150" s="147">
        <f>+G150*D150</f>
        <v>0</v>
      </c>
    </row>
    <row r="151" spans="1:10" ht="13.8" thickTop="1">
      <c r="A151" s="326">
        <f t="shared" si="4"/>
        <v>32</v>
      </c>
      <c r="B151" s="29" t="s">
        <v>211</v>
      </c>
      <c r="C151" s="502" t="str">
        <f>"( Sum of line "&amp;A144&amp;" - line "&amp;A150&amp;")"</f>
        <v>( Sum of line 25 - line 31)</v>
      </c>
      <c r="D151" s="367">
        <f>SUM(D144:D150)</f>
        <v>0</v>
      </c>
      <c r="E151" s="16"/>
      <c r="F151" s="16"/>
      <c r="G151" s="16"/>
      <c r="H151" s="16"/>
      <c r="I151" s="16">
        <f>SUM(I144:I150)</f>
        <v>0</v>
      </c>
      <c r="J151" s="27"/>
    </row>
    <row r="152" spans="1:10">
      <c r="A152" s="326"/>
      <c r="B152" s="29"/>
      <c r="C152" s="502"/>
      <c r="D152" s="27"/>
      <c r="E152" s="27"/>
      <c r="F152" s="27"/>
      <c r="G152" s="122"/>
      <c r="H152" s="27"/>
      <c r="I152" s="27"/>
      <c r="J152" s="27"/>
    </row>
    <row r="153" spans="1:10">
      <c r="A153" s="326">
        <f>+A151+1</f>
        <v>33</v>
      </c>
      <c r="B153" s="29" t="s">
        <v>533</v>
      </c>
      <c r="C153" s="502" t="s">
        <v>534</v>
      </c>
      <c r="D153" s="27"/>
      <c r="E153" s="27"/>
      <c r="F153" s="34"/>
      <c r="G153" s="36"/>
      <c r="H153" s="27"/>
      <c r="I153" s="34"/>
      <c r="J153" s="34"/>
    </row>
    <row r="154" spans="1:10">
      <c r="A154" s="326">
        <f t="shared" si="4"/>
        <v>34</v>
      </c>
      <c r="B154" s="37" t="s">
        <v>234</v>
      </c>
      <c r="C154" s="502"/>
      <c r="D154" s="387">
        <f>IF(D237&gt;0,1-(((1-D238)*(1-D237))/(1-D238*D237*D239))*(1-D240),0)</f>
        <v>0.28892099999999998</v>
      </c>
      <c r="E154" s="27"/>
      <c r="F154" s="34"/>
      <c r="G154" s="36"/>
      <c r="H154" s="27"/>
      <c r="I154" s="34"/>
      <c r="J154" s="34"/>
    </row>
    <row r="155" spans="1:10">
      <c r="A155" s="326">
        <f t="shared" si="4"/>
        <v>35</v>
      </c>
      <c r="B155" s="34" t="s">
        <v>41</v>
      </c>
      <c r="C155" s="502" t="str">
        <f>"WCLTD = Page 4, Line "&amp;A203&amp;", R = Page 4, Line "&amp;A206</f>
        <v>WCLTD = Page 4, Line 15, R = Page 4, Line 18</v>
      </c>
      <c r="D155" s="387">
        <f>IF(I203&gt;0,(D154/(1-D154))*(1-I203/I206),0)</f>
        <v>0.3616196405983419</v>
      </c>
      <c r="E155" s="27"/>
      <c r="F155" s="34"/>
      <c r="G155" s="36"/>
      <c r="H155" s="27"/>
      <c r="I155" s="34"/>
      <c r="J155" s="34"/>
    </row>
    <row r="156" spans="1:10">
      <c r="A156" s="326">
        <f t="shared" si="4"/>
        <v>36</v>
      </c>
      <c r="B156" s="38" t="s">
        <v>232</v>
      </c>
      <c r="C156" s="502"/>
      <c r="D156" s="27"/>
      <c r="E156" s="27"/>
      <c r="F156" s="34"/>
      <c r="G156" s="36"/>
      <c r="H156" s="27"/>
      <c r="I156" s="34"/>
      <c r="J156" s="34"/>
    </row>
    <row r="157" spans="1:10">
      <c r="A157" s="326">
        <f t="shared" si="4"/>
        <v>37</v>
      </c>
      <c r="B157" s="38"/>
      <c r="C157" s="565"/>
      <c r="D157" s="27"/>
      <c r="E157" s="27"/>
      <c r="F157" s="34"/>
      <c r="G157" s="36"/>
      <c r="H157" s="27"/>
      <c r="I157" s="34"/>
      <c r="J157" s="34"/>
    </row>
    <row r="158" spans="1:10">
      <c r="A158" s="326">
        <f>+A157+1</f>
        <v>38</v>
      </c>
      <c r="B158" s="39" t="str">
        <f>"      1 / (1 - T)  =  (from line "&amp;A154&amp;")"</f>
        <v xml:space="preserve">      1 / (1 - T)  =  (from line 34)</v>
      </c>
      <c r="C158" s="502" t="s">
        <v>567</v>
      </c>
      <c r="D158" s="387">
        <f>IF(D154=0,0,1/(1-D154))</f>
        <v>1.4063135038441579</v>
      </c>
      <c r="E158" s="27"/>
      <c r="F158" s="34"/>
      <c r="G158" s="36"/>
      <c r="H158" s="27"/>
      <c r="I158" s="16"/>
      <c r="J158" s="34"/>
    </row>
    <row r="159" spans="1:10">
      <c r="A159" s="326">
        <f t="shared" si="4"/>
        <v>39</v>
      </c>
      <c r="B159" s="38" t="s">
        <v>228</v>
      </c>
      <c r="C159" s="502" t="s">
        <v>445</v>
      </c>
      <c r="D159" s="150">
        <v>0</v>
      </c>
      <c r="E159" s="27"/>
      <c r="F159" s="34"/>
      <c r="G159" s="36"/>
      <c r="H159" s="27"/>
      <c r="I159" s="16"/>
      <c r="J159" s="34"/>
    </row>
    <row r="160" spans="1:10">
      <c r="A160" s="326">
        <f t="shared" si="4"/>
        <v>40</v>
      </c>
      <c r="B160" s="38" t="s">
        <v>862</v>
      </c>
      <c r="C160" s="502" t="s">
        <v>864</v>
      </c>
      <c r="D160" s="150">
        <v>0</v>
      </c>
      <c r="E160" s="27"/>
      <c r="F160" s="34"/>
      <c r="G160" s="40"/>
      <c r="H160" s="27"/>
      <c r="I160" s="16"/>
    </row>
    <row r="161" spans="1:10">
      <c r="A161" s="326">
        <f t="shared" si="4"/>
        <v>41</v>
      </c>
      <c r="B161" s="38" t="s">
        <v>264</v>
      </c>
      <c r="C161" s="502" t="s">
        <v>864</v>
      </c>
      <c r="D161" s="150">
        <v>0</v>
      </c>
      <c r="E161" s="27"/>
      <c r="F161" s="34"/>
      <c r="G161" s="36"/>
      <c r="H161" s="27"/>
      <c r="I161" s="16"/>
      <c r="J161" s="34"/>
    </row>
    <row r="162" spans="1:10">
      <c r="A162" s="326">
        <f t="shared" si="4"/>
        <v>42</v>
      </c>
      <c r="B162" s="39" t="s">
        <v>229</v>
      </c>
      <c r="C162" s="41" t="str">
        <f>"(Line "&amp;A155&amp;" times Line "&amp;A169&amp;")"</f>
        <v>(Line 35 times Line 48)</v>
      </c>
      <c r="D162" s="261">
        <f>+D155*D169</f>
        <v>2085060.7607977286</v>
      </c>
      <c r="E162" s="42"/>
      <c r="F162" s="42" t="s">
        <v>21</v>
      </c>
      <c r="G162" s="43"/>
      <c r="H162" s="42"/>
      <c r="I162" s="261">
        <f>+D155*I169</f>
        <v>2085060.7607977286</v>
      </c>
      <c r="J162" s="121" t="s">
        <v>2</v>
      </c>
    </row>
    <row r="163" spans="1:10">
      <c r="A163" s="124">
        <f t="shared" si="4"/>
        <v>43</v>
      </c>
      <c r="B163" s="32" t="s">
        <v>230</v>
      </c>
      <c r="C163" s="41" t="str">
        <f>"(Line "&amp;A158&amp;" times Line "&amp;A159&amp;")"</f>
        <v>(Line 38 times Line 39)</v>
      </c>
      <c r="D163" s="261">
        <f>+D$158*D159</f>
        <v>0</v>
      </c>
      <c r="E163" s="42"/>
      <c r="F163" s="44" t="s">
        <v>27</v>
      </c>
      <c r="G163" s="151">
        <f>+$G$83</f>
        <v>1</v>
      </c>
      <c r="H163" s="42"/>
      <c r="I163" s="261">
        <f>+G163*D163</f>
        <v>0</v>
      </c>
      <c r="J163" s="121"/>
    </row>
    <row r="164" spans="1:10">
      <c r="A164" s="124">
        <f t="shared" si="4"/>
        <v>44</v>
      </c>
      <c r="B164" s="32" t="s">
        <v>863</v>
      </c>
      <c r="C164" s="41" t="str">
        <f>"(Line "&amp;A158&amp;" times Line "&amp;A160&amp;")"</f>
        <v>(Line 38 times Line 40)</v>
      </c>
      <c r="D164" s="261">
        <f>+D$158*D160</f>
        <v>0</v>
      </c>
      <c r="E164" s="42"/>
      <c r="F164" s="44" t="s">
        <v>27</v>
      </c>
      <c r="G164" s="151">
        <f>+$G$83</f>
        <v>1</v>
      </c>
      <c r="H164" s="42"/>
      <c r="I164" s="261">
        <f>+G164*D164</f>
        <v>0</v>
      </c>
      <c r="J164" s="121"/>
    </row>
    <row r="165" spans="1:10" ht="13.8" thickBot="1">
      <c r="A165" s="124">
        <f t="shared" si="4"/>
        <v>45</v>
      </c>
      <c r="B165" s="32" t="s">
        <v>107</v>
      </c>
      <c r="C165" s="41" t="str">
        <f>"(Line "&amp;A158&amp;" times Line "&amp;A161&amp;")"</f>
        <v>(Line 38 times Line 41)</v>
      </c>
      <c r="D165" s="262">
        <f>+D$158*D161</f>
        <v>0</v>
      </c>
      <c r="E165" s="42"/>
      <c r="F165" s="44" t="s">
        <v>27</v>
      </c>
      <c r="G165" s="151">
        <f>+$G$83</f>
        <v>1</v>
      </c>
      <c r="H165" s="42"/>
      <c r="I165" s="262">
        <f>+G165*D165</f>
        <v>0</v>
      </c>
      <c r="J165" s="121"/>
    </row>
    <row r="166" spans="1:10">
      <c r="A166" s="124">
        <f t="shared" si="4"/>
        <v>46</v>
      </c>
      <c r="B166" s="45" t="s">
        <v>231</v>
      </c>
      <c r="C166" s="502" t="str">
        <f>"( Sum of line "&amp;A162&amp;" - line "&amp;A165&amp;")"</f>
        <v>( Sum of line 42 - line 45)</v>
      </c>
      <c r="D166" s="173">
        <f>SUM(D162:D165)</f>
        <v>2085060.7607977286</v>
      </c>
      <c r="E166" s="42"/>
      <c r="F166" s="42" t="s">
        <v>2</v>
      </c>
      <c r="G166" s="43" t="s">
        <v>2</v>
      </c>
      <c r="H166" s="42"/>
      <c r="I166" s="173">
        <f>SUM(I162:I165)</f>
        <v>2085060.7607977286</v>
      </c>
      <c r="J166" s="27"/>
    </row>
    <row r="167" spans="1:10">
      <c r="A167" s="124"/>
      <c r="B167" s="34"/>
      <c r="C167" s="174"/>
      <c r="D167" s="16"/>
      <c r="E167" s="27"/>
      <c r="F167" s="27"/>
      <c r="G167" s="122"/>
      <c r="H167" s="27"/>
      <c r="I167" s="16"/>
      <c r="J167" s="27"/>
    </row>
    <row r="168" spans="1:10">
      <c r="A168" s="124">
        <f>+A166+1</f>
        <v>47</v>
      </c>
      <c r="B168" s="29" t="s">
        <v>43</v>
      </c>
      <c r="J168" s="34"/>
    </row>
    <row r="169" spans="1:10">
      <c r="A169" s="124">
        <f>A168+1</f>
        <v>48</v>
      </c>
      <c r="B169" s="176" t="s">
        <v>269</v>
      </c>
      <c r="C169" s="37" t="str">
        <f>"(Page 2, line " &amp;A105&amp;" times Page 4, Line 18)"</f>
        <v>(Page 2, line 35 times Page 4, Line 18)</v>
      </c>
      <c r="D169" s="16">
        <f>+$I206*D105</f>
        <v>5765894.6769256014</v>
      </c>
      <c r="E169" s="42"/>
      <c r="F169" s="42" t="s">
        <v>21</v>
      </c>
      <c r="G169" s="175"/>
      <c r="H169" s="42"/>
      <c r="I169" s="405">
        <f>+$I206*I105</f>
        <v>5765894.6769256014</v>
      </c>
      <c r="J169" s="149"/>
    </row>
    <row r="170" spans="1:10">
      <c r="A170" s="124"/>
      <c r="B170" s="29"/>
      <c r="C170" s="34"/>
      <c r="D170" s="40"/>
      <c r="E170" s="42"/>
      <c r="F170" s="42"/>
      <c r="G170" s="175"/>
      <c r="H170" s="42"/>
      <c r="I170" s="40"/>
      <c r="J170" s="149"/>
    </row>
    <row r="171" spans="1:10" ht="13.8" thickBot="1">
      <c r="A171" s="124">
        <f>A169+1</f>
        <v>49</v>
      </c>
      <c r="B171" s="29" t="s">
        <v>208</v>
      </c>
      <c r="C171" s="27" t="str">
        <f>"( Sum of line  "&amp;A134&amp;","&amp;A140&amp;", "&amp;A151&amp;", "&amp;A166&amp;", "&amp;A169&amp;")"</f>
        <v>( Sum of line  17,22, 32, 46, 48)</v>
      </c>
      <c r="D171" s="177">
        <f>+D169+D166+D151+D140+D134</f>
        <v>9067439.3955416922</v>
      </c>
      <c r="E171" s="42"/>
      <c r="F171" s="42"/>
      <c r="G171" s="163"/>
      <c r="H171" s="42"/>
      <c r="I171" s="177">
        <f>+I169+I166+I151+I140+I134</f>
        <v>9067439.3955416922</v>
      </c>
      <c r="J171" s="110"/>
    </row>
    <row r="172" spans="1:10" ht="13.8" thickTop="1">
      <c r="A172" s="124"/>
      <c r="B172" s="29"/>
      <c r="C172" s="27"/>
      <c r="D172" s="163"/>
      <c r="E172" s="42"/>
      <c r="F172" s="42"/>
      <c r="G172" s="163"/>
      <c r="H172" s="42"/>
      <c r="I172" s="40"/>
      <c r="J172" s="110"/>
    </row>
    <row r="173" spans="1:10">
      <c r="A173" s="105"/>
      <c r="B173" s="34"/>
      <c r="C173" s="34"/>
      <c r="D173" s="34"/>
      <c r="E173" s="34"/>
      <c r="F173" s="34"/>
      <c r="G173" s="34"/>
      <c r="H173" s="34"/>
      <c r="I173" s="34"/>
      <c r="J173" s="164" t="s">
        <v>629</v>
      </c>
    </row>
    <row r="174" spans="1:10">
      <c r="A174" s="105"/>
      <c r="B174" s="34"/>
      <c r="C174" s="34"/>
      <c r="D174" s="34"/>
      <c r="E174" s="34"/>
      <c r="F174" s="34"/>
      <c r="G174" s="34"/>
      <c r="H174" s="34"/>
      <c r="I174" s="34"/>
      <c r="J174" s="27"/>
    </row>
    <row r="175" spans="1:10">
      <c r="A175" s="105"/>
      <c r="B175" s="29" t="s">
        <v>1</v>
      </c>
      <c r="C175" s="34"/>
      <c r="D175" s="105" t="str">
        <f>+D3</f>
        <v>Rate Formula Template - Attachment H-29A</v>
      </c>
      <c r="E175" s="34"/>
      <c r="F175" s="34"/>
      <c r="G175" s="34"/>
      <c r="H175" s="34"/>
      <c r="I175" s="103"/>
      <c r="J175" s="178" t="str">
        <f>J3</f>
        <v>For  the 12 months ended 12/31/2022</v>
      </c>
    </row>
    <row r="176" spans="1:10">
      <c r="A176" s="105"/>
      <c r="B176" s="29"/>
      <c r="C176" s="34"/>
      <c r="D176" s="210" t="s">
        <v>97</v>
      </c>
      <c r="E176" s="34"/>
      <c r="F176" s="34"/>
      <c r="G176" s="34"/>
      <c r="H176" s="34"/>
      <c r="I176" s="34"/>
      <c r="J176" s="27"/>
    </row>
    <row r="177" spans="1:10">
      <c r="A177" s="105"/>
      <c r="B177" s="34"/>
      <c r="C177" s="34"/>
      <c r="D177" s="210" t="str">
        <f>+D112</f>
        <v>Transource Pennsylvania, LLC</v>
      </c>
      <c r="E177" s="34"/>
      <c r="F177" s="34"/>
      <c r="G177" s="34"/>
      <c r="H177" s="34"/>
      <c r="I177" s="34"/>
      <c r="J177" s="27"/>
    </row>
    <row r="178" spans="1:10">
      <c r="A178" s="992"/>
      <c r="B178" s="992"/>
      <c r="C178" s="992"/>
      <c r="D178" s="992"/>
      <c r="E178" s="992"/>
      <c r="F178" s="992"/>
      <c r="G178" s="992"/>
      <c r="H178" s="992"/>
      <c r="I178" s="992"/>
      <c r="J178" s="992"/>
    </row>
    <row r="179" spans="1:10" s="13" customFormat="1">
      <c r="A179" s="179"/>
      <c r="B179" s="114" t="s">
        <v>3</v>
      </c>
      <c r="C179" s="114" t="s">
        <v>4</v>
      </c>
      <c r="D179" s="114" t="s">
        <v>5</v>
      </c>
      <c r="E179" s="27" t="s">
        <v>2</v>
      </c>
      <c r="F179" s="27"/>
      <c r="G179" s="113" t="s">
        <v>6</v>
      </c>
      <c r="H179" s="27"/>
      <c r="I179" s="113" t="s">
        <v>7</v>
      </c>
      <c r="J179" s="100"/>
    </row>
    <row r="180" spans="1:10">
      <c r="A180" s="105"/>
      <c r="B180" s="34"/>
      <c r="C180" s="29"/>
      <c r="D180" s="29"/>
      <c r="E180" s="29"/>
      <c r="F180" s="29"/>
      <c r="G180" s="29"/>
      <c r="H180" s="29"/>
      <c r="I180" s="29"/>
      <c r="J180" s="29"/>
    </row>
    <row r="181" spans="1:10">
      <c r="A181" s="105"/>
      <c r="B181" s="34"/>
      <c r="C181" s="144" t="s">
        <v>44</v>
      </c>
      <c r="D181" s="34"/>
      <c r="E181" s="110"/>
      <c r="F181" s="110"/>
      <c r="G181" s="110"/>
      <c r="H181" s="110"/>
      <c r="I181" s="110"/>
      <c r="J181" s="27"/>
    </row>
    <row r="182" spans="1:10">
      <c r="A182" s="105" t="s">
        <v>8</v>
      </c>
      <c r="B182" s="144"/>
      <c r="C182" s="110"/>
      <c r="D182" s="110"/>
      <c r="E182" s="110"/>
      <c r="F182" s="110"/>
      <c r="G182" s="110"/>
      <c r="H182" s="110"/>
      <c r="I182" s="110"/>
      <c r="J182" s="27"/>
    </row>
    <row r="183" spans="1:10" ht="13.8" thickBot="1">
      <c r="A183" s="31" t="s">
        <v>10</v>
      </c>
      <c r="B183" s="106" t="s">
        <v>45</v>
      </c>
      <c r="C183" s="118"/>
      <c r="D183" s="118"/>
      <c r="E183" s="118"/>
      <c r="F183" s="118"/>
      <c r="G183" s="118"/>
      <c r="H183" s="32"/>
      <c r="I183" s="32"/>
      <c r="J183" s="27"/>
    </row>
    <row r="184" spans="1:10">
      <c r="A184" s="105">
        <v>1</v>
      </c>
      <c r="B184" s="107" t="s">
        <v>221</v>
      </c>
      <c r="C184" s="118" t="s">
        <v>274</v>
      </c>
      <c r="D184" s="35"/>
      <c r="E184" s="35"/>
      <c r="F184" s="35"/>
      <c r="G184" s="35"/>
      <c r="H184" s="35"/>
      <c r="I184" s="158">
        <f>D66</f>
        <v>0</v>
      </c>
      <c r="J184" s="27"/>
    </row>
    <row r="185" spans="1:10">
      <c r="A185" s="299">
        <f>+A184+1</f>
        <v>2</v>
      </c>
      <c r="B185" s="107" t="s">
        <v>222</v>
      </c>
      <c r="C185" s="32" t="s">
        <v>541</v>
      </c>
      <c r="D185" s="32"/>
      <c r="E185" s="32"/>
      <c r="F185" s="32"/>
      <c r="G185" s="32"/>
      <c r="H185" s="32"/>
      <c r="I185" s="145">
        <v>0</v>
      </c>
      <c r="J185" s="27"/>
    </row>
    <row r="186" spans="1:10" ht="13.8" thickBot="1">
      <c r="A186" s="299">
        <f>+A185+1</f>
        <v>3</v>
      </c>
      <c r="B186" s="180" t="s">
        <v>542</v>
      </c>
      <c r="C186" s="181" t="s">
        <v>544</v>
      </c>
      <c r="D186" s="103"/>
      <c r="E186" s="35"/>
      <c r="F186" s="35"/>
      <c r="G186" s="182"/>
      <c r="H186" s="35"/>
      <c r="I186" s="146">
        <v>0</v>
      </c>
      <c r="J186" s="27"/>
    </row>
    <row r="187" spans="1:10">
      <c r="A187" s="299">
        <f t="shared" ref="A187:A206" si="6">+A186+1</f>
        <v>4</v>
      </c>
      <c r="B187" s="107" t="s">
        <v>224</v>
      </c>
      <c r="C187" s="118" t="s">
        <v>223</v>
      </c>
      <c r="D187" s="35"/>
      <c r="E187" s="35"/>
      <c r="F187" s="35"/>
      <c r="G187" s="182"/>
      <c r="H187" s="35"/>
      <c r="I187" s="158">
        <f>I184-I185-I186</f>
        <v>0</v>
      </c>
      <c r="J187" s="27"/>
    </row>
    <row r="188" spans="1:10">
      <c r="A188" s="299"/>
      <c r="B188" s="32"/>
      <c r="C188" s="118"/>
      <c r="D188" s="35"/>
      <c r="E188" s="35"/>
      <c r="F188" s="35"/>
      <c r="G188" s="182"/>
      <c r="H188" s="35"/>
      <c r="I188" s="158"/>
      <c r="J188" s="27"/>
    </row>
    <row r="189" spans="1:10">
      <c r="A189" s="299">
        <f>+A187+1</f>
        <v>5</v>
      </c>
      <c r="B189" s="107" t="s">
        <v>225</v>
      </c>
      <c r="C189" s="183" t="s">
        <v>385</v>
      </c>
      <c r="D189" s="184"/>
      <c r="E189" s="184"/>
      <c r="F189" s="184"/>
      <c r="G189" s="185"/>
      <c r="H189" s="35" t="s">
        <v>46</v>
      </c>
      <c r="I189" s="186">
        <f>IF(I184&gt;0,I187/I184,1)</f>
        <v>1</v>
      </c>
      <c r="J189" s="27"/>
    </row>
    <row r="190" spans="1:10">
      <c r="A190" s="299"/>
      <c r="B190" s="34"/>
      <c r="C190" s="34"/>
      <c r="D190" s="34"/>
      <c r="E190" s="34"/>
      <c r="F190" s="34"/>
      <c r="G190" s="34"/>
      <c r="H190" s="34"/>
      <c r="I190" s="34"/>
      <c r="J190" s="34"/>
    </row>
    <row r="191" spans="1:10">
      <c r="A191" s="299">
        <f>+A189+1</f>
        <v>6</v>
      </c>
      <c r="B191" s="29" t="s">
        <v>108</v>
      </c>
      <c r="C191" s="27"/>
      <c r="D191" s="27"/>
      <c r="E191" s="27"/>
      <c r="F191" s="27"/>
      <c r="G191" s="27"/>
      <c r="H191" s="27"/>
      <c r="I191" s="27"/>
      <c r="J191" s="27"/>
    </row>
    <row r="192" spans="1:10" ht="13.8" thickBot="1">
      <c r="A192" s="299"/>
      <c r="B192" s="29"/>
      <c r="C192" s="187" t="s">
        <v>47</v>
      </c>
      <c r="D192" s="28" t="s">
        <v>48</v>
      </c>
      <c r="E192" s="28" t="s">
        <v>15</v>
      </c>
      <c r="F192" s="27"/>
      <c r="G192" s="28" t="s">
        <v>49</v>
      </c>
      <c r="H192" s="27"/>
      <c r="I192" s="27"/>
      <c r="J192" s="27"/>
    </row>
    <row r="193" spans="1:10">
      <c r="A193" s="299">
        <f>+A191+1</f>
        <v>7</v>
      </c>
      <c r="B193" s="29" t="s">
        <v>246</v>
      </c>
      <c r="C193" s="27" t="s">
        <v>50</v>
      </c>
      <c r="D193" s="145">
        <v>0</v>
      </c>
      <c r="E193" s="188">
        <v>0</v>
      </c>
      <c r="F193" s="189"/>
      <c r="G193" s="16">
        <f>D193*E193</f>
        <v>0</v>
      </c>
      <c r="H193" s="42"/>
      <c r="I193" s="42"/>
      <c r="J193" s="27"/>
    </row>
    <row r="194" spans="1:10">
      <c r="A194" s="299">
        <f t="shared" si="6"/>
        <v>8</v>
      </c>
      <c r="B194" s="29" t="s">
        <v>22</v>
      </c>
      <c r="C194" s="27" t="s">
        <v>258</v>
      </c>
      <c r="D194" s="145">
        <v>0</v>
      </c>
      <c r="E194" s="167">
        <f>+I189</f>
        <v>1</v>
      </c>
      <c r="F194" s="189"/>
      <c r="G194" s="16">
        <f>D194*E194</f>
        <v>0</v>
      </c>
      <c r="H194" s="42"/>
      <c r="I194" s="42"/>
      <c r="J194" s="27"/>
    </row>
    <row r="195" spans="1:10">
      <c r="A195" s="299">
        <f t="shared" si="6"/>
        <v>9</v>
      </c>
      <c r="B195" s="29" t="s">
        <v>247</v>
      </c>
      <c r="C195" s="27" t="s">
        <v>93</v>
      </c>
      <c r="D195" s="145">
        <v>0</v>
      </c>
      <c r="E195" s="188">
        <v>0</v>
      </c>
      <c r="F195" s="189"/>
      <c r="G195" s="16">
        <f>D195*E195</f>
        <v>0</v>
      </c>
      <c r="H195" s="42"/>
      <c r="I195" s="190" t="s">
        <v>51</v>
      </c>
      <c r="J195" s="27"/>
    </row>
    <row r="196" spans="1:10" ht="13.8" thickBot="1">
      <c r="A196" s="299">
        <f t="shared" si="6"/>
        <v>10</v>
      </c>
      <c r="B196" s="29" t="s">
        <v>52</v>
      </c>
      <c r="C196" s="27" t="s">
        <v>259</v>
      </c>
      <c r="D196" s="146">
        <v>0</v>
      </c>
      <c r="E196" s="188">
        <v>0</v>
      </c>
      <c r="F196" s="189"/>
      <c r="G196" s="147">
        <f>D196*E196</f>
        <v>0</v>
      </c>
      <c r="H196" s="42"/>
      <c r="I196" s="191" t="s">
        <v>53</v>
      </c>
      <c r="J196" s="27"/>
    </row>
    <row r="197" spans="1:10">
      <c r="A197" s="299">
        <f t="shared" si="6"/>
        <v>11</v>
      </c>
      <c r="B197" s="38" t="s">
        <v>326</v>
      </c>
      <c r="C197" s="27" t="str">
        <f>"( Sum of line "&amp;A193&amp;" - line "&amp;A196&amp;")"</f>
        <v>( Sum of line 7 - line 10)</v>
      </c>
      <c r="D197" s="16">
        <f>SUM(D193:D196)</f>
        <v>0</v>
      </c>
      <c r="E197" s="27"/>
      <c r="F197" s="27"/>
      <c r="G197" s="16">
        <f>SUM(G193:G196)</f>
        <v>0</v>
      </c>
      <c r="H197" s="192" t="s">
        <v>54</v>
      </c>
      <c r="I197" s="151">
        <f>IF(D197=0,1,G197/D197)</f>
        <v>1</v>
      </c>
      <c r="J197" s="27" t="s">
        <v>55</v>
      </c>
    </row>
    <row r="198" spans="1:10">
      <c r="A198" s="299"/>
      <c r="B198" s="29" t="s">
        <v>2</v>
      </c>
      <c r="C198" s="27" t="s">
        <v>2</v>
      </c>
      <c r="D198" s="34"/>
      <c r="E198" s="27"/>
      <c r="F198" s="27"/>
      <c r="G198" s="34"/>
      <c r="H198" s="34"/>
      <c r="I198" s="34"/>
      <c r="J198" s="27"/>
    </row>
    <row r="199" spans="1:10">
      <c r="A199" s="299"/>
      <c r="B199" s="29"/>
      <c r="C199" s="27"/>
      <c r="D199" s="34"/>
      <c r="E199" s="27"/>
      <c r="F199" s="27"/>
      <c r="G199" s="27"/>
      <c r="H199" s="27"/>
      <c r="I199" s="27"/>
      <c r="J199" s="27"/>
    </row>
    <row r="200" spans="1:10" ht="13.8" thickBot="1">
      <c r="A200" s="299">
        <f>+A197+1</f>
        <v>12</v>
      </c>
      <c r="B200" s="26" t="s">
        <v>56</v>
      </c>
      <c r="C200" s="27"/>
      <c r="D200" s="27"/>
      <c r="E200" s="27"/>
      <c r="F200" s="27"/>
      <c r="G200" s="27"/>
      <c r="H200" s="27"/>
      <c r="I200" s="28" t="s">
        <v>48</v>
      </c>
      <c r="J200" s="27"/>
    </row>
    <row r="201" spans="1:10">
      <c r="A201" s="299">
        <f>+A200+1</f>
        <v>13</v>
      </c>
      <c r="B201" s="29"/>
      <c r="C201" s="27"/>
      <c r="D201" s="27"/>
      <c r="E201" s="27"/>
      <c r="F201" s="27"/>
      <c r="H201" s="27"/>
      <c r="I201" s="27"/>
      <c r="J201" s="27"/>
    </row>
    <row r="202" spans="1:10" ht="13.8" thickBot="1">
      <c r="A202" s="299">
        <f t="shared" si="6"/>
        <v>14</v>
      </c>
      <c r="B202" s="29"/>
      <c r="C202" s="27"/>
      <c r="D202" s="31" t="s">
        <v>48</v>
      </c>
      <c r="E202" s="31" t="s">
        <v>58</v>
      </c>
      <c r="F202" s="27"/>
      <c r="G202" s="30" t="s">
        <v>57</v>
      </c>
      <c r="H202" s="27"/>
      <c r="I202" s="31" t="s">
        <v>59</v>
      </c>
      <c r="J202" s="27"/>
    </row>
    <row r="203" spans="1:10">
      <c r="A203" s="299">
        <f t="shared" si="6"/>
        <v>15</v>
      </c>
      <c r="B203" s="26" t="s">
        <v>227</v>
      </c>
      <c r="C203" s="32" t="s">
        <v>452</v>
      </c>
      <c r="D203" s="194">
        <f>+'5-Return'!F19</f>
        <v>64923076.92307692</v>
      </c>
      <c r="E203" s="786">
        <f>+'5-Return'!G19</f>
        <v>0.4</v>
      </c>
      <c r="F203" s="25"/>
      <c r="G203" s="368">
        <f>'5-Return'!H19</f>
        <v>1.9280597300552919E-2</v>
      </c>
      <c r="H203" s="25"/>
      <c r="I203" s="213">
        <f>E203*G203</f>
        <v>7.7122389202211681E-3</v>
      </c>
      <c r="J203" s="34"/>
    </row>
    <row r="204" spans="1:10">
      <c r="A204" s="299">
        <f t="shared" si="6"/>
        <v>16</v>
      </c>
      <c r="B204" s="26" t="s">
        <v>109</v>
      </c>
      <c r="C204" s="32" t="s">
        <v>452</v>
      </c>
      <c r="D204" s="194">
        <f>+'5-Return'!F20</f>
        <v>0</v>
      </c>
      <c r="E204" s="786">
        <f>+'5-Return'!G20</f>
        <v>0</v>
      </c>
      <c r="F204" s="25"/>
      <c r="G204" s="368">
        <f>+'5-Return'!H20</f>
        <v>0</v>
      </c>
      <c r="H204" s="25"/>
      <c r="I204" s="213">
        <f>E204*G204</f>
        <v>0</v>
      </c>
      <c r="J204" s="34"/>
    </row>
    <row r="205" spans="1:10" ht="13.8" thickBot="1">
      <c r="A205" s="299">
        <f t="shared" si="6"/>
        <v>17</v>
      </c>
      <c r="B205" s="26" t="s">
        <v>262</v>
      </c>
      <c r="C205" s="32" t="s">
        <v>546</v>
      </c>
      <c r="D205" s="194">
        <f>+'5-Return'!F21</f>
        <v>65047401.960370377</v>
      </c>
      <c r="E205" s="787">
        <f>+'5-Return'!G21</f>
        <v>0.6</v>
      </c>
      <c r="F205" s="33"/>
      <c r="G205" s="804">
        <f>0.099+0.005</f>
        <v>0.10400000000000001</v>
      </c>
      <c r="H205" s="34"/>
      <c r="I205" s="332">
        <f>E205*G205</f>
        <v>6.2400000000000004E-2</v>
      </c>
      <c r="J205" s="34"/>
    </row>
    <row r="206" spans="1:10">
      <c r="A206" s="299">
        <f t="shared" si="6"/>
        <v>18</v>
      </c>
      <c r="B206" s="29" t="s">
        <v>220</v>
      </c>
      <c r="C206" s="27" t="str">
        <f>"( Sum of line "&amp;A203&amp;" - line "&amp;A205&amp;")"</f>
        <v>( Sum of line 15 - line 17)</v>
      </c>
      <c r="D206" s="672">
        <f>SUM(D203:D205)</f>
        <v>129970478.88344729</v>
      </c>
      <c r="E206" s="27" t="s">
        <v>2</v>
      </c>
      <c r="F206" s="27"/>
      <c r="G206" s="27"/>
      <c r="H206" s="27"/>
      <c r="I206" s="213">
        <f>SUM(I203:I205)</f>
        <v>7.011223892022117E-2</v>
      </c>
      <c r="J206" s="34"/>
    </row>
    <row r="207" spans="1:10">
      <c r="A207" s="299"/>
      <c r="B207" s="34"/>
      <c r="C207" s="34"/>
      <c r="D207" s="34"/>
      <c r="E207" s="27"/>
      <c r="F207" s="27"/>
      <c r="G207" s="27"/>
      <c r="H207" s="27"/>
      <c r="I207" s="34"/>
      <c r="J207" s="34"/>
    </row>
    <row r="208" spans="1:10">
      <c r="A208" s="299">
        <f>+A206+1</f>
        <v>19</v>
      </c>
      <c r="B208" s="26" t="s">
        <v>110</v>
      </c>
      <c r="C208" s="109"/>
      <c r="D208" s="109"/>
      <c r="E208" s="109"/>
      <c r="F208" s="109"/>
      <c r="G208" s="109"/>
      <c r="H208" s="109"/>
      <c r="I208" s="109"/>
      <c r="J208" s="109"/>
    </row>
    <row r="209" spans="1:10" ht="13.8" thickBot="1">
      <c r="A209" s="299"/>
      <c r="B209" s="26"/>
      <c r="C209" s="26"/>
      <c r="D209" s="26"/>
      <c r="E209" s="26"/>
      <c r="F209" s="26"/>
      <c r="G209" s="26"/>
      <c r="H209" s="26"/>
      <c r="I209" s="31"/>
      <c r="J209" s="34"/>
    </row>
    <row r="210" spans="1:10">
      <c r="A210" s="299">
        <f>+A208+1</f>
        <v>20</v>
      </c>
      <c r="B210" s="26" t="s">
        <v>207</v>
      </c>
      <c r="C210" s="562" t="str">
        <f>"Attachment 12, line "&amp;'12 - Revenue Credits'!A14&amp;" (Note U)"</f>
        <v>Attachment 12, line 8 (Note U)</v>
      </c>
      <c r="D210" s="34"/>
      <c r="E210" s="109"/>
      <c r="F210" s="109"/>
      <c r="G210" s="196"/>
      <c r="H210" s="109"/>
      <c r="I210" s="158">
        <f>+'12 - Revenue Credits'!F14</f>
        <v>0</v>
      </c>
      <c r="J210" s="197"/>
    </row>
    <row r="211" spans="1:10">
      <c r="A211" s="299"/>
      <c r="B211" s="34"/>
      <c r="C211" s="107"/>
      <c r="D211" s="109"/>
      <c r="E211" s="109"/>
      <c r="F211" s="109"/>
      <c r="G211" s="109"/>
      <c r="H211" s="109"/>
      <c r="I211" s="195"/>
      <c r="J211" s="197"/>
    </row>
    <row r="212" spans="1:10">
      <c r="A212" s="299">
        <f>+A210+1</f>
        <v>21</v>
      </c>
      <c r="B212" s="26" t="s">
        <v>805</v>
      </c>
      <c r="C212" s="562" t="str">
        <f>"Attachment 12, line "&amp;'12 - Revenue Credits'!A34&amp;" (Note A)"</f>
        <v>Attachment 12, line 21 (Note A)</v>
      </c>
      <c r="D212" s="109"/>
      <c r="E212" s="109"/>
      <c r="F212" s="109"/>
      <c r="G212" s="109"/>
      <c r="H212" s="109"/>
      <c r="I212" s="158">
        <f>+'12 - Revenue Credits'!F32</f>
        <v>0</v>
      </c>
      <c r="J212" s="198"/>
    </row>
    <row r="213" spans="1:10">
      <c r="A213" s="105"/>
      <c r="B213" s="201"/>
      <c r="C213" s="105"/>
      <c r="D213" s="27"/>
      <c r="E213" s="27"/>
      <c r="F213" s="27"/>
      <c r="G213" s="27"/>
      <c r="H213" s="109"/>
      <c r="I213" s="202"/>
      <c r="J213" s="200"/>
    </row>
    <row r="214" spans="1:10">
      <c r="A214" s="105"/>
      <c r="B214" s="29"/>
      <c r="C214" s="110"/>
      <c r="D214" s="27"/>
      <c r="E214" s="27"/>
      <c r="F214" s="27"/>
      <c r="G214" s="27"/>
      <c r="H214" s="110"/>
      <c r="I214" s="27"/>
      <c r="J214" s="164" t="s">
        <v>630</v>
      </c>
    </row>
    <row r="215" spans="1:10">
      <c r="A215" s="105"/>
      <c r="B215" s="29"/>
      <c r="C215" s="110"/>
      <c r="D215" s="27"/>
      <c r="E215" s="27"/>
      <c r="F215" s="27"/>
      <c r="G215" s="27"/>
      <c r="H215" s="110"/>
      <c r="I215" s="27"/>
      <c r="J215" s="27"/>
    </row>
    <row r="216" spans="1:10">
      <c r="A216" s="105"/>
      <c r="B216" s="201" t="s">
        <v>1</v>
      </c>
      <c r="C216" s="105"/>
      <c r="D216" s="105" t="str">
        <f>+D3</f>
        <v>Rate Formula Template - Attachment H-29A</v>
      </c>
      <c r="E216" s="27"/>
      <c r="F216" s="27"/>
      <c r="G216" s="27"/>
      <c r="H216" s="109"/>
      <c r="I216" s="103"/>
      <c r="J216" s="203" t="str">
        <f>J3</f>
        <v>For  the 12 months ended 12/31/2022</v>
      </c>
    </row>
    <row r="217" spans="1:10">
      <c r="A217" s="105"/>
      <c r="B217" s="201"/>
      <c r="C217" s="105"/>
      <c r="D217" s="30" t="s">
        <v>97</v>
      </c>
      <c r="E217" s="27"/>
      <c r="F217" s="27"/>
      <c r="G217" s="27"/>
      <c r="H217" s="109"/>
      <c r="I217" s="204"/>
      <c r="J217" s="200"/>
    </row>
    <row r="218" spans="1:10">
      <c r="A218" s="105"/>
      <c r="B218" s="201"/>
      <c r="C218" s="105"/>
      <c r="D218" s="30" t="str">
        <f>+D177</f>
        <v>Transource Pennsylvania, LLC</v>
      </c>
      <c r="E218" s="27"/>
      <c r="F218" s="27"/>
      <c r="G218" s="27"/>
      <c r="H218" s="109"/>
      <c r="I218" s="204"/>
      <c r="J218" s="200"/>
    </row>
    <row r="219" spans="1:10">
      <c r="A219" s="992"/>
      <c r="B219" s="992"/>
      <c r="C219" s="992"/>
      <c r="D219" s="992"/>
      <c r="E219" s="992"/>
      <c r="F219" s="992"/>
      <c r="G219" s="992"/>
      <c r="H219" s="992"/>
      <c r="I219" s="992"/>
      <c r="J219" s="992"/>
    </row>
    <row r="220" spans="1:10">
      <c r="A220" s="105"/>
      <c r="B220" s="26" t="s">
        <v>400</v>
      </c>
      <c r="C220" s="105"/>
      <c r="D220" s="27"/>
      <c r="E220" s="27"/>
      <c r="F220" s="27"/>
      <c r="G220" s="27"/>
      <c r="H220" s="109"/>
      <c r="I220" s="27"/>
      <c r="J220" s="27"/>
    </row>
    <row r="221" spans="1:10">
      <c r="A221" s="105"/>
      <c r="B221" s="199" t="s">
        <v>111</v>
      </c>
      <c r="C221" s="105"/>
      <c r="D221" s="27"/>
      <c r="E221" s="27"/>
      <c r="F221" s="27"/>
      <c r="G221" s="27"/>
      <c r="H221" s="109"/>
      <c r="I221" s="27"/>
      <c r="J221" s="27"/>
    </row>
    <row r="222" spans="1:10">
      <c r="A222" s="105"/>
      <c r="B222" s="26"/>
      <c r="C222" s="109"/>
      <c r="D222" s="27"/>
      <c r="E222" s="27"/>
      <c r="F222" s="27"/>
      <c r="G222" s="27"/>
      <c r="H222" s="109"/>
      <c r="I222" s="27"/>
      <c r="J222" s="27"/>
    </row>
    <row r="223" spans="1:10" ht="13.8" thickBot="1">
      <c r="A223" s="31" t="s">
        <v>525</v>
      </c>
      <c r="B223" s="993"/>
      <c r="C223" s="993"/>
      <c r="D223" s="205"/>
      <c r="E223" s="205"/>
      <c r="F223" s="205"/>
      <c r="G223" s="205"/>
      <c r="H223" s="206"/>
      <c r="I223" s="205"/>
      <c r="J223" s="205"/>
    </row>
    <row r="224" spans="1:10" ht="30.75" customHeight="1">
      <c r="A224" s="808" t="s">
        <v>177</v>
      </c>
      <c r="B224" s="994" t="s">
        <v>798</v>
      </c>
      <c r="C224" s="995"/>
      <c r="D224" s="995"/>
      <c r="E224" s="995"/>
      <c r="F224" s="995"/>
      <c r="G224" s="995"/>
      <c r="H224" s="995"/>
      <c r="I224" s="995"/>
      <c r="J224" s="995"/>
    </row>
    <row r="225" spans="1:10">
      <c r="A225" s="808" t="s">
        <v>178</v>
      </c>
      <c r="B225" s="985" t="s">
        <v>270</v>
      </c>
      <c r="C225" s="985"/>
      <c r="D225" s="985"/>
      <c r="E225" s="985"/>
      <c r="F225" s="985"/>
      <c r="G225" s="985"/>
      <c r="H225" s="985"/>
      <c r="I225" s="985"/>
      <c r="J225" s="985"/>
    </row>
    <row r="226" spans="1:10" s="13" customFormat="1" ht="22.5" customHeight="1">
      <c r="A226" s="809" t="s">
        <v>64</v>
      </c>
      <c r="B226" s="267" t="s">
        <v>530</v>
      </c>
      <c r="C226" s="253"/>
      <c r="D226" s="253"/>
      <c r="E226" s="253"/>
      <c r="F226" s="253"/>
      <c r="G226" s="253"/>
      <c r="H226" s="254"/>
      <c r="I226" s="255"/>
      <c r="J226" s="256"/>
    </row>
    <row r="227" spans="1:10" ht="44.25" customHeight="1">
      <c r="A227" s="808" t="s">
        <v>512</v>
      </c>
      <c r="B227" s="985" t="s">
        <v>900</v>
      </c>
      <c r="C227" s="985"/>
      <c r="D227" s="985"/>
      <c r="E227" s="985"/>
      <c r="F227" s="985"/>
      <c r="G227" s="985"/>
      <c r="H227" s="985"/>
      <c r="I227" s="985"/>
      <c r="J227" s="985"/>
    </row>
    <row r="228" spans="1:10" s="13" customFormat="1" ht="37.5" customHeight="1">
      <c r="A228" s="809" t="s">
        <v>66</v>
      </c>
      <c r="B228" s="990" t="s">
        <v>794</v>
      </c>
      <c r="C228" s="990"/>
      <c r="D228" s="990"/>
      <c r="E228" s="990"/>
      <c r="F228" s="990"/>
      <c r="G228" s="990"/>
      <c r="H228" s="990"/>
      <c r="I228" s="990"/>
      <c r="J228" s="990"/>
    </row>
    <row r="229" spans="1:10" ht="30.75" customHeight="1">
      <c r="A229" s="809" t="s">
        <v>67</v>
      </c>
      <c r="B229" s="996" t="s">
        <v>631</v>
      </c>
      <c r="C229" s="996"/>
      <c r="D229" s="996"/>
      <c r="E229" s="996"/>
      <c r="F229" s="996"/>
      <c r="G229" s="996"/>
      <c r="H229" s="996"/>
      <c r="I229" s="996"/>
      <c r="J229" s="996"/>
    </row>
    <row r="230" spans="1:10" ht="19.5" customHeight="1">
      <c r="A230" s="808" t="s">
        <v>68</v>
      </c>
      <c r="B230" s="985" t="s">
        <v>578</v>
      </c>
      <c r="C230" s="985"/>
      <c r="D230" s="985"/>
      <c r="E230" s="985"/>
      <c r="F230" s="985"/>
      <c r="G230" s="985"/>
      <c r="H230" s="985"/>
      <c r="I230" s="985"/>
      <c r="J230" s="985"/>
    </row>
    <row r="231" spans="1:10" ht="39" customHeight="1">
      <c r="A231" s="808" t="s">
        <v>69</v>
      </c>
      <c r="B231" s="985" t="s">
        <v>517</v>
      </c>
      <c r="C231" s="985"/>
      <c r="D231" s="985"/>
      <c r="E231" s="985"/>
      <c r="F231" s="985"/>
      <c r="G231" s="985"/>
      <c r="H231" s="985"/>
      <c r="I231" s="985"/>
      <c r="J231" s="985"/>
    </row>
    <row r="232" spans="1:10" ht="35.25" customHeight="1">
      <c r="A232" s="810" t="s">
        <v>70</v>
      </c>
      <c r="B232" s="985" t="s">
        <v>721</v>
      </c>
      <c r="C232" s="985"/>
      <c r="D232" s="985"/>
      <c r="E232" s="985"/>
      <c r="F232" s="985"/>
      <c r="G232" s="985"/>
      <c r="H232" s="985"/>
      <c r="I232" s="985"/>
      <c r="J232" s="985"/>
    </row>
    <row r="233" spans="1:10" s="215" customFormat="1" ht="28.5" customHeight="1">
      <c r="A233" s="808" t="s">
        <v>71</v>
      </c>
      <c r="B233" s="985" t="s">
        <v>897</v>
      </c>
      <c r="C233" s="985"/>
      <c r="D233" s="985"/>
      <c r="E233" s="985"/>
      <c r="F233" s="985"/>
      <c r="G233" s="985"/>
      <c r="H233" s="985"/>
      <c r="I233" s="985"/>
      <c r="J233" s="985"/>
    </row>
    <row r="234" spans="1:10" s="215" customFormat="1" ht="18.75" customHeight="1">
      <c r="A234" s="808" t="s">
        <v>99</v>
      </c>
      <c r="B234" s="252" t="s">
        <v>522</v>
      </c>
      <c r="C234" s="837"/>
      <c r="D234" s="837"/>
      <c r="E234" s="837"/>
      <c r="F234" s="837"/>
      <c r="G234" s="837"/>
      <c r="H234" s="837"/>
      <c r="I234" s="837"/>
      <c r="J234" s="837"/>
    </row>
    <row r="235" spans="1:10" ht="49.5" customHeight="1">
      <c r="A235" s="810" t="s">
        <v>116</v>
      </c>
      <c r="B235" s="985" t="s">
        <v>796</v>
      </c>
      <c r="C235" s="985"/>
      <c r="D235" s="985"/>
      <c r="E235" s="985"/>
      <c r="F235" s="985"/>
      <c r="G235" s="985"/>
      <c r="H235" s="985"/>
      <c r="I235" s="985"/>
      <c r="J235" s="985"/>
    </row>
    <row r="236" spans="1:10" ht="51" customHeight="1">
      <c r="A236" s="986" t="s">
        <v>532</v>
      </c>
      <c r="B236" s="985" t="s">
        <v>179</v>
      </c>
      <c r="C236" s="985"/>
      <c r="D236" s="985"/>
      <c r="E236" s="985"/>
      <c r="F236" s="985"/>
      <c r="G236" s="985"/>
      <c r="H236" s="985"/>
      <c r="I236" s="985"/>
      <c r="J236" s="985"/>
    </row>
    <row r="237" spans="1:10">
      <c r="A237" s="986"/>
      <c r="B237" s="252" t="s">
        <v>72</v>
      </c>
      <c r="C237" s="252" t="s">
        <v>666</v>
      </c>
      <c r="D237" s="979">
        <v>0.21</v>
      </c>
      <c r="E237" s="252" t="s">
        <v>333</v>
      </c>
      <c r="F237" s="252"/>
      <c r="G237" s="252"/>
      <c r="H237" s="252"/>
      <c r="I237" s="252"/>
      <c r="J237" s="252"/>
    </row>
    <row r="238" spans="1:10">
      <c r="A238" s="986"/>
      <c r="B238" s="252"/>
      <c r="C238" s="252" t="s">
        <v>73</v>
      </c>
      <c r="D238" s="978">
        <v>9.9900000000000003E-2</v>
      </c>
      <c r="E238" s="252" t="s">
        <v>112</v>
      </c>
      <c r="F238" s="252"/>
      <c r="G238" s="252"/>
      <c r="H238" s="252"/>
      <c r="I238" s="252"/>
      <c r="J238" s="252"/>
    </row>
    <row r="239" spans="1:10">
      <c r="A239" s="986"/>
      <c r="B239" s="252"/>
      <c r="C239" s="252" t="s">
        <v>74</v>
      </c>
      <c r="D239" s="386">
        <v>0</v>
      </c>
      <c r="E239" s="252" t="s">
        <v>113</v>
      </c>
      <c r="F239" s="252"/>
      <c r="G239" s="252"/>
      <c r="H239" s="252"/>
      <c r="I239" s="252"/>
      <c r="J239" s="252"/>
    </row>
    <row r="240" spans="1:10">
      <c r="A240" s="986"/>
      <c r="B240" s="252"/>
      <c r="C240" s="252" t="s">
        <v>114</v>
      </c>
      <c r="D240" s="386">
        <v>0</v>
      </c>
      <c r="E240" s="252" t="s">
        <v>115</v>
      </c>
      <c r="F240" s="252"/>
      <c r="G240" s="252"/>
      <c r="H240" s="252"/>
      <c r="I240" s="252"/>
      <c r="J240" s="252"/>
    </row>
    <row r="241" spans="1:10" ht="47.25" customHeight="1">
      <c r="A241" s="850" t="s">
        <v>540</v>
      </c>
      <c r="B241" s="989" t="s">
        <v>903</v>
      </c>
      <c r="C241" s="989"/>
      <c r="D241" s="989"/>
      <c r="E241" s="989"/>
      <c r="F241" s="989"/>
      <c r="G241" s="989"/>
      <c r="H241" s="989"/>
      <c r="I241" s="989"/>
      <c r="J241" s="989"/>
    </row>
    <row r="242" spans="1:10" ht="19.5" customHeight="1">
      <c r="A242" s="808" t="s">
        <v>118</v>
      </c>
      <c r="B242" s="985" t="s">
        <v>117</v>
      </c>
      <c r="C242" s="985"/>
      <c r="D242" s="985"/>
      <c r="E242" s="985"/>
      <c r="F242" s="985"/>
      <c r="G242" s="985"/>
      <c r="H242" s="985"/>
      <c r="I242" s="985"/>
      <c r="J242" s="985"/>
    </row>
    <row r="243" spans="1:10" s="565" customFormat="1" ht="99" customHeight="1">
      <c r="A243" s="808" t="s">
        <v>119</v>
      </c>
      <c r="B243" s="987" t="s">
        <v>906</v>
      </c>
      <c r="C243" s="987"/>
      <c r="D243" s="987"/>
      <c r="E243" s="987"/>
      <c r="F243" s="987"/>
      <c r="G243" s="987"/>
      <c r="H243" s="987"/>
      <c r="I243" s="987"/>
      <c r="J243" s="987"/>
    </row>
    <row r="244" spans="1:10" s="215" customFormat="1" ht="30.75" customHeight="1">
      <c r="A244" s="809" t="s">
        <v>120</v>
      </c>
      <c r="B244" s="988" t="s">
        <v>790</v>
      </c>
      <c r="C244" s="988"/>
      <c r="D244" s="988"/>
      <c r="E244" s="988"/>
      <c r="F244" s="988"/>
      <c r="G244" s="988"/>
      <c r="H244" s="988"/>
      <c r="I244" s="988"/>
      <c r="J244" s="988"/>
    </row>
    <row r="245" spans="1:10" s="215" customFormat="1" ht="31.5" customHeight="1">
      <c r="A245" s="809" t="s">
        <v>543</v>
      </c>
      <c r="B245" s="985" t="s">
        <v>549</v>
      </c>
      <c r="C245" s="985"/>
      <c r="D245" s="985"/>
      <c r="E245" s="985"/>
      <c r="F245" s="985"/>
      <c r="G245" s="985"/>
      <c r="H245" s="985"/>
      <c r="I245" s="985"/>
      <c r="J245" s="985"/>
    </row>
    <row r="246" spans="1:10" ht="21" customHeight="1">
      <c r="A246" s="808" t="s">
        <v>545</v>
      </c>
      <c r="B246" s="985" t="s">
        <v>632</v>
      </c>
      <c r="C246" s="985"/>
      <c r="D246" s="985"/>
      <c r="E246" s="985"/>
      <c r="F246" s="985"/>
      <c r="G246" s="985"/>
      <c r="H246" s="985"/>
      <c r="I246" s="985"/>
      <c r="J246" s="985"/>
    </row>
    <row r="247" spans="1:10">
      <c r="A247" s="808" t="s">
        <v>547</v>
      </c>
      <c r="B247" s="985" t="s">
        <v>548</v>
      </c>
      <c r="C247" s="985"/>
      <c r="D247" s="985"/>
      <c r="E247" s="985"/>
      <c r="F247" s="985"/>
      <c r="G247" s="985"/>
      <c r="H247" s="985"/>
      <c r="I247" s="985"/>
      <c r="J247" s="985"/>
    </row>
    <row r="248" spans="1:10" s="321" customFormat="1">
      <c r="A248" s="811" t="s">
        <v>235</v>
      </c>
      <c r="B248" s="501" t="s">
        <v>577</v>
      </c>
      <c r="C248" s="492"/>
      <c r="D248" s="492"/>
      <c r="E248" s="492"/>
      <c r="F248" s="492"/>
      <c r="G248" s="492"/>
      <c r="H248" s="492"/>
      <c r="I248" s="492"/>
      <c r="J248" s="492"/>
    </row>
    <row r="249" spans="1:10" s="321" customFormat="1" ht="43.5" customHeight="1">
      <c r="A249" s="811" t="s">
        <v>893</v>
      </c>
      <c r="B249" s="990" t="s">
        <v>902</v>
      </c>
      <c r="C249" s="990"/>
      <c r="D249" s="990"/>
      <c r="E249" s="990"/>
      <c r="F249" s="990"/>
      <c r="G249" s="990"/>
      <c r="H249" s="990"/>
      <c r="I249" s="990"/>
      <c r="J249" s="491"/>
    </row>
  </sheetData>
  <customSheetViews>
    <customSheetView guid="{63AFAF34-E340-4B5E-A289-FFB7051CA9B6}" scale="90" showPageBreaks="1" topLeftCell="A34">
      <selection activeCell="D72" sqref="D72"/>
      <rowBreaks count="4" manualBreakCount="4">
        <brk id="52" max="10" man="1"/>
        <brk id="107" max="16383" man="1"/>
        <brk id="171" max="10" man="1"/>
        <brk id="213" max="16383" man="1"/>
      </rowBreaks>
      <pageMargins left="0.25" right="0.25" top="0.5" bottom="0.5" header="0.3" footer="0.3"/>
      <pageSetup scale="59" fitToHeight="0" orientation="landscape" cellComments="asDisplayed" r:id="rId1"/>
    </customSheetView>
    <customSheetView guid="{F1DC5514-577A-46EB-866C-26F0BED2C286}" scale="90" topLeftCell="A163">
      <selection activeCell="G203" sqref="G203"/>
      <rowBreaks count="4" manualBreakCount="4">
        <brk id="51" max="10" man="1"/>
        <brk id="106" max="16383" man="1"/>
        <brk id="170" max="10" man="1"/>
        <brk id="212" max="16383" man="1"/>
      </rowBreaks>
      <pageMargins left="0.25" right="0.25" top="0.5" bottom="0.5" header="0.3" footer="0.3"/>
      <pageSetup scale="58" fitToHeight="0" orientation="landscape" cellComments="asDisplayed" r:id="rId2"/>
    </customSheetView>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3"/>
    </customSheetView>
  </customSheetViews>
  <mergeCells count="25">
    <mergeCell ref="B249:I249"/>
    <mergeCell ref="A59:J59"/>
    <mergeCell ref="A113:J113"/>
    <mergeCell ref="A178:J178"/>
    <mergeCell ref="B235:J235"/>
    <mergeCell ref="A219:J219"/>
    <mergeCell ref="B223:C223"/>
    <mergeCell ref="B232:J232"/>
    <mergeCell ref="B227:J227"/>
    <mergeCell ref="B230:J230"/>
    <mergeCell ref="B231:J231"/>
    <mergeCell ref="B233:J233"/>
    <mergeCell ref="B228:J228"/>
    <mergeCell ref="B225:J225"/>
    <mergeCell ref="B224:J224"/>
    <mergeCell ref="B229:J229"/>
    <mergeCell ref="B245:J245"/>
    <mergeCell ref="B246:J246"/>
    <mergeCell ref="B247:J247"/>
    <mergeCell ref="A236:A240"/>
    <mergeCell ref="B243:J243"/>
    <mergeCell ref="B236:J236"/>
    <mergeCell ref="B242:J242"/>
    <mergeCell ref="B244:J244"/>
    <mergeCell ref="B241:J241"/>
  </mergeCells>
  <phoneticPr fontId="0" type="noConversion"/>
  <pageMargins left="0.25" right="0.25" top="0.5" bottom="0.5" header="0.3" footer="0.3"/>
  <pageSetup scale="59" fitToHeight="0" orientation="landscape" cellComments="asDisplayed" r:id="rId4"/>
  <rowBreaks count="4" manualBreakCount="4">
    <brk id="52" max="10" man="1"/>
    <brk id="107" max="16383" man="1"/>
    <brk id="171" max="10" man="1"/>
    <brk id="2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view="pageBreakPreview" zoomScale="85" zoomScaleNormal="100" zoomScaleSheetLayoutView="85" workbookViewId="0"/>
  </sheetViews>
  <sheetFormatPr defaultColWidth="8.90625" defaultRowHeight="13.2"/>
  <cols>
    <col min="1" max="1" width="6" style="23" customWidth="1"/>
    <col min="2" max="2" width="1.453125" style="23" customWidth="1"/>
    <col min="3" max="3" width="13.453125" style="23" customWidth="1"/>
    <col min="4" max="4" width="13.54296875" style="539" customWidth="1"/>
    <col min="5" max="5" width="24.6328125" style="23" customWidth="1"/>
    <col min="6" max="6" width="17.1796875" style="23" customWidth="1"/>
    <col min="7" max="7" width="10.36328125" style="23" customWidth="1"/>
    <col min="8" max="8" width="11.453125" style="23" customWidth="1"/>
    <col min="9" max="9" width="11.1796875" style="23" bestFit="1" customWidth="1"/>
    <col min="10" max="10" width="9.08984375" style="23" customWidth="1"/>
    <col min="11" max="11" width="10.36328125" style="23" customWidth="1"/>
    <col min="12" max="12" width="5.81640625" style="410" customWidth="1"/>
    <col min="13" max="13" width="13.54296875" style="23" customWidth="1"/>
    <col min="14" max="14" width="12.54296875" style="23" customWidth="1"/>
    <col min="15" max="15" width="12.453125" style="23" bestFit="1" customWidth="1"/>
    <col min="16" max="16" width="12.453125" style="23" customWidth="1"/>
    <col min="17" max="17" width="11.6328125" style="23" bestFit="1" customWidth="1"/>
    <col min="18" max="18" width="10.36328125" style="23" bestFit="1" customWidth="1"/>
    <col min="19" max="19" width="11.81640625" style="23" customWidth="1"/>
    <col min="20" max="20" width="9.36328125" style="23" customWidth="1"/>
    <col min="21" max="21" width="10.81640625" style="23" customWidth="1"/>
    <col min="22" max="16384" width="8.90625" style="23"/>
  </cols>
  <sheetData>
    <row r="1" spans="1:23">
      <c r="S1" s="51"/>
    </row>
    <row r="2" spans="1:23">
      <c r="K2" s="23" t="s">
        <v>303</v>
      </c>
      <c r="S2" s="51"/>
    </row>
    <row r="3" spans="1:23">
      <c r="F3" s="18" t="s">
        <v>181</v>
      </c>
      <c r="S3" s="51"/>
    </row>
    <row r="4" spans="1:23">
      <c r="E4" s="17"/>
      <c r="F4" s="18" t="s">
        <v>579</v>
      </c>
      <c r="G4" s="17"/>
      <c r="I4" s="17"/>
      <c r="J4" s="17"/>
      <c r="K4" s="17"/>
      <c r="L4" s="406"/>
      <c r="M4" s="22"/>
      <c r="N4" s="52"/>
      <c r="O4" s="53"/>
      <c r="P4" s="53"/>
      <c r="Q4" s="53"/>
      <c r="R4" s="53"/>
      <c r="S4" s="53"/>
      <c r="T4" s="24"/>
      <c r="U4" s="54"/>
      <c r="V4" s="54"/>
      <c r="W4" s="24"/>
    </row>
    <row r="5" spans="1:23">
      <c r="E5" s="17"/>
      <c r="F5" s="212" t="str">
        <f>+'Attachment H-29A'!D5</f>
        <v>Transource Pennsylvania, LLC</v>
      </c>
      <c r="G5" s="20"/>
      <c r="I5" s="20"/>
      <c r="J5" s="20"/>
      <c r="K5" s="20"/>
      <c r="L5" s="408"/>
      <c r="M5" s="22"/>
      <c r="R5" s="24"/>
      <c r="S5" s="22"/>
      <c r="T5" s="24"/>
      <c r="U5" s="55"/>
      <c r="V5" s="54"/>
      <c r="W5" s="24"/>
    </row>
    <row r="6" spans="1:23">
      <c r="C6" s="24"/>
      <c r="D6" s="540"/>
      <c r="E6" s="24"/>
      <c r="G6" s="24"/>
      <c r="I6" s="24"/>
      <c r="J6" s="24"/>
      <c r="K6" s="24"/>
      <c r="L6" s="24"/>
      <c r="M6" s="24"/>
      <c r="R6" s="24"/>
      <c r="S6" s="24"/>
      <c r="T6" s="24"/>
      <c r="U6" s="54"/>
      <c r="V6" s="54"/>
      <c r="W6" s="24"/>
    </row>
    <row r="7" spans="1:23">
      <c r="A7" s="18"/>
      <c r="C7" s="24"/>
      <c r="D7" s="540"/>
      <c r="E7" s="24"/>
      <c r="F7" s="24"/>
      <c r="G7" s="24"/>
      <c r="H7" s="56"/>
      <c r="I7" s="24"/>
      <c r="J7" s="24"/>
      <c r="K7" s="24"/>
      <c r="L7" s="24"/>
      <c r="M7" s="24"/>
      <c r="N7" s="24"/>
      <c r="O7" s="24"/>
      <c r="P7" s="24"/>
      <c r="Q7" s="24"/>
      <c r="R7" s="24"/>
      <c r="S7" s="24"/>
      <c r="T7" s="24"/>
      <c r="U7" s="54"/>
      <c r="V7" s="54"/>
      <c r="W7" s="24"/>
    </row>
    <row r="8" spans="1:23">
      <c r="A8" s="18"/>
      <c r="C8" s="24" t="s">
        <v>745</v>
      </c>
      <c r="D8" s="540"/>
      <c r="E8" s="24"/>
      <c r="F8" s="24"/>
      <c r="G8" s="24"/>
      <c r="H8" s="56"/>
      <c r="I8" s="24"/>
      <c r="J8" s="24"/>
      <c r="K8" s="24"/>
      <c r="L8" s="24"/>
      <c r="M8" s="24"/>
      <c r="N8" s="24"/>
      <c r="O8" s="24"/>
      <c r="P8" s="24"/>
      <c r="Q8" s="24"/>
      <c r="R8" s="24"/>
      <c r="S8" s="24"/>
      <c r="T8" s="24"/>
      <c r="U8" s="54"/>
      <c r="V8" s="54"/>
      <c r="W8" s="24"/>
    </row>
    <row r="9" spans="1:23">
      <c r="A9" s="18"/>
      <c r="C9" s="24"/>
      <c r="D9" s="540"/>
      <c r="E9" s="24"/>
      <c r="F9" s="24"/>
      <c r="G9" s="24"/>
      <c r="H9" s="24"/>
      <c r="N9" s="57"/>
      <c r="O9" s="57"/>
      <c r="P9" s="57"/>
      <c r="Q9" s="57"/>
      <c r="R9" s="24"/>
      <c r="S9" s="24"/>
      <c r="T9" s="24"/>
      <c r="U9" s="24"/>
      <c r="V9" s="24"/>
      <c r="W9" s="24"/>
    </row>
    <row r="10" spans="1:23">
      <c r="C10" s="58" t="s">
        <v>3</v>
      </c>
      <c r="D10" s="547"/>
      <c r="E10" s="58"/>
      <c r="F10" s="58" t="s">
        <v>4</v>
      </c>
      <c r="G10" s="58"/>
      <c r="I10" s="58" t="s">
        <v>5</v>
      </c>
      <c r="K10" s="59" t="s">
        <v>6</v>
      </c>
      <c r="L10" s="59"/>
      <c r="O10" s="59"/>
      <c r="P10" s="59"/>
      <c r="Q10" s="59"/>
      <c r="R10" s="20"/>
      <c r="S10" s="59"/>
      <c r="T10" s="20"/>
      <c r="U10" s="59"/>
      <c r="V10" s="20"/>
      <c r="W10" s="60"/>
    </row>
    <row r="11" spans="1:23">
      <c r="C11" s="60"/>
      <c r="D11" s="548"/>
      <c r="E11" s="60"/>
      <c r="F11" s="61" t="s">
        <v>744</v>
      </c>
      <c r="G11" s="61"/>
      <c r="I11" s="20"/>
      <c r="R11" s="20"/>
      <c r="T11" s="20"/>
      <c r="U11" s="58"/>
      <c r="V11" s="58"/>
      <c r="W11" s="60"/>
    </row>
    <row r="12" spans="1:23">
      <c r="A12" s="18" t="s">
        <v>8</v>
      </c>
      <c r="C12" s="60"/>
      <c r="D12" s="548"/>
      <c r="E12" s="60"/>
      <c r="F12" s="62" t="s">
        <v>17</v>
      </c>
      <c r="G12" s="62"/>
      <c r="I12" s="63" t="s">
        <v>16</v>
      </c>
      <c r="K12" s="63" t="s">
        <v>14</v>
      </c>
      <c r="L12" s="63"/>
      <c r="O12" s="63"/>
      <c r="P12" s="63"/>
      <c r="Q12" s="63"/>
      <c r="R12" s="20"/>
      <c r="T12" s="24"/>
      <c r="U12" s="64"/>
      <c r="V12" s="58"/>
      <c r="W12" s="60"/>
    </row>
    <row r="13" spans="1:23">
      <c r="A13" s="18" t="s">
        <v>10</v>
      </c>
      <c r="C13" s="65"/>
      <c r="D13" s="549"/>
      <c r="E13" s="65"/>
      <c r="F13" s="20"/>
      <c r="G13" s="20"/>
      <c r="I13" s="20"/>
      <c r="K13" s="20"/>
      <c r="L13" s="408"/>
      <c r="O13" s="20"/>
      <c r="P13" s="20"/>
      <c r="Q13" s="20"/>
      <c r="R13" s="20"/>
      <c r="S13" s="20"/>
      <c r="T13" s="24"/>
      <c r="U13" s="20"/>
      <c r="V13" s="20"/>
      <c r="W13" s="60"/>
    </row>
    <row r="14" spans="1:23">
      <c r="A14" s="66"/>
      <c r="C14" s="60"/>
      <c r="D14" s="548"/>
      <c r="E14" s="60"/>
      <c r="F14" s="20"/>
      <c r="G14" s="20"/>
      <c r="I14" s="20"/>
      <c r="K14" s="20"/>
      <c r="L14" s="408"/>
      <c r="O14" s="20"/>
      <c r="P14" s="20"/>
      <c r="Q14" s="20"/>
      <c r="R14" s="20"/>
      <c r="S14" s="20"/>
      <c r="T14" s="24"/>
      <c r="U14" s="20"/>
      <c r="V14" s="20"/>
      <c r="W14" s="60"/>
    </row>
    <row r="15" spans="1:23">
      <c r="A15" s="21">
        <v>1</v>
      </c>
      <c r="C15" s="60" t="s">
        <v>498</v>
      </c>
      <c r="D15" s="548"/>
      <c r="E15" s="60"/>
      <c r="F15" s="67" t="str">
        <f>"Attach H-29A, p 2, line "&amp;'Attachment H-29A'!A66&amp;" col 5 plus line "&amp;'Attachment H-29A'!A92&amp;" col 5 (Note A)"</f>
        <v>Attach H-29A, p 2, line 2 col 5 plus line 25 col 5 (Note A)</v>
      </c>
      <c r="G15" s="21"/>
      <c r="I15" s="47">
        <f>+'Attachment H-29A'!I66+'Attachment H-29A'!I92</f>
        <v>79472827.156153843</v>
      </c>
      <c r="R15" s="20"/>
      <c r="S15" s="20"/>
      <c r="T15" s="24"/>
      <c r="U15" s="20"/>
      <c r="V15" s="20"/>
      <c r="W15" s="60"/>
    </row>
    <row r="16" spans="1:23">
      <c r="A16" s="21">
        <v>2</v>
      </c>
      <c r="C16" s="60" t="s">
        <v>499</v>
      </c>
      <c r="D16" s="548"/>
      <c r="E16" s="60"/>
      <c r="F16" s="67" t="str">
        <f>"Attach H-29A, p 2, line "&amp;'Attachment H-29A'!A80&amp;" col 5 plus line "&amp;'Attachment H-29A'!A92&amp;" &amp; "&amp;'Attachment H-29A'!A94&amp;" col 5 (Note B)"</f>
        <v>Attach H-29A, p 2, line 14 col 5 plus line 25 &amp; 27 col 5 (Note B)</v>
      </c>
      <c r="G16" s="21"/>
      <c r="I16" s="47">
        <f>+'Attachment H-29A'!I80+'Attachment H-29A'!I92+'Attachment H-29A'!I94</f>
        <v>79472827.156153843</v>
      </c>
      <c r="R16" s="20"/>
      <c r="S16" s="20"/>
      <c r="T16" s="24"/>
      <c r="U16" s="20"/>
      <c r="V16" s="20"/>
      <c r="W16" s="60"/>
    </row>
    <row r="17" spans="1:23">
      <c r="A17" s="21"/>
      <c r="F17" s="67"/>
      <c r="G17" s="21"/>
      <c r="R17" s="20"/>
      <c r="S17" s="20"/>
      <c r="T17" s="24"/>
      <c r="U17" s="20"/>
      <c r="V17" s="20"/>
      <c r="W17" s="60"/>
    </row>
    <row r="18" spans="1:23">
      <c r="A18" s="21"/>
      <c r="C18" s="60" t="s">
        <v>121</v>
      </c>
      <c r="D18" s="548"/>
      <c r="E18" s="60"/>
      <c r="F18" s="67"/>
      <c r="G18" s="21"/>
      <c r="I18" s="20"/>
      <c r="K18" s="20"/>
      <c r="L18" s="408"/>
      <c r="O18" s="20"/>
      <c r="P18" s="20"/>
      <c r="Q18" s="20"/>
      <c r="R18" s="20"/>
      <c r="S18" s="20"/>
      <c r="T18" s="20"/>
      <c r="U18" s="20"/>
      <c r="V18" s="20"/>
      <c r="W18" s="60"/>
    </row>
    <row r="19" spans="1:23">
      <c r="A19" s="21">
        <v>3</v>
      </c>
      <c r="C19" s="60" t="s">
        <v>122</v>
      </c>
      <c r="D19" s="548"/>
      <c r="E19" s="60"/>
      <c r="F19" s="67" t="s">
        <v>866</v>
      </c>
      <c r="G19" s="21"/>
      <c r="I19" s="47">
        <f>+'Attachment H-29A'!I134</f>
        <v>998186.97597503022</v>
      </c>
      <c r="R19" s="20"/>
      <c r="S19" s="20"/>
      <c r="T19" s="20"/>
      <c r="U19" s="20"/>
      <c r="V19" s="20"/>
      <c r="W19" s="60"/>
    </row>
    <row r="20" spans="1:23">
      <c r="A20" s="21">
        <v>4</v>
      </c>
      <c r="C20" s="60" t="s">
        <v>123</v>
      </c>
      <c r="D20" s="548"/>
      <c r="E20" s="60"/>
      <c r="F20" s="67" t="s">
        <v>124</v>
      </c>
      <c r="G20" s="21"/>
      <c r="I20" s="497">
        <f>IF(I19=0,0,+I19/I15)</f>
        <v>1.2560104021639016E-2</v>
      </c>
      <c r="J20" s="388"/>
      <c r="K20" s="68">
        <f>I20</f>
        <v>1.2560104021639016E-2</v>
      </c>
      <c r="L20" s="390"/>
      <c r="O20" s="68"/>
      <c r="P20" s="68"/>
      <c r="Q20" s="68"/>
      <c r="R20" s="20"/>
      <c r="S20" s="69"/>
      <c r="T20" s="70"/>
      <c r="U20" s="71"/>
      <c r="V20" s="20"/>
      <c r="W20" s="60"/>
    </row>
    <row r="21" spans="1:23">
      <c r="A21" s="21"/>
      <c r="C21" s="60"/>
      <c r="D21" s="548"/>
      <c r="E21" s="60"/>
      <c r="F21" s="67"/>
      <c r="G21" s="21"/>
      <c r="I21" s="72"/>
      <c r="K21" s="68"/>
      <c r="L21" s="390"/>
      <c r="O21" s="68"/>
      <c r="P21" s="68"/>
      <c r="Q21" s="68"/>
      <c r="R21" s="20"/>
      <c r="S21" s="69"/>
      <c r="T21" s="70"/>
      <c r="U21" s="71"/>
      <c r="V21" s="20"/>
      <c r="W21" s="60"/>
    </row>
    <row r="22" spans="1:23">
      <c r="A22" s="59"/>
      <c r="C22" s="60" t="s">
        <v>509</v>
      </c>
      <c r="D22" s="548"/>
      <c r="E22" s="60"/>
      <c r="F22" s="211"/>
      <c r="G22" s="50"/>
      <c r="I22" s="20"/>
      <c r="K22" s="497"/>
      <c r="L22" s="389"/>
      <c r="O22" s="20"/>
      <c r="P22" s="20"/>
      <c r="Q22" s="20"/>
      <c r="R22" s="20"/>
      <c r="S22" s="69"/>
      <c r="T22" s="70"/>
      <c r="U22" s="71"/>
      <c r="V22" s="20"/>
      <c r="W22" s="60"/>
    </row>
    <row r="23" spans="1:23">
      <c r="A23" s="59" t="s">
        <v>125</v>
      </c>
      <c r="C23" s="60" t="s">
        <v>508</v>
      </c>
      <c r="D23" s="548"/>
      <c r="E23" s="60"/>
      <c r="F23" s="67" t="s">
        <v>747</v>
      </c>
      <c r="G23" s="21"/>
      <c r="I23" s="47">
        <f>+'Attachment H-29A'!I138</f>
        <v>218296.981843332</v>
      </c>
      <c r="K23" s="497"/>
      <c r="L23" s="389"/>
      <c r="R23" s="20"/>
      <c r="S23" s="69"/>
      <c r="T23" s="70"/>
      <c r="U23" s="71"/>
      <c r="V23" s="20"/>
      <c r="W23" s="60"/>
    </row>
    <row r="24" spans="1:23">
      <c r="A24" s="59" t="s">
        <v>126</v>
      </c>
      <c r="C24" s="60" t="s">
        <v>730</v>
      </c>
      <c r="D24" s="548"/>
      <c r="E24" s="60"/>
      <c r="F24" s="67" t="s">
        <v>127</v>
      </c>
      <c r="G24" s="21"/>
      <c r="I24" s="497">
        <f>IF(I23=0,0,I23/I15)</f>
        <v>2.7468128372280833E-3</v>
      </c>
      <c r="J24" s="48"/>
      <c r="K24" s="68">
        <f>I24</f>
        <v>2.7468128372280833E-3</v>
      </c>
      <c r="L24" s="390"/>
      <c r="O24" s="68"/>
      <c r="P24" s="68"/>
      <c r="Q24" s="68"/>
      <c r="R24" s="20"/>
      <c r="S24" s="69"/>
      <c r="T24" s="70"/>
      <c r="U24" s="71"/>
      <c r="V24" s="20"/>
      <c r="W24" s="60"/>
    </row>
    <row r="25" spans="1:23">
      <c r="A25" s="21"/>
      <c r="C25" s="60"/>
      <c r="D25" s="548"/>
      <c r="E25" s="60"/>
      <c r="F25" s="67"/>
      <c r="G25" s="21"/>
      <c r="I25" s="48"/>
      <c r="J25" s="48"/>
      <c r="K25" s="68"/>
      <c r="L25" s="390"/>
      <c r="O25" s="68"/>
      <c r="P25" s="68"/>
      <c r="Q25" s="68"/>
      <c r="R25" s="20"/>
      <c r="S25" s="69"/>
      <c r="T25" s="70"/>
      <c r="U25" s="71"/>
      <c r="V25" s="20"/>
      <c r="W25" s="60"/>
    </row>
    <row r="26" spans="1:23">
      <c r="A26" s="59"/>
      <c r="C26" s="60" t="s">
        <v>128</v>
      </c>
      <c r="D26" s="548"/>
      <c r="E26" s="60"/>
      <c r="F26" s="211"/>
      <c r="G26" s="50"/>
      <c r="I26" s="48"/>
      <c r="J26" s="48"/>
      <c r="K26" s="497"/>
      <c r="L26" s="389"/>
      <c r="O26" s="20"/>
      <c r="P26" s="20"/>
      <c r="Q26" s="20"/>
      <c r="R26" s="20"/>
      <c r="S26" s="20"/>
      <c r="T26" s="20"/>
      <c r="U26" s="20"/>
      <c r="V26" s="20"/>
      <c r="W26" s="60"/>
    </row>
    <row r="27" spans="1:23">
      <c r="A27" s="59" t="s">
        <v>129</v>
      </c>
      <c r="C27" s="60" t="s">
        <v>130</v>
      </c>
      <c r="D27" s="548"/>
      <c r="E27" s="60"/>
      <c r="F27" s="67" t="s">
        <v>748</v>
      </c>
      <c r="G27" s="21"/>
      <c r="I27" s="47">
        <f>+'Attachment H-29A'!I151</f>
        <v>0</v>
      </c>
      <c r="J27" s="48"/>
      <c r="K27" s="497"/>
      <c r="L27" s="389"/>
      <c r="R27" s="20"/>
      <c r="S27" s="64"/>
      <c r="T27" s="20"/>
      <c r="U27" s="21"/>
      <c r="V27" s="58"/>
      <c r="W27" s="60"/>
    </row>
    <row r="28" spans="1:23">
      <c r="A28" s="59" t="s">
        <v>131</v>
      </c>
      <c r="C28" s="60" t="s">
        <v>132</v>
      </c>
      <c r="D28" s="548"/>
      <c r="E28" s="60"/>
      <c r="F28" s="67" t="s">
        <v>133</v>
      </c>
      <c r="G28" s="21"/>
      <c r="I28" s="497">
        <f>IF(I27=0,0,I27/I15)</f>
        <v>0</v>
      </c>
      <c r="J28" s="48"/>
      <c r="K28" s="68">
        <f>I28</f>
        <v>0</v>
      </c>
      <c r="L28" s="390"/>
      <c r="O28" s="68"/>
      <c r="P28" s="68"/>
      <c r="Q28" s="68"/>
      <c r="R28" s="20"/>
      <c r="S28" s="69"/>
      <c r="T28" s="20"/>
      <c r="U28" s="71"/>
      <c r="V28" s="58"/>
      <c r="W28" s="60"/>
    </row>
    <row r="29" spans="1:23">
      <c r="A29" s="59"/>
      <c r="C29" s="60"/>
      <c r="D29" s="548"/>
      <c r="E29" s="60"/>
      <c r="F29" s="67"/>
      <c r="G29" s="21"/>
      <c r="I29" s="20"/>
      <c r="K29" s="497"/>
      <c r="L29" s="389"/>
      <c r="O29" s="20"/>
      <c r="P29" s="20"/>
      <c r="Q29" s="20"/>
      <c r="R29" s="20"/>
      <c r="V29" s="20"/>
      <c r="W29" s="60"/>
    </row>
    <row r="30" spans="1:23">
      <c r="A30" s="59" t="s">
        <v>134</v>
      </c>
      <c r="C30" s="60" t="s">
        <v>175</v>
      </c>
      <c r="D30" s="548"/>
      <c r="E30" s="60"/>
      <c r="F30" s="67" t="s">
        <v>749</v>
      </c>
      <c r="G30" s="21"/>
      <c r="I30" s="47">
        <f>-'Attachment H-29A'!I18</f>
        <v>0</v>
      </c>
      <c r="K30" s="497"/>
      <c r="L30" s="389"/>
      <c r="O30" s="20"/>
      <c r="P30" s="20"/>
      <c r="Q30" s="20"/>
      <c r="R30" s="20"/>
      <c r="V30" s="20"/>
      <c r="W30" s="60"/>
    </row>
    <row r="31" spans="1:23">
      <c r="A31" s="59" t="s">
        <v>137</v>
      </c>
      <c r="C31" s="60" t="s">
        <v>378</v>
      </c>
      <c r="D31" s="548"/>
      <c r="E31" s="60"/>
      <c r="F31" s="67" t="s">
        <v>170</v>
      </c>
      <c r="G31" s="21"/>
      <c r="I31" s="496">
        <f>IF(I30=0,0,I30/I15)</f>
        <v>0</v>
      </c>
      <c r="K31" s="497">
        <f>+I31</f>
        <v>0</v>
      </c>
      <c r="L31" s="389"/>
      <c r="O31" s="20"/>
      <c r="P31" s="20"/>
      <c r="Q31" s="20"/>
      <c r="R31" s="20"/>
      <c r="V31" s="20"/>
      <c r="W31" s="60"/>
    </row>
    <row r="32" spans="1:23">
      <c r="A32" s="59"/>
      <c r="C32" s="60"/>
      <c r="D32" s="548"/>
      <c r="E32" s="60"/>
      <c r="F32" s="67"/>
      <c r="G32" s="21"/>
      <c r="I32" s="20"/>
      <c r="K32" s="497"/>
      <c r="L32" s="389"/>
      <c r="O32" s="20"/>
      <c r="P32" s="20"/>
      <c r="Q32" s="20"/>
      <c r="R32" s="20"/>
      <c r="V32" s="20"/>
      <c r="W32" s="60"/>
    </row>
    <row r="33" spans="1:23">
      <c r="A33" s="73" t="s">
        <v>138</v>
      </c>
      <c r="B33" s="74"/>
      <c r="C33" s="65" t="s">
        <v>135</v>
      </c>
      <c r="D33" s="549"/>
      <c r="E33" s="65"/>
      <c r="F33" s="75" t="s">
        <v>171</v>
      </c>
      <c r="G33" s="61"/>
      <c r="I33" s="70"/>
      <c r="K33" s="76">
        <f>K20+K24+K28+K31</f>
        <v>1.5306916858867099E-2</v>
      </c>
      <c r="L33" s="391"/>
      <c r="O33" s="76"/>
      <c r="P33" s="76"/>
      <c r="Q33" s="76"/>
      <c r="R33" s="20"/>
      <c r="V33" s="20"/>
      <c r="W33" s="60"/>
    </row>
    <row r="34" spans="1:23">
      <c r="A34" s="59"/>
      <c r="C34" s="60"/>
      <c r="D34" s="548"/>
      <c r="E34" s="60"/>
      <c r="F34" s="67"/>
      <c r="G34" s="21"/>
      <c r="I34" s="20"/>
      <c r="K34" s="497"/>
      <c r="L34" s="389"/>
      <c r="O34" s="20"/>
      <c r="P34" s="20"/>
      <c r="Q34" s="20"/>
      <c r="R34" s="20"/>
      <c r="S34" s="20"/>
      <c r="T34" s="20"/>
      <c r="U34" s="77"/>
      <c r="V34" s="20"/>
      <c r="W34" s="60"/>
    </row>
    <row r="35" spans="1:23">
      <c r="A35" s="59"/>
      <c r="B35" s="78"/>
      <c r="C35" s="20" t="s">
        <v>136</v>
      </c>
      <c r="D35" s="538"/>
      <c r="E35" s="20"/>
      <c r="F35" s="67"/>
      <c r="G35" s="21"/>
      <c r="I35" s="20"/>
      <c r="K35" s="497"/>
      <c r="L35" s="389"/>
      <c r="O35" s="20"/>
      <c r="P35" s="20"/>
      <c r="Q35" s="20"/>
      <c r="R35" s="79"/>
      <c r="S35" s="78"/>
      <c r="V35" s="58"/>
      <c r="W35" s="20" t="s">
        <v>2</v>
      </c>
    </row>
    <row r="36" spans="1:23">
      <c r="A36" s="59" t="s">
        <v>140</v>
      </c>
      <c r="B36" s="78"/>
      <c r="C36" s="20" t="s">
        <v>42</v>
      </c>
      <c r="D36" s="538"/>
      <c r="E36" s="20"/>
      <c r="F36" s="67" t="s">
        <v>750</v>
      </c>
      <c r="G36" s="21"/>
      <c r="I36" s="47">
        <f>+'Attachment H-29A'!I166</f>
        <v>2085060.7607977286</v>
      </c>
      <c r="K36" s="497"/>
      <c r="L36" s="389"/>
      <c r="O36" s="20"/>
      <c r="P36" s="20"/>
      <c r="Q36" s="20"/>
      <c r="R36" s="79"/>
      <c r="S36" s="78"/>
      <c r="V36" s="58"/>
      <c r="W36" s="20"/>
    </row>
    <row r="37" spans="1:23">
      <c r="A37" s="59" t="s">
        <v>142</v>
      </c>
      <c r="B37" s="78"/>
      <c r="C37" s="20" t="s">
        <v>139</v>
      </c>
      <c r="D37" s="538"/>
      <c r="E37" s="20"/>
      <c r="F37" s="67" t="s">
        <v>144</v>
      </c>
      <c r="G37" s="21"/>
      <c r="I37" s="497">
        <f>IF(I16=0,0,I36/I16)</f>
        <v>2.6236146811549229E-2</v>
      </c>
      <c r="K37" s="68">
        <f>I37</f>
        <v>2.6236146811549229E-2</v>
      </c>
      <c r="L37" s="390"/>
      <c r="O37" s="68"/>
      <c r="P37" s="68"/>
      <c r="Q37" s="68"/>
      <c r="R37" s="79"/>
      <c r="S37" s="78"/>
      <c r="T37" s="20"/>
      <c r="U37" s="20"/>
      <c r="V37" s="58"/>
      <c r="W37" s="20"/>
    </row>
    <row r="38" spans="1:23">
      <c r="A38" s="59"/>
      <c r="C38" s="20"/>
      <c r="D38" s="538"/>
      <c r="E38" s="20"/>
      <c r="F38" s="67"/>
      <c r="G38" s="21"/>
      <c r="I38" s="20"/>
      <c r="K38" s="497"/>
      <c r="L38" s="389"/>
      <c r="O38" s="20"/>
      <c r="P38" s="20"/>
      <c r="Q38" s="20"/>
      <c r="R38" s="20"/>
      <c r="T38" s="24"/>
      <c r="U38" s="20"/>
      <c r="V38" s="24"/>
      <c r="W38" s="60"/>
    </row>
    <row r="39" spans="1:23">
      <c r="A39" s="59"/>
      <c r="C39" s="60" t="s">
        <v>43</v>
      </c>
      <c r="D39" s="548"/>
      <c r="E39" s="60"/>
      <c r="F39" s="80"/>
      <c r="G39" s="81"/>
      <c r="K39" s="497"/>
      <c r="L39" s="389"/>
      <c r="R39" s="20"/>
      <c r="T39" s="20"/>
      <c r="U39" s="20"/>
      <c r="V39" s="20"/>
      <c r="W39" s="60"/>
    </row>
    <row r="40" spans="1:23">
      <c r="A40" s="59" t="s">
        <v>145</v>
      </c>
      <c r="C40" s="60" t="s">
        <v>141</v>
      </c>
      <c r="D40" s="548"/>
      <c r="E40" s="60"/>
      <c r="F40" s="67" t="s">
        <v>751</v>
      </c>
      <c r="G40" s="21"/>
      <c r="I40" s="47">
        <f>+'Attachment H-29A'!I169</f>
        <v>5765894.6769256014</v>
      </c>
      <c r="K40" s="497"/>
      <c r="L40" s="389"/>
      <c r="O40" s="20"/>
      <c r="P40" s="20"/>
      <c r="Q40" s="20"/>
      <c r="R40" s="20"/>
      <c r="T40" s="20"/>
      <c r="U40" s="20"/>
      <c r="V40" s="20"/>
      <c r="W40" s="60"/>
    </row>
    <row r="41" spans="1:23">
      <c r="A41" s="59" t="s">
        <v>168</v>
      </c>
      <c r="B41" s="78"/>
      <c r="C41" s="20" t="s">
        <v>143</v>
      </c>
      <c r="D41" s="538"/>
      <c r="E41" s="20"/>
      <c r="F41" s="67" t="s">
        <v>329</v>
      </c>
      <c r="G41" s="21"/>
      <c r="I41" s="497">
        <f>IF(I16=0,0,I40/I16)</f>
        <v>7.2551775031185983E-2</v>
      </c>
      <c r="K41" s="68">
        <f>I41</f>
        <v>7.2551775031185983E-2</v>
      </c>
      <c r="L41" s="390"/>
      <c r="O41" s="68"/>
      <c r="P41" s="68"/>
      <c r="Q41" s="68"/>
      <c r="R41" s="20"/>
      <c r="U41" s="82"/>
      <c r="V41" s="58"/>
      <c r="W41" s="20"/>
    </row>
    <row r="42" spans="1:23">
      <c r="A42" s="59"/>
      <c r="C42" s="60"/>
      <c r="D42" s="548"/>
      <c r="E42" s="60"/>
      <c r="F42" s="67"/>
      <c r="G42" s="21"/>
      <c r="I42" s="388"/>
      <c r="K42" s="497"/>
      <c r="L42" s="389"/>
      <c r="O42" s="20"/>
      <c r="P42" s="20"/>
      <c r="Q42" s="20"/>
      <c r="R42" s="20"/>
      <c r="S42" s="81"/>
      <c r="T42" s="20"/>
      <c r="U42" s="20"/>
      <c r="V42" s="20"/>
      <c r="W42" s="60"/>
    </row>
    <row r="43" spans="1:23">
      <c r="A43" s="73" t="s">
        <v>169</v>
      </c>
      <c r="B43" s="74"/>
      <c r="C43" s="65" t="s">
        <v>146</v>
      </c>
      <c r="D43" s="549"/>
      <c r="E43" s="65"/>
      <c r="F43" s="75" t="s">
        <v>172</v>
      </c>
      <c r="G43" s="61"/>
      <c r="I43" s="497">
        <f>+I41+I37</f>
        <v>9.8787921842735216E-2</v>
      </c>
      <c r="K43" s="76">
        <f>K37+K41</f>
        <v>9.8787921842735216E-2</v>
      </c>
      <c r="L43" s="391"/>
      <c r="O43" s="76"/>
      <c r="P43" s="76"/>
      <c r="Q43" s="76"/>
      <c r="R43" s="20"/>
      <c r="S43" s="81"/>
      <c r="T43" s="20"/>
      <c r="U43" s="20"/>
      <c r="V43" s="20"/>
      <c r="W43" s="60"/>
    </row>
    <row r="44" spans="1:23">
      <c r="R44" s="83"/>
      <c r="S44" s="83"/>
      <c r="T44" s="20"/>
      <c r="U44" s="20"/>
      <c r="V44" s="20"/>
      <c r="W44" s="60"/>
    </row>
    <row r="45" spans="1:23">
      <c r="A45" s="18"/>
      <c r="H45" s="20"/>
      <c r="R45" s="20"/>
      <c r="S45" s="20"/>
      <c r="T45" s="20"/>
      <c r="U45" s="20"/>
      <c r="V45" s="58"/>
      <c r="W45" s="20" t="s">
        <v>2</v>
      </c>
    </row>
    <row r="46" spans="1:23">
      <c r="S46" s="51"/>
    </row>
    <row r="47" spans="1:23">
      <c r="K47" s="23" t="s">
        <v>324</v>
      </c>
      <c r="S47" s="51"/>
      <c r="U47" s="23" t="s">
        <v>323</v>
      </c>
    </row>
    <row r="48" spans="1:23">
      <c r="A48" s="18"/>
      <c r="C48" s="60"/>
      <c r="D48" s="548"/>
      <c r="E48" s="60"/>
      <c r="F48" s="50" t="str">
        <f>+F3</f>
        <v>Attachment 1</v>
      </c>
      <c r="I48" s="50"/>
      <c r="P48" s="50" t="str">
        <f>+F48</f>
        <v>Attachment 1</v>
      </c>
      <c r="R48" s="20"/>
      <c r="S48" s="51"/>
      <c r="T48" s="20"/>
      <c r="U48" s="24"/>
      <c r="V48" s="20"/>
      <c r="W48" s="60"/>
    </row>
    <row r="49" spans="1:23">
      <c r="A49" s="18"/>
      <c r="C49" s="60"/>
      <c r="D49" s="548"/>
      <c r="E49" s="60"/>
      <c r="F49" s="50" t="str">
        <f>+F4</f>
        <v>Project Revenue Requirement Worksheet</v>
      </c>
      <c r="I49" s="50"/>
      <c r="N49" s="20"/>
      <c r="O49" s="20"/>
      <c r="P49" s="546" t="str">
        <f>+F49</f>
        <v>Project Revenue Requirement Worksheet</v>
      </c>
      <c r="Q49" s="20"/>
      <c r="R49" s="20"/>
      <c r="T49" s="20"/>
      <c r="U49" s="24"/>
      <c r="V49" s="20"/>
      <c r="W49" s="60"/>
    </row>
    <row r="50" spans="1:23" ht="14.25" customHeight="1">
      <c r="A50" s="18"/>
      <c r="F50" s="50" t="str">
        <f>+F5</f>
        <v>Transource Pennsylvania, LLC</v>
      </c>
      <c r="P50" s="546" t="str">
        <f>+F50</f>
        <v>Transource Pennsylvania, LLC</v>
      </c>
      <c r="R50" s="20"/>
      <c r="T50" s="20"/>
      <c r="U50" s="24"/>
      <c r="V50" s="20"/>
      <c r="W50" s="60"/>
    </row>
    <row r="51" spans="1:23" s="410" customFormat="1">
      <c r="A51" s="446"/>
      <c r="D51" s="539"/>
      <c r="F51" s="65"/>
      <c r="G51" s="65"/>
      <c r="I51" s="24"/>
      <c r="J51" s="24"/>
      <c r="K51" s="24"/>
      <c r="L51" s="24"/>
      <c r="M51" s="24"/>
      <c r="N51" s="24"/>
      <c r="O51" s="24"/>
      <c r="P51" s="24"/>
      <c r="Q51" s="24"/>
      <c r="R51" s="408"/>
      <c r="S51" s="408"/>
      <c r="T51" s="408"/>
      <c r="U51" s="24"/>
      <c r="V51" s="408"/>
      <c r="W51" s="60"/>
    </row>
    <row r="52" spans="1:23" s="410" customFormat="1" ht="53.25" customHeight="1">
      <c r="A52" s="446"/>
      <c r="C52" s="998" t="s">
        <v>771</v>
      </c>
      <c r="D52" s="998"/>
      <c r="E52" s="998"/>
      <c r="F52" s="998"/>
      <c r="G52" s="998"/>
      <c r="H52" s="998"/>
      <c r="I52" s="998"/>
      <c r="J52" s="998"/>
      <c r="K52" s="998"/>
      <c r="L52" s="445"/>
      <c r="M52" s="24"/>
      <c r="N52" s="24"/>
      <c r="O52" s="24"/>
      <c r="P52" s="24"/>
      <c r="Q52" s="24"/>
      <c r="R52" s="408"/>
      <c r="S52" s="408"/>
      <c r="T52" s="408"/>
      <c r="U52" s="24"/>
      <c r="V52" s="408"/>
      <c r="W52" s="60"/>
    </row>
    <row r="53" spans="1:23" s="410" customFormat="1" ht="28.5" customHeight="1">
      <c r="A53" s="446"/>
      <c r="C53" s="1000" t="s">
        <v>665</v>
      </c>
      <c r="D53" s="1000"/>
      <c r="E53" s="1000"/>
      <c r="F53" s="1000"/>
      <c r="G53" s="1000"/>
      <c r="H53" s="1000"/>
      <c r="I53" s="1000"/>
      <c r="J53" s="1000"/>
      <c r="K53" s="1000"/>
      <c r="L53" s="24"/>
      <c r="M53" s="24"/>
      <c r="N53" s="24"/>
      <c r="O53" s="24"/>
      <c r="P53" s="24"/>
      <c r="Q53" s="24"/>
      <c r="R53" s="408"/>
      <c r="S53" s="408"/>
      <c r="T53" s="408"/>
      <c r="U53" s="24"/>
      <c r="V53" s="408"/>
      <c r="W53" s="60"/>
    </row>
    <row r="54" spans="1:23">
      <c r="A54" s="18"/>
      <c r="F54" s="65"/>
      <c r="G54" s="65"/>
      <c r="I54" s="24"/>
      <c r="J54" s="24"/>
      <c r="K54" s="24"/>
      <c r="L54" s="24"/>
      <c r="M54" s="24"/>
      <c r="N54" s="24"/>
      <c r="O54" s="24"/>
      <c r="P54" s="24"/>
      <c r="Q54" s="24"/>
      <c r="R54" s="20"/>
      <c r="S54" s="20"/>
      <c r="T54" s="20"/>
      <c r="U54" s="24"/>
      <c r="V54" s="20"/>
      <c r="W54" s="60"/>
    </row>
    <row r="55" spans="1:23">
      <c r="A55" s="18"/>
      <c r="C55" s="84">
        <v>-1</v>
      </c>
      <c r="D55" s="550"/>
      <c r="E55" s="84">
        <v>-2</v>
      </c>
      <c r="F55" s="84">
        <v>-3</v>
      </c>
      <c r="G55" s="84">
        <v>-4</v>
      </c>
      <c r="H55" s="84">
        <v>-5</v>
      </c>
      <c r="I55" s="84">
        <v>-6</v>
      </c>
      <c r="J55" s="84">
        <v>-7</v>
      </c>
      <c r="K55" s="84">
        <v>-8</v>
      </c>
      <c r="L55" s="84"/>
      <c r="M55" s="84">
        <v>-9</v>
      </c>
      <c r="N55" s="84">
        <v>-10</v>
      </c>
      <c r="O55" s="84">
        <v>-11</v>
      </c>
      <c r="P55" s="84">
        <v>-12</v>
      </c>
      <c r="Q55" s="84" t="s">
        <v>293</v>
      </c>
      <c r="R55" s="84">
        <v>-13</v>
      </c>
      <c r="S55" s="209" t="s">
        <v>260</v>
      </c>
      <c r="T55" s="209" t="s">
        <v>261</v>
      </c>
      <c r="U55" s="209" t="s">
        <v>271</v>
      </c>
      <c r="V55" s="20"/>
      <c r="W55" s="60"/>
    </row>
    <row r="56" spans="1:23" ht="53.25" customHeight="1">
      <c r="A56" s="551" t="s">
        <v>148</v>
      </c>
      <c r="B56" s="85"/>
      <c r="C56" s="85" t="s">
        <v>310</v>
      </c>
      <c r="D56" s="552" t="s">
        <v>580</v>
      </c>
      <c r="E56" s="402" t="s">
        <v>550</v>
      </c>
      <c r="F56" s="86" t="s">
        <v>149</v>
      </c>
      <c r="G56" s="86" t="s">
        <v>135</v>
      </c>
      <c r="H56" s="87" t="s">
        <v>150</v>
      </c>
      <c r="I56" s="86" t="s">
        <v>151</v>
      </c>
      <c r="J56" s="86" t="s">
        <v>146</v>
      </c>
      <c r="K56" s="87" t="s">
        <v>152</v>
      </c>
      <c r="L56" s="551" t="s">
        <v>148</v>
      </c>
      <c r="M56" s="86" t="s">
        <v>173</v>
      </c>
      <c r="N56" s="88" t="s">
        <v>153</v>
      </c>
      <c r="O56" s="88" t="s">
        <v>497</v>
      </c>
      <c r="P56" s="88" t="s">
        <v>174</v>
      </c>
      <c r="Q56" s="88" t="s">
        <v>291</v>
      </c>
      <c r="R56" s="88" t="s">
        <v>668</v>
      </c>
      <c r="S56" s="88" t="s">
        <v>180</v>
      </c>
      <c r="T56" s="88" t="s">
        <v>154</v>
      </c>
      <c r="U56" s="88" t="s">
        <v>569</v>
      </c>
      <c r="V56" s="20"/>
      <c r="W56" s="60"/>
    </row>
    <row r="57" spans="1:23" ht="46.5" customHeight="1">
      <c r="A57" s="553"/>
      <c r="B57" s="89"/>
      <c r="C57" s="89"/>
      <c r="D57" s="554"/>
      <c r="E57" s="89"/>
      <c r="F57" s="90" t="s">
        <v>104</v>
      </c>
      <c r="G57" s="90" t="s">
        <v>265</v>
      </c>
      <c r="H57" s="91" t="s">
        <v>155</v>
      </c>
      <c r="I57" s="90" t="s">
        <v>486</v>
      </c>
      <c r="J57" s="224" t="s">
        <v>266</v>
      </c>
      <c r="K57" s="283" t="s">
        <v>156</v>
      </c>
      <c r="L57" s="553"/>
      <c r="M57" s="90" t="s">
        <v>158</v>
      </c>
      <c r="N57" s="283" t="s">
        <v>157</v>
      </c>
      <c r="O57" s="90" t="s">
        <v>233</v>
      </c>
      <c r="P57" s="283" t="s">
        <v>289</v>
      </c>
      <c r="Q57" s="92" t="s">
        <v>292</v>
      </c>
      <c r="R57" s="224" t="s">
        <v>770</v>
      </c>
      <c r="S57" s="92" t="s">
        <v>272</v>
      </c>
      <c r="T57" s="93" t="s">
        <v>551</v>
      </c>
      <c r="U57" s="92" t="s">
        <v>588</v>
      </c>
      <c r="V57" s="20"/>
      <c r="W57" s="60"/>
    </row>
    <row r="58" spans="1:23">
      <c r="A58" s="555"/>
      <c r="B58" s="24"/>
      <c r="C58" s="24"/>
      <c r="D58" s="540"/>
      <c r="E58" s="24"/>
      <c r="F58" s="24"/>
      <c r="G58" s="24"/>
      <c r="H58" s="94"/>
      <c r="I58" s="24"/>
      <c r="J58" s="24"/>
      <c r="K58" s="94"/>
      <c r="L58" s="555"/>
      <c r="M58" s="24"/>
      <c r="N58" s="94"/>
      <c r="O58" s="280"/>
      <c r="P58" s="94"/>
      <c r="Q58" s="94"/>
      <c r="R58" s="24"/>
      <c r="S58" s="223"/>
      <c r="T58" s="20"/>
      <c r="U58" s="95"/>
      <c r="V58" s="20"/>
      <c r="W58" s="60"/>
    </row>
    <row r="59" spans="1:23">
      <c r="A59" s="512" t="s">
        <v>502</v>
      </c>
      <c r="B59" s="96"/>
      <c r="C59" s="956" t="s">
        <v>904</v>
      </c>
      <c r="D59" s="558" t="s">
        <v>581</v>
      </c>
      <c r="E59" s="958" t="s">
        <v>905</v>
      </c>
      <c r="F59" s="563">
        <f>I15</f>
        <v>79472827.156153843</v>
      </c>
      <c r="G59" s="389">
        <f>$K$33</f>
        <v>1.5306916858867099E-2</v>
      </c>
      <c r="H59" s="265">
        <f>F59*G59</f>
        <v>1216483.9578183624</v>
      </c>
      <c r="I59" s="560">
        <f>I16</f>
        <v>79472827.156153843</v>
      </c>
      <c r="J59" s="389">
        <f>$K$43</f>
        <v>9.8787921842735216E-2</v>
      </c>
      <c r="K59" s="567">
        <f>I59*J59</f>
        <v>7850955.4377233302</v>
      </c>
      <c r="L59" s="512" t="str">
        <f>+A59</f>
        <v>1a</v>
      </c>
      <c r="M59" s="563">
        <f>+'Attachment H-29A'!D137</f>
        <v>0</v>
      </c>
      <c r="N59" s="265">
        <f>H59+K59+M59</f>
        <v>9067439.3955416922</v>
      </c>
      <c r="O59" s="281">
        <v>0</v>
      </c>
      <c r="P59" s="265">
        <f>O59/100*'2-Incentive ROE'!$J$38*I59</f>
        <v>0</v>
      </c>
      <c r="Q59" s="265">
        <f>+N59+P59</f>
        <v>9067439.3955416922</v>
      </c>
      <c r="R59" s="563">
        <v>0</v>
      </c>
      <c r="S59" s="567">
        <f>+N59+P59-R59</f>
        <v>9067439.3955416922</v>
      </c>
      <c r="T59" s="563">
        <f>'3-Project True-up'!L19</f>
        <v>-1938004.0241136414</v>
      </c>
      <c r="U59" s="265">
        <f>+S59+T59</f>
        <v>7129435.371428051</v>
      </c>
    </row>
    <row r="60" spans="1:23">
      <c r="A60" s="512" t="s">
        <v>503</v>
      </c>
      <c r="B60" s="96"/>
      <c r="C60" s="956"/>
      <c r="D60" s="558"/>
      <c r="E60" s="958"/>
      <c r="F60" s="563">
        <v>0</v>
      </c>
      <c r="G60" s="389">
        <f>$K$33</f>
        <v>1.5306916858867099E-2</v>
      </c>
      <c r="H60" s="265">
        <f>F60*G60</f>
        <v>0</v>
      </c>
      <c r="I60" s="97">
        <v>0</v>
      </c>
      <c r="J60" s="389">
        <f>$K$43</f>
        <v>9.8787921842735216E-2</v>
      </c>
      <c r="K60" s="567">
        <f>I60*J60</f>
        <v>0</v>
      </c>
      <c r="L60" s="512" t="str">
        <f>+A60</f>
        <v>1b</v>
      </c>
      <c r="M60" s="563">
        <v>0</v>
      </c>
      <c r="N60" s="265">
        <f>H60+K60+M60</f>
        <v>0</v>
      </c>
      <c r="O60" s="281">
        <v>0</v>
      </c>
      <c r="P60" s="265">
        <f>O60/100*'2-Incentive ROE'!$J$38*I60</f>
        <v>0</v>
      </c>
      <c r="Q60" s="265">
        <f>+N60+P60</f>
        <v>0</v>
      </c>
      <c r="R60" s="563">
        <v>0</v>
      </c>
      <c r="S60" s="567">
        <f>+N60+P60-R60</f>
        <v>0</v>
      </c>
      <c r="T60" s="563">
        <f>+'3-Project True-up'!L20</f>
        <v>0</v>
      </c>
      <c r="U60" s="265">
        <f>+S60+T60</f>
        <v>0</v>
      </c>
    </row>
    <row r="61" spans="1:23" s="539" customFormat="1">
      <c r="A61" s="516">
        <v>2</v>
      </c>
      <c r="B61" s="517"/>
      <c r="C61" s="517" t="s">
        <v>583</v>
      </c>
      <c r="D61" s="517"/>
      <c r="E61" s="534"/>
      <c r="F61" s="536">
        <f>+F59+F60</f>
        <v>79472827.156153843</v>
      </c>
      <c r="G61" s="510"/>
      <c r="H61" s="511">
        <f>+H59+H60</f>
        <v>1216483.9578183624</v>
      </c>
      <c r="I61" s="535">
        <f>+I59+I60</f>
        <v>79472827.156153843</v>
      </c>
      <c r="J61" s="510"/>
      <c r="K61" s="511">
        <f>+K59+K60</f>
        <v>7850955.4377233302</v>
      </c>
      <c r="L61" s="532">
        <f>+A61</f>
        <v>2</v>
      </c>
      <c r="M61" s="536">
        <f>+M59+M60</f>
        <v>0</v>
      </c>
      <c r="N61" s="511">
        <f>+N59+N60</f>
        <v>9067439.3955416922</v>
      </c>
      <c r="O61" s="514"/>
      <c r="P61" s="511">
        <f t="shared" ref="P61:U61" si="0">+P59+P60</f>
        <v>0</v>
      </c>
      <c r="Q61" s="511">
        <f t="shared" si="0"/>
        <v>9067439.3955416922</v>
      </c>
      <c r="R61" s="536">
        <f t="shared" si="0"/>
        <v>0</v>
      </c>
      <c r="S61" s="511">
        <f t="shared" si="0"/>
        <v>9067439.3955416922</v>
      </c>
      <c r="T61" s="536">
        <f t="shared" si="0"/>
        <v>-1938004.0241136414</v>
      </c>
      <c r="U61" s="511">
        <f t="shared" si="0"/>
        <v>7129435.371428051</v>
      </c>
    </row>
    <row r="62" spans="1:23" s="539" customFormat="1">
      <c r="A62" s="512"/>
      <c r="B62" s="557"/>
      <c r="C62" s="557"/>
      <c r="D62" s="557"/>
      <c r="E62" s="529"/>
      <c r="F62" s="545"/>
      <c r="G62" s="586"/>
      <c r="H62" s="567"/>
      <c r="I62" s="530"/>
      <c r="J62" s="586"/>
      <c r="K62" s="567"/>
      <c r="L62" s="512"/>
      <c r="M62" s="545"/>
      <c r="N62" s="567"/>
      <c r="O62" s="513"/>
      <c r="P62" s="567"/>
      <c r="Q62" s="567"/>
      <c r="R62" s="545"/>
      <c r="S62" s="567"/>
      <c r="T62" s="545"/>
      <c r="U62" s="567"/>
    </row>
    <row r="63" spans="1:23">
      <c r="A63" s="512" t="s">
        <v>330</v>
      </c>
      <c r="B63" s="96"/>
      <c r="C63" s="957"/>
      <c r="D63" s="558" t="s">
        <v>582</v>
      </c>
      <c r="E63" s="959"/>
      <c r="F63" s="563">
        <v>0</v>
      </c>
      <c r="G63" s="389">
        <f>$K$33</f>
        <v>1.5306916858867099E-2</v>
      </c>
      <c r="H63" s="265">
        <f>F63*G63</f>
        <v>0</v>
      </c>
      <c r="I63" s="97">
        <v>0</v>
      </c>
      <c r="J63" s="389">
        <f>$K$43</f>
        <v>9.8787921842735216E-2</v>
      </c>
      <c r="K63" s="567">
        <f>I63*J63</f>
        <v>0</v>
      </c>
      <c r="L63" s="512" t="str">
        <f t="shared" ref="L63:L69" si="1">+A63</f>
        <v>3a</v>
      </c>
      <c r="M63" s="563">
        <v>0</v>
      </c>
      <c r="N63" s="265">
        <f>H63+K63+M63</f>
        <v>0</v>
      </c>
      <c r="O63" s="281">
        <v>0</v>
      </c>
      <c r="P63" s="265">
        <f>O63/100*'2-Incentive ROE'!$J$38*I63</f>
        <v>0</v>
      </c>
      <c r="Q63" s="265">
        <f>+N63+P63</f>
        <v>0</v>
      </c>
      <c r="R63" s="563">
        <v>0</v>
      </c>
      <c r="S63" s="567">
        <f>+N63+P63-R63</f>
        <v>0</v>
      </c>
      <c r="T63" s="563">
        <f>+'3-Project True-up'!L23</f>
        <v>0</v>
      </c>
      <c r="U63" s="265">
        <f>+S63+T63</f>
        <v>0</v>
      </c>
    </row>
    <row r="64" spans="1:23">
      <c r="A64" s="512" t="s">
        <v>331</v>
      </c>
      <c r="B64" s="96"/>
      <c r="C64" s="957"/>
      <c r="D64" s="558"/>
      <c r="E64" s="959"/>
      <c r="F64" s="563">
        <v>0</v>
      </c>
      <c r="G64" s="389">
        <f>$K$33</f>
        <v>1.5306916858867099E-2</v>
      </c>
      <c r="H64" s="265">
        <f>F64*G64</f>
        <v>0</v>
      </c>
      <c r="I64" s="97">
        <v>0</v>
      </c>
      <c r="J64" s="389">
        <f>$K$43</f>
        <v>9.8787921842735216E-2</v>
      </c>
      <c r="K64" s="567">
        <f>I64*J64</f>
        <v>0</v>
      </c>
      <c r="L64" s="512" t="str">
        <f t="shared" si="1"/>
        <v>3b</v>
      </c>
      <c r="M64" s="563">
        <v>0</v>
      </c>
      <c r="N64" s="265">
        <f>H64+K64+M64</f>
        <v>0</v>
      </c>
      <c r="O64" s="281">
        <v>0</v>
      </c>
      <c r="P64" s="265">
        <f>O64/100*'2-Incentive ROE'!$J$38*I64</f>
        <v>0</v>
      </c>
      <c r="Q64" s="265">
        <f>+N64+P64</f>
        <v>0</v>
      </c>
      <c r="R64" s="563">
        <v>0</v>
      </c>
      <c r="S64" s="567">
        <f>+N64+P64-R64</f>
        <v>0</v>
      </c>
      <c r="T64" s="563">
        <f>+'3-Project True-up'!L24</f>
        <v>0</v>
      </c>
      <c r="U64" s="265">
        <f>+S64+T64</f>
        <v>0</v>
      </c>
    </row>
    <row r="65" spans="1:21" s="539" customFormat="1">
      <c r="A65" s="516">
        <v>4</v>
      </c>
      <c r="B65" s="517"/>
      <c r="C65" s="517" t="s">
        <v>584</v>
      </c>
      <c r="D65" s="517"/>
      <c r="E65" s="960"/>
      <c r="F65" s="536">
        <f>+F63+F64</f>
        <v>0</v>
      </c>
      <c r="G65" s="510"/>
      <c r="H65" s="511">
        <f>+H63+H64</f>
        <v>0</v>
      </c>
      <c r="I65" s="535">
        <f>+I63+I64</f>
        <v>0</v>
      </c>
      <c r="J65" s="510"/>
      <c r="K65" s="511">
        <f>+K63+K64</f>
        <v>0</v>
      </c>
      <c r="L65" s="532">
        <f t="shared" si="1"/>
        <v>4</v>
      </c>
      <c r="M65" s="536">
        <f>+M63+M64</f>
        <v>0</v>
      </c>
      <c r="N65" s="511">
        <f>+N63+N64</f>
        <v>0</v>
      </c>
      <c r="O65" s="514"/>
      <c r="P65" s="511">
        <f t="shared" ref="P65:U65" si="2">+P63+P64</f>
        <v>0</v>
      </c>
      <c r="Q65" s="511">
        <f t="shared" si="2"/>
        <v>0</v>
      </c>
      <c r="R65" s="536">
        <f t="shared" si="2"/>
        <v>0</v>
      </c>
      <c r="S65" s="511">
        <f t="shared" si="2"/>
        <v>0</v>
      </c>
      <c r="T65" s="536">
        <f t="shared" si="2"/>
        <v>0</v>
      </c>
      <c r="U65" s="511">
        <f t="shared" si="2"/>
        <v>0</v>
      </c>
    </row>
    <row r="66" spans="1:21" s="539" customFormat="1">
      <c r="A66" s="515"/>
      <c r="B66" s="557"/>
      <c r="C66" s="557"/>
      <c r="D66" s="557"/>
      <c r="E66" s="529"/>
      <c r="F66" s="545"/>
      <c r="G66" s="586"/>
      <c r="H66" s="567"/>
      <c r="I66" s="530"/>
      <c r="J66" s="586"/>
      <c r="K66" s="567"/>
      <c r="L66" s="556"/>
      <c r="M66" s="545"/>
      <c r="N66" s="567"/>
      <c r="O66" s="513"/>
      <c r="P66" s="567"/>
      <c r="Q66" s="567"/>
      <c r="R66" s="545"/>
      <c r="S66" s="567"/>
      <c r="T66" s="545"/>
      <c r="U66" s="567"/>
    </row>
    <row r="67" spans="1:21" s="539" customFormat="1">
      <c r="A67" s="515">
        <f>+A65+1</f>
        <v>5</v>
      </c>
      <c r="B67" s="557"/>
      <c r="C67" s="558" t="s">
        <v>404</v>
      </c>
      <c r="D67" s="558"/>
      <c r="E67" s="559"/>
      <c r="F67" s="563"/>
      <c r="G67" s="586"/>
      <c r="H67" s="567"/>
      <c r="I67" s="560"/>
      <c r="J67" s="586"/>
      <c r="K67" s="567"/>
      <c r="L67" s="515">
        <f t="shared" si="1"/>
        <v>5</v>
      </c>
      <c r="M67" s="563"/>
      <c r="N67" s="567"/>
      <c r="O67" s="569"/>
      <c r="P67" s="567"/>
      <c r="Q67" s="567"/>
      <c r="R67" s="563"/>
      <c r="S67" s="567"/>
      <c r="T67" s="563"/>
      <c r="U67" s="567"/>
    </row>
    <row r="68" spans="1:21">
      <c r="A68" s="579"/>
      <c r="B68" s="46"/>
      <c r="C68" s="46"/>
      <c r="D68" s="544"/>
      <c r="E68" s="46"/>
      <c r="F68" s="509"/>
      <c r="G68" s="46"/>
      <c r="H68" s="416"/>
      <c r="I68" s="46"/>
      <c r="J68" s="46"/>
      <c r="K68" s="416"/>
      <c r="L68" s="579"/>
      <c r="M68" s="46"/>
      <c r="N68" s="416"/>
      <c r="O68" s="282"/>
      <c r="P68" s="485"/>
      <c r="Q68" s="485"/>
      <c r="R68" s="208"/>
      <c r="S68" s="207"/>
      <c r="T68" s="46"/>
      <c r="U68" s="266">
        <f>N68+T68</f>
        <v>0</v>
      </c>
    </row>
    <row r="69" spans="1:21">
      <c r="A69" s="654">
        <f>+A67+1</f>
        <v>6</v>
      </c>
      <c r="B69" s="655"/>
      <c r="C69" s="656" t="s">
        <v>159</v>
      </c>
      <c r="D69" s="656"/>
      <c r="E69" s="656"/>
      <c r="F69" s="657">
        <f>+F61+F65+F67</f>
        <v>79472827.156153843</v>
      </c>
      <c r="G69" s="658"/>
      <c r="H69" s="661">
        <f>+H61+H65+H67</f>
        <v>1216483.9578183624</v>
      </c>
      <c r="I69" s="657">
        <f>+I61+I65+I67</f>
        <v>79472827.156153843</v>
      </c>
      <c r="J69" s="659"/>
      <c r="K69" s="661">
        <f>+K61+K65+K67</f>
        <v>7850955.4377233302</v>
      </c>
      <c r="L69" s="654">
        <f t="shared" si="1"/>
        <v>6</v>
      </c>
      <c r="M69" s="657">
        <f>+M61+M65+M67</f>
        <v>0</v>
      </c>
      <c r="N69" s="661">
        <f>+N61+N65+N67</f>
        <v>9067439.3955416922</v>
      </c>
      <c r="O69" s="660"/>
      <c r="P69" s="661">
        <f t="shared" ref="P69:U69" si="3">+P61+P65+P67</f>
        <v>0</v>
      </c>
      <c r="Q69" s="661">
        <f t="shared" si="3"/>
        <v>9067439.3955416922</v>
      </c>
      <c r="R69" s="661">
        <f t="shared" si="3"/>
        <v>0</v>
      </c>
      <c r="S69" s="661">
        <f t="shared" si="3"/>
        <v>9067439.3955416922</v>
      </c>
      <c r="T69" s="661">
        <f t="shared" si="3"/>
        <v>-1938004.0241136414</v>
      </c>
      <c r="U69" s="661">
        <f t="shared" si="3"/>
        <v>7129435.371428051</v>
      </c>
    </row>
    <row r="70" spans="1:21">
      <c r="M70" s="49"/>
      <c r="N70" s="49"/>
      <c r="O70" s="49"/>
      <c r="P70" s="49"/>
      <c r="Q70" s="49"/>
    </row>
    <row r="71" spans="1:21">
      <c r="M71" s="49"/>
      <c r="N71" s="49"/>
      <c r="O71" s="49"/>
      <c r="P71" s="49"/>
      <c r="Q71" s="49"/>
    </row>
    <row r="72" spans="1:21">
      <c r="A72" s="546"/>
      <c r="L72" s="546"/>
    </row>
    <row r="73" spans="1:21" ht="13.8" thickBot="1">
      <c r="A73" s="533" t="s">
        <v>525</v>
      </c>
      <c r="L73" s="533" t="str">
        <f>+A73</f>
        <v>Notes</v>
      </c>
    </row>
    <row r="74" spans="1:21" s="410" customFormat="1" ht="27.75" customHeight="1">
      <c r="A74" s="98" t="s">
        <v>62</v>
      </c>
      <c r="C74" s="997" t="s">
        <v>865</v>
      </c>
      <c r="D74" s="997"/>
      <c r="E74" s="997"/>
      <c r="F74" s="997"/>
      <c r="G74" s="997"/>
      <c r="H74" s="997"/>
      <c r="I74" s="997"/>
      <c r="J74" s="997"/>
      <c r="K74" s="997"/>
      <c r="L74" s="561" t="str">
        <f>+A74</f>
        <v>A</v>
      </c>
      <c r="M74" s="997" t="str">
        <f>+C74</f>
        <v>Gross Transmission Plant is that identified on page 2 line 2 of Attachment H-29A inclusive of any CWIP included in rate base when authorized by FERC order.</v>
      </c>
      <c r="N74" s="997"/>
      <c r="O74" s="997"/>
      <c r="P74" s="997"/>
      <c r="Q74" s="997"/>
      <c r="R74" s="997"/>
      <c r="S74" s="997"/>
      <c r="T74" s="997"/>
      <c r="U74" s="997"/>
    </row>
    <row r="75" spans="1:21" ht="29.25" customHeight="1">
      <c r="A75" s="98" t="s">
        <v>63</v>
      </c>
      <c r="C75" s="997" t="s">
        <v>752</v>
      </c>
      <c r="D75" s="997"/>
      <c r="E75" s="997"/>
      <c r="F75" s="997"/>
      <c r="G75" s="997"/>
      <c r="H75" s="997"/>
      <c r="I75" s="997"/>
      <c r="J75" s="997"/>
      <c r="K75" s="997"/>
      <c r="L75" s="561" t="str">
        <f t="shared" ref="L75:L82" si="4">+A75</f>
        <v>B</v>
      </c>
      <c r="M75" s="997" t="str">
        <f t="shared" ref="M75:M82" si="5">+C75</f>
        <v>Net Plant is that identified on page 2 line 14 of Attachment H-29A inclusive of any CWIP or unamortized Abandoned Plant included in rate base when authorized by FERC order less any prefunded AFUDC, if applicable.</v>
      </c>
      <c r="N75" s="997"/>
      <c r="O75" s="997"/>
      <c r="P75" s="997"/>
      <c r="Q75" s="997"/>
      <c r="R75" s="997"/>
      <c r="S75" s="997"/>
      <c r="T75" s="997"/>
      <c r="U75" s="997"/>
    </row>
    <row r="76" spans="1:21" s="410" customFormat="1" ht="15" customHeight="1">
      <c r="A76" s="98" t="s">
        <v>64</v>
      </c>
      <c r="B76" s="478"/>
      <c r="C76" s="997" t="s">
        <v>633</v>
      </c>
      <c r="D76" s="997"/>
      <c r="E76" s="997"/>
      <c r="F76" s="997"/>
      <c r="G76" s="997"/>
      <c r="H76" s="997"/>
      <c r="I76" s="997"/>
      <c r="J76" s="997"/>
      <c r="K76" s="997"/>
      <c r="L76" s="561" t="str">
        <f t="shared" si="4"/>
        <v>C</v>
      </c>
      <c r="M76" s="997" t="str">
        <f t="shared" si="5"/>
        <v>General and Intangible Depreciation and Amortization Expense includes all expense not directly associated with a project, which is entered on page 3 , column 9.</v>
      </c>
      <c r="N76" s="997"/>
      <c r="O76" s="997"/>
      <c r="P76" s="997"/>
      <c r="Q76" s="997"/>
      <c r="R76" s="997"/>
      <c r="S76" s="997"/>
      <c r="T76" s="997"/>
      <c r="U76" s="997"/>
    </row>
    <row r="77" spans="1:21" ht="30" customHeight="1">
      <c r="A77" s="98" t="s">
        <v>65</v>
      </c>
      <c r="C77" s="997" t="s">
        <v>500</v>
      </c>
      <c r="D77" s="997"/>
      <c r="E77" s="997"/>
      <c r="F77" s="997"/>
      <c r="G77" s="997"/>
      <c r="H77" s="997"/>
      <c r="I77" s="997"/>
      <c r="J77" s="997"/>
      <c r="K77" s="997"/>
      <c r="L77" s="561" t="str">
        <f t="shared" si="4"/>
        <v>D</v>
      </c>
      <c r="M77" s="997" t="str">
        <f t="shared" si="5"/>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97"/>
      <c r="O77" s="997"/>
      <c r="P77" s="997"/>
      <c r="Q77" s="997"/>
      <c r="R77" s="997"/>
      <c r="S77" s="997"/>
      <c r="T77" s="997"/>
      <c r="U77" s="997"/>
    </row>
    <row r="78" spans="1:21" ht="29.25" customHeight="1">
      <c r="A78" s="98" t="s">
        <v>66</v>
      </c>
      <c r="C78" s="997" t="s">
        <v>867</v>
      </c>
      <c r="D78" s="997"/>
      <c r="E78" s="997"/>
      <c r="F78" s="997"/>
      <c r="G78" s="997"/>
      <c r="H78" s="997"/>
      <c r="I78" s="997"/>
      <c r="J78" s="997"/>
      <c r="K78" s="997"/>
      <c r="L78" s="561" t="str">
        <f t="shared" si="4"/>
        <v>E</v>
      </c>
      <c r="M78" s="997" t="str">
        <f t="shared" si="5"/>
        <v>Project Net Plant is the Project Gross Plant Identified in Column 3 less the associated Accumulated Depreciation plus CWIP in rate base, if applicable and Unamortized Abandoned Plant, if applicable.</v>
      </c>
      <c r="N78" s="997"/>
      <c r="O78" s="997"/>
      <c r="P78" s="997"/>
      <c r="Q78" s="997"/>
      <c r="R78" s="997"/>
      <c r="S78" s="997"/>
      <c r="T78" s="997"/>
      <c r="U78" s="997"/>
    </row>
    <row r="79" spans="1:21" ht="27" customHeight="1">
      <c r="A79" s="98" t="s">
        <v>67</v>
      </c>
      <c r="C79" s="997" t="s">
        <v>868</v>
      </c>
      <c r="D79" s="997"/>
      <c r="E79" s="997"/>
      <c r="F79" s="997"/>
      <c r="G79" s="997"/>
      <c r="H79" s="997"/>
      <c r="I79" s="997"/>
      <c r="J79" s="997"/>
      <c r="K79" s="997"/>
      <c r="L79" s="561" t="str">
        <f t="shared" si="4"/>
        <v>F</v>
      </c>
      <c r="M79" s="997" t="str">
        <f t="shared" si="5"/>
        <v>Project Depreciation Expense is the actual value booked for the project (excluding General and Intangible depreciation) at Attachment H-29A, page 3, line 19, plus amortization of Abandoned Plant at Attachment H-29A, page 3, line 21, if applicable.</v>
      </c>
      <c r="N79" s="997"/>
      <c r="O79" s="997"/>
      <c r="P79" s="997"/>
      <c r="Q79" s="997"/>
      <c r="R79" s="997"/>
      <c r="S79" s="997"/>
      <c r="T79" s="997"/>
      <c r="U79" s="997"/>
    </row>
    <row r="80" spans="1:21">
      <c r="A80" s="484" t="s">
        <v>68</v>
      </c>
      <c r="C80" s="483" t="s">
        <v>501</v>
      </c>
      <c r="D80" s="600"/>
      <c r="E80" s="483"/>
      <c r="F80" s="483"/>
      <c r="G80" s="483"/>
      <c r="H80" s="483"/>
      <c r="I80" s="483"/>
      <c r="J80" s="483"/>
      <c r="K80" s="483"/>
      <c r="L80" s="561" t="str">
        <f t="shared" si="4"/>
        <v>G</v>
      </c>
      <c r="M80" s="997" t="str">
        <f t="shared" si="5"/>
        <v>Requires approval by FERC of incentive return applicable to the specified project(s).</v>
      </c>
      <c r="N80" s="997"/>
      <c r="O80" s="997"/>
      <c r="P80" s="997"/>
      <c r="Q80" s="997"/>
      <c r="R80" s="997"/>
      <c r="S80" s="997"/>
      <c r="T80" s="997"/>
      <c r="U80" s="997"/>
    </row>
    <row r="81" spans="1:21" ht="88.5" customHeight="1">
      <c r="A81" s="98" t="s">
        <v>69</v>
      </c>
      <c r="C81" s="999" t="s">
        <v>909</v>
      </c>
      <c r="D81" s="999"/>
      <c r="E81" s="999"/>
      <c r="F81" s="999"/>
      <c r="G81" s="999"/>
      <c r="H81" s="999"/>
      <c r="I81" s="999"/>
      <c r="J81" s="999"/>
      <c r="K81" s="999"/>
      <c r="L81" s="561" t="str">
        <f t="shared" si="4"/>
        <v>H</v>
      </c>
      <c r="M81" s="997" t="str">
        <f t="shared" si="5"/>
        <v>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v>
      </c>
      <c r="N81" s="997"/>
      <c r="O81" s="997"/>
      <c r="P81" s="997"/>
      <c r="Q81" s="997"/>
      <c r="R81" s="997"/>
      <c r="S81" s="997"/>
      <c r="T81" s="997"/>
      <c r="U81" s="997"/>
    </row>
    <row r="82" spans="1:21">
      <c r="A82" s="98" t="s">
        <v>70</v>
      </c>
      <c r="C82" s="999" t="s">
        <v>587</v>
      </c>
      <c r="D82" s="999"/>
      <c r="E82" s="999"/>
      <c r="F82" s="999"/>
      <c r="G82" s="999"/>
      <c r="H82" s="999"/>
      <c r="I82" s="999"/>
      <c r="J82" s="999"/>
      <c r="K82" s="999"/>
      <c r="L82" s="561" t="str">
        <f t="shared" si="4"/>
        <v>I</v>
      </c>
      <c r="M82" s="997" t="str">
        <f t="shared" si="5"/>
        <v>True-Up Adjustment is calculated on the Project True-up Schedule for the relevant true-up year.</v>
      </c>
      <c r="N82" s="997"/>
      <c r="O82" s="997"/>
      <c r="P82" s="997"/>
      <c r="Q82" s="997"/>
      <c r="R82" s="997"/>
      <c r="S82" s="997"/>
      <c r="T82" s="997"/>
      <c r="U82" s="997"/>
    </row>
    <row r="83" spans="1:21" ht="15.75" customHeight="1">
      <c r="A83" s="98"/>
      <c r="C83" s="997"/>
      <c r="D83" s="997"/>
      <c r="E83" s="997"/>
      <c r="F83" s="997"/>
      <c r="G83" s="997"/>
      <c r="H83" s="997"/>
      <c r="I83" s="997"/>
      <c r="J83" s="997"/>
      <c r="K83" s="997"/>
      <c r="L83" s="444"/>
      <c r="M83" s="483"/>
      <c r="N83" s="483"/>
      <c r="O83" s="483"/>
      <c r="P83" s="483"/>
      <c r="Q83" s="483"/>
      <c r="R83" s="483"/>
      <c r="S83" s="483"/>
    </row>
    <row r="85" spans="1:21">
      <c r="C85" s="320"/>
      <c r="D85" s="581"/>
    </row>
    <row r="86" spans="1:21">
      <c r="C86" s="320"/>
      <c r="D86" s="581"/>
    </row>
  </sheetData>
  <customSheetViews>
    <customSheetView guid="{63AFAF34-E340-4B5E-A289-FFB7051CA9B6}" showPageBreaks="1" printArea="1" topLeftCell="A34">
      <selection activeCell="C75" sqref="C75:K75"/>
      <rowBreaks count="1" manualBreakCount="1">
        <brk id="45" max="18" man="1"/>
      </rowBreaks>
      <colBreaks count="1" manualBreakCount="1">
        <brk id="11" max="79" man="1"/>
      </colBreaks>
      <pageMargins left="0.75" right="0.25" top="0.75" bottom="0.75" header="0.3" footer="0.3"/>
      <pageSetup scale="61" fitToWidth="2" fitToHeight="2" orientation="landscape" r:id="rId1"/>
    </customSheetView>
    <customSheetView guid="{F1DC5514-577A-46EB-866C-26F0BED2C286}" scale="85" showPageBreaks="1" printArea="1" view="pageBreakPreview">
      <rowBreaks count="1" manualBreakCount="1">
        <brk id="46" max="20" man="1"/>
      </rowBreaks>
      <colBreaks count="1" manualBreakCount="1">
        <brk id="11" max="81" man="1"/>
      </colBreaks>
      <pageMargins left="0.75" right="0.25" top="0.75" bottom="0.75" header="0.3" footer="0.3"/>
      <pageSetup scale="75" fitToWidth="2" fitToHeight="2" orientation="landscape" r:id="rId2"/>
    </customSheetView>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3"/>
      <headerFooter alignWithMargins="0"/>
    </customSheetView>
  </customSheetViews>
  <mergeCells count="20">
    <mergeCell ref="M79:U79"/>
    <mergeCell ref="M80:U80"/>
    <mergeCell ref="M81:U81"/>
    <mergeCell ref="M82:U82"/>
    <mergeCell ref="C82:K82"/>
    <mergeCell ref="C83:K83"/>
    <mergeCell ref="C52:K52"/>
    <mergeCell ref="C77:K77"/>
    <mergeCell ref="C76:K76"/>
    <mergeCell ref="C79:K79"/>
    <mergeCell ref="C78:K78"/>
    <mergeCell ref="C81:K81"/>
    <mergeCell ref="C75:K75"/>
    <mergeCell ref="C74:K74"/>
    <mergeCell ref="C53:K53"/>
    <mergeCell ref="M74:U74"/>
    <mergeCell ref="M75:U75"/>
    <mergeCell ref="M76:U76"/>
    <mergeCell ref="M77:U77"/>
    <mergeCell ref="M78:U78"/>
  </mergeCells>
  <phoneticPr fontId="0" type="noConversion"/>
  <pageMargins left="0.75" right="0.25" top="0.75" bottom="0.75" header="0.3" footer="0.3"/>
  <pageSetup scale="61" fitToWidth="2" fitToHeight="2" orientation="landscape" r:id="rId4"/>
  <rowBreaks count="1" manualBreakCount="1">
    <brk id="45" max="10" man="1"/>
  </rowBreaks>
  <colBreaks count="1" manualBreakCount="1">
    <brk id="11" max="79" man="1"/>
  </col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8"/>
  <sheetViews>
    <sheetView view="pageBreakPreview" zoomScale="75" zoomScaleNormal="80" zoomScaleSheetLayoutView="75" workbookViewId="0"/>
  </sheetViews>
  <sheetFormatPr defaultColWidth="8.90625" defaultRowHeight="15.6"/>
  <cols>
    <col min="1" max="1" width="5.54296875" style="260" customWidth="1"/>
    <col min="2" max="2" width="21.54296875" style="225" customWidth="1"/>
    <col min="3" max="3" width="35.54296875" style="225" customWidth="1"/>
    <col min="4" max="4" width="29.08984375" style="225" customWidth="1"/>
    <col min="5" max="5" width="11" style="225" customWidth="1"/>
    <col min="6" max="6" width="6.54296875" style="225" customWidth="1"/>
    <col min="7" max="7" width="4.81640625" style="225" customWidth="1"/>
    <col min="8" max="8" width="6.453125" style="225" bestFit="1" customWidth="1"/>
    <col min="9" max="9" width="10" style="231" customWidth="1"/>
    <col min="10" max="10" width="12.90625" style="225" bestFit="1" customWidth="1"/>
    <col min="11" max="16384" width="8.90625" style="225"/>
  </cols>
  <sheetData>
    <row r="1" spans="1:10">
      <c r="B1" s="1001" t="s">
        <v>236</v>
      </c>
      <c r="C1" s="1001"/>
      <c r="D1" s="1001"/>
      <c r="E1" s="1001"/>
      <c r="F1" s="1001"/>
      <c r="G1" s="1001"/>
      <c r="H1" s="1001"/>
      <c r="I1" s="1001"/>
      <c r="J1" s="1001"/>
    </row>
    <row r="2" spans="1:10">
      <c r="B2" s="1001" t="s">
        <v>290</v>
      </c>
      <c r="C2" s="1001"/>
      <c r="D2" s="1001"/>
      <c r="E2" s="1001"/>
      <c r="F2" s="1001"/>
      <c r="G2" s="1001"/>
      <c r="H2" s="1001"/>
      <c r="I2" s="1001"/>
      <c r="J2" s="1001"/>
    </row>
    <row r="3" spans="1:10">
      <c r="B3" s="1001" t="str">
        <f>+'Attachment H-29A'!D5</f>
        <v>Transource Pennsylvania, LLC</v>
      </c>
      <c r="C3" s="1001"/>
      <c r="D3" s="1001"/>
      <c r="E3" s="1001"/>
      <c r="F3" s="1001"/>
      <c r="G3" s="1001"/>
      <c r="H3" s="1001"/>
      <c r="I3" s="1001"/>
      <c r="J3" s="1001"/>
    </row>
    <row r="5" spans="1:10">
      <c r="A5" s="260">
        <v>1</v>
      </c>
      <c r="B5" s="225" t="s">
        <v>284</v>
      </c>
      <c r="C5" s="225" t="str">
        <f>"Attachment H-29A, page 2, line "&amp;'Attachment H-29A'!A105&amp;", Col.5"</f>
        <v>Attachment H-29A, page 2, line 35, Col.5</v>
      </c>
      <c r="I5" s="225"/>
      <c r="J5" s="260">
        <f>+'Attachment H-29A'!I105</f>
        <v>82238062.365779787</v>
      </c>
    </row>
    <row r="6" spans="1:10">
      <c r="I6" s="225"/>
      <c r="J6" s="231"/>
    </row>
    <row r="7" spans="1:10" ht="16.2" thickBot="1">
      <c r="A7" s="227">
        <f>+A5+1</f>
        <v>2</v>
      </c>
      <c r="B7" s="228" t="s">
        <v>237</v>
      </c>
      <c r="C7" s="229"/>
      <c r="D7" s="229"/>
      <c r="E7" s="229"/>
      <c r="F7" s="229"/>
      <c r="G7" s="229"/>
      <c r="H7" s="229"/>
      <c r="I7" s="230" t="s">
        <v>48</v>
      </c>
      <c r="J7" s="231"/>
    </row>
    <row r="8" spans="1:10">
      <c r="A8" s="227"/>
      <c r="B8" s="232"/>
      <c r="C8" s="229"/>
      <c r="D8" s="229"/>
      <c r="E8" s="229"/>
      <c r="F8" s="229"/>
      <c r="G8" s="229"/>
      <c r="H8" s="233" t="s">
        <v>57</v>
      </c>
      <c r="I8" s="229"/>
      <c r="J8" s="231"/>
    </row>
    <row r="9" spans="1:10" ht="16.2" thickBot="1">
      <c r="A9" s="227"/>
      <c r="B9" s="232"/>
      <c r="C9" s="229"/>
      <c r="D9" s="848" t="s">
        <v>199</v>
      </c>
      <c r="E9" s="234" t="s">
        <v>48</v>
      </c>
      <c r="F9" s="234" t="s">
        <v>58</v>
      </c>
      <c r="G9" s="229"/>
      <c r="H9" s="234"/>
      <c r="I9" s="234" t="s">
        <v>59</v>
      </c>
      <c r="J9" s="231"/>
    </row>
    <row r="10" spans="1:10">
      <c r="A10" s="227">
        <f>+A7+1</f>
        <v>3</v>
      </c>
      <c r="B10" s="228" t="s">
        <v>227</v>
      </c>
      <c r="C10" s="32" t="s">
        <v>753</v>
      </c>
      <c r="D10" s="235"/>
      <c r="E10" s="471">
        <f>+'Attachment H-29A'!D203</f>
        <v>64923076.92307692</v>
      </c>
      <c r="F10" s="473">
        <f>+'Attachment H-29A'!E203</f>
        <v>0.4</v>
      </c>
      <c r="G10" s="474"/>
      <c r="H10" s="477">
        <f>+'Attachment H-29A'!G203</f>
        <v>1.9280597300552919E-2</v>
      </c>
      <c r="I10" s="475">
        <f>F10*H10</f>
        <v>7.7122389202211681E-3</v>
      </c>
      <c r="J10" s="231"/>
    </row>
    <row r="11" spans="1:10">
      <c r="A11" s="227">
        <f>+A10+1</f>
        <v>4</v>
      </c>
      <c r="B11" s="228" t="s">
        <v>285</v>
      </c>
      <c r="C11" s="32" t="s">
        <v>753</v>
      </c>
      <c r="D11" s="235"/>
      <c r="E11" s="471">
        <f>+'Attachment H-29A'!D204</f>
        <v>0</v>
      </c>
      <c r="F11" s="473">
        <f>+'Attachment H-29A'!E204</f>
        <v>0</v>
      </c>
      <c r="G11" s="474"/>
      <c r="H11" s="477">
        <f>+'Attachment H-29A'!G204</f>
        <v>0</v>
      </c>
      <c r="I11" s="475">
        <f>F11*H11</f>
        <v>0</v>
      </c>
      <c r="J11" s="231"/>
    </row>
    <row r="12" spans="1:10" ht="31.8" thickBot="1">
      <c r="A12" s="227">
        <f>+A11+1</f>
        <v>5</v>
      </c>
      <c r="B12" s="228" t="s">
        <v>262</v>
      </c>
      <c r="C12" s="32" t="s">
        <v>754</v>
      </c>
      <c r="D12" s="275" t="s">
        <v>772</v>
      </c>
      <c r="E12" s="471">
        <f>+'Attachment H-29A'!D205</f>
        <v>65047401.960370377</v>
      </c>
      <c r="F12" s="473">
        <f>+'Attachment H-29A'!E205</f>
        <v>0.6</v>
      </c>
      <c r="G12" s="474"/>
      <c r="H12" s="477">
        <f>+'Attachment H-29A'!G205+0.01</f>
        <v>0.114</v>
      </c>
      <c r="I12" s="476">
        <f>F12*H12</f>
        <v>6.8400000000000002E-2</v>
      </c>
      <c r="J12" s="231"/>
    </row>
    <row r="13" spans="1:10">
      <c r="A13" s="227">
        <f>+A12+1</f>
        <v>6</v>
      </c>
      <c r="B13" s="232" t="s">
        <v>510</v>
      </c>
      <c r="C13" s="236"/>
      <c r="D13" s="236"/>
      <c r="E13" s="471">
        <f>SUM(E10:E12)</f>
        <v>129970478.88344729</v>
      </c>
      <c r="F13" s="226" t="s">
        <v>2</v>
      </c>
      <c r="G13" s="226"/>
      <c r="H13" s="472"/>
      <c r="I13" s="475">
        <f>SUM(I10:I12)</f>
        <v>7.6112238920221176E-2</v>
      </c>
      <c r="J13" s="231"/>
    </row>
    <row r="14" spans="1:10">
      <c r="A14" s="227">
        <f t="shared" ref="A14:A38" si="0">+A13+1</f>
        <v>7</v>
      </c>
      <c r="B14" s="232" t="s">
        <v>779</v>
      </c>
      <c r="C14" s="236"/>
      <c r="D14" s="236"/>
      <c r="E14" s="237"/>
      <c r="F14" s="229"/>
      <c r="G14" s="229"/>
      <c r="H14" s="229"/>
      <c r="I14" s="486"/>
      <c r="J14" s="260">
        <f>+I13*J5</f>
        <v>6259323.0511202803</v>
      </c>
    </row>
    <row r="15" spans="1:10">
      <c r="A15" s="227"/>
      <c r="I15" s="487"/>
      <c r="J15" s="487"/>
    </row>
    <row r="16" spans="1:10">
      <c r="A16" s="227">
        <f>+A14+1</f>
        <v>8</v>
      </c>
      <c r="B16" s="232" t="s">
        <v>40</v>
      </c>
      <c r="C16" s="238"/>
      <c r="D16" s="238"/>
      <c r="E16" s="229"/>
      <c r="F16" s="229"/>
      <c r="G16" s="236"/>
      <c r="H16" s="239"/>
      <c r="I16" s="486"/>
      <c r="J16" s="487"/>
    </row>
    <row r="17" spans="1:10">
      <c r="A17" s="227">
        <f t="shared" si="0"/>
        <v>9</v>
      </c>
      <c r="B17" s="240" t="s">
        <v>734</v>
      </c>
      <c r="C17" s="229"/>
      <c r="D17" s="502"/>
      <c r="E17" s="665">
        <f>IF('Attachment H-29A'!D237&gt;0,1-(((1-'Attachment H-29A'!D238)*(1-'Attachment H-29A'!D237))/(1-'Attachment H-29A'!D237*'Attachment H-29A'!D238*'Attachment H-29A'!D239)),0)</f>
        <v>0.28892099999999998</v>
      </c>
      <c r="F17" s="665"/>
      <c r="G17" s="236"/>
      <c r="H17" s="239"/>
      <c r="I17" s="486"/>
      <c r="J17" s="487"/>
    </row>
    <row r="18" spans="1:10">
      <c r="A18" s="227">
        <f t="shared" si="0"/>
        <v>10</v>
      </c>
      <c r="B18" s="236" t="s">
        <v>41</v>
      </c>
      <c r="C18" s="229"/>
      <c r="D18" s="502"/>
      <c r="E18" s="665">
        <f>IF(I13&gt;0,(E17/(1-E17))*(1-I10/I13),0)</f>
        <v>0.36514290023804286</v>
      </c>
      <c r="F18" s="229"/>
      <c r="G18" s="236"/>
      <c r="H18" s="239"/>
      <c r="I18" s="486"/>
      <c r="J18" s="487"/>
    </row>
    <row r="19" spans="1:10">
      <c r="A19" s="227">
        <f t="shared" si="0"/>
        <v>11</v>
      </c>
      <c r="B19" s="238" t="s">
        <v>286</v>
      </c>
      <c r="C19" s="238"/>
      <c r="D19" s="502"/>
      <c r="E19" s="229"/>
      <c r="F19" s="229"/>
      <c r="G19" s="236"/>
      <c r="H19" s="239"/>
      <c r="I19" s="486"/>
      <c r="J19" s="487"/>
    </row>
    <row r="20" spans="1:10">
      <c r="A20" s="227">
        <f t="shared" si="0"/>
        <v>12</v>
      </c>
      <c r="B20" s="241" t="s">
        <v>755</v>
      </c>
      <c r="C20" s="238"/>
      <c r="D20" s="238"/>
      <c r="E20" s="229"/>
      <c r="F20" s="229"/>
      <c r="G20" s="236"/>
      <c r="H20" s="239"/>
      <c r="I20" s="486"/>
      <c r="J20" s="487"/>
    </row>
    <row r="21" spans="1:10">
      <c r="A21" s="227">
        <f t="shared" si="0"/>
        <v>13</v>
      </c>
      <c r="B21" s="242" t="str">
        <f>"      1 / (1 - T)  =  (from line "&amp;A17&amp;")"</f>
        <v xml:space="preserve">      1 / (1 - T)  =  (from line 9)</v>
      </c>
      <c r="C21" s="238"/>
      <c r="D21" s="238"/>
      <c r="E21" s="665">
        <f>IF(E17&gt;0,1/(1-E17),0)</f>
        <v>1.4063135038441579</v>
      </c>
      <c r="F21" s="229"/>
      <c r="G21" s="236"/>
      <c r="H21" s="239"/>
      <c r="I21" s="486"/>
      <c r="J21" s="487"/>
    </row>
    <row r="22" spans="1:10">
      <c r="A22" s="227">
        <f t="shared" si="0"/>
        <v>14</v>
      </c>
      <c r="B22" s="241" t="s">
        <v>238</v>
      </c>
      <c r="C22" s="238"/>
      <c r="D22" s="238" t="s">
        <v>756</v>
      </c>
      <c r="E22" s="243">
        <f>+'Attachment H-29A'!D159</f>
        <v>0</v>
      </c>
      <c r="F22" s="229"/>
      <c r="G22" s="236"/>
      <c r="H22" s="239"/>
      <c r="I22" s="486"/>
      <c r="J22" s="487"/>
    </row>
    <row r="23" spans="1:10">
      <c r="A23" s="227">
        <f t="shared" si="0"/>
        <v>15</v>
      </c>
      <c r="B23" s="241" t="s">
        <v>239</v>
      </c>
      <c r="C23" s="238"/>
      <c r="D23" s="238" t="s">
        <v>757</v>
      </c>
      <c r="E23" s="243">
        <f>+'Attachment H-29A'!D160</f>
        <v>0</v>
      </c>
      <c r="F23" s="229"/>
      <c r="G23" s="236"/>
      <c r="H23" s="244"/>
      <c r="I23" s="486"/>
      <c r="J23" s="487"/>
    </row>
    <row r="24" spans="1:10">
      <c r="A24" s="227">
        <f t="shared" si="0"/>
        <v>16</v>
      </c>
      <c r="B24" s="241" t="s">
        <v>287</v>
      </c>
      <c r="C24" s="238"/>
      <c r="D24" s="238" t="s">
        <v>758</v>
      </c>
      <c r="E24" s="490">
        <f>+'Attachment H-29A'!D161</f>
        <v>0</v>
      </c>
      <c r="F24" s="229"/>
      <c r="G24" s="236"/>
      <c r="H24" s="239"/>
      <c r="I24" s="486"/>
      <c r="J24" s="487"/>
    </row>
    <row r="25" spans="1:10">
      <c r="A25" s="227">
        <f t="shared" si="0"/>
        <v>17</v>
      </c>
      <c r="B25" s="242" t="str">
        <f>"Income Tax Calculation = line "&amp;A14&amp;" * line "&amp;A18&amp;""</f>
        <v>Income Tax Calculation = line 7 * line 10</v>
      </c>
      <c r="C25" s="245"/>
      <c r="E25" s="263"/>
      <c r="F25" s="246"/>
      <c r="G25" s="246"/>
      <c r="H25" s="247"/>
      <c r="I25" s="488">
        <f>+E18*J14</f>
        <v>2285547.3724128944</v>
      </c>
      <c r="J25" s="487"/>
    </row>
    <row r="26" spans="1:10">
      <c r="A26" s="227">
        <f t="shared" si="0"/>
        <v>18</v>
      </c>
      <c r="B26" s="235" t="str">
        <f>"ITC adjustment (line "&amp;A21&amp;" * line "&amp;A22&amp;")"</f>
        <v>ITC adjustment (line 13 * line 14)</v>
      </c>
      <c r="C26" s="245"/>
      <c r="D26" s="245"/>
      <c r="E26" s="263">
        <f>+E$21*E22</f>
        <v>0</v>
      </c>
      <c r="F26" s="246"/>
      <c r="G26" s="248" t="s">
        <v>27</v>
      </c>
      <c r="H26" s="226">
        <f>+'Attachment H-29A'!G83</f>
        <v>1</v>
      </c>
      <c r="I26" s="488">
        <f>+E26*H26</f>
        <v>0</v>
      </c>
      <c r="J26" s="487"/>
    </row>
    <row r="27" spans="1:10">
      <c r="A27" s="227">
        <f t="shared" si="0"/>
        <v>19</v>
      </c>
      <c r="B27" s="235" t="str">
        <f>"Excess Deferred Income Tax Adjustment (line "&amp;A21&amp;" * line "&amp;A23&amp;")"</f>
        <v>Excess Deferred Income Tax Adjustment (line 13 * line 15)</v>
      </c>
      <c r="C27" s="245"/>
      <c r="D27" s="245"/>
      <c r="E27" s="263">
        <f>+E$21*E23</f>
        <v>0</v>
      </c>
      <c r="F27" s="246"/>
      <c r="G27" s="248" t="s">
        <v>27</v>
      </c>
      <c r="H27" s="226">
        <f>H26</f>
        <v>1</v>
      </c>
      <c r="I27" s="488">
        <f>+E27*H27</f>
        <v>0</v>
      </c>
      <c r="J27" s="487"/>
    </row>
    <row r="28" spans="1:10">
      <c r="A28" s="227">
        <f t="shared" si="0"/>
        <v>20</v>
      </c>
      <c r="B28" s="235" t="str">
        <f>"Permanent Differences Tax Adjustment (line "&amp;A21&amp;" * "&amp;A24&amp;")"</f>
        <v>Permanent Differences Tax Adjustment (line 13 * 16)</v>
      </c>
      <c r="C28" s="245"/>
      <c r="D28" s="245"/>
      <c r="E28" s="489">
        <f>+E$21*E24</f>
        <v>0</v>
      </c>
      <c r="F28" s="246"/>
      <c r="G28" s="248" t="s">
        <v>27</v>
      </c>
      <c r="H28" s="226">
        <f>H27</f>
        <v>1</v>
      </c>
      <c r="I28" s="489">
        <f>+E28*H28</f>
        <v>0</v>
      </c>
      <c r="J28" s="487"/>
    </row>
    <row r="29" spans="1:10">
      <c r="A29" s="227">
        <f t="shared" si="0"/>
        <v>21</v>
      </c>
      <c r="B29" s="249" t="str">
        <f>"Total Income Taxes (sum lines "&amp;A25&amp;" - "&amp;A28&amp;")"</f>
        <v>Total Income Taxes (sum lines 17 - 20)</v>
      </c>
      <c r="C29" s="235"/>
      <c r="D29" s="235"/>
      <c r="E29" s="243"/>
      <c r="F29" s="246"/>
      <c r="G29" s="246" t="s">
        <v>2</v>
      </c>
      <c r="H29" s="247" t="s">
        <v>2</v>
      </c>
      <c r="I29" s="490">
        <f>SUM(I25:I28)</f>
        <v>2285547.3724128944</v>
      </c>
      <c r="J29" s="260">
        <f>+I29</f>
        <v>2285547.3724128944</v>
      </c>
    </row>
    <row r="30" spans="1:10">
      <c r="A30" s="227"/>
      <c r="I30" s="487"/>
      <c r="J30" s="487"/>
    </row>
    <row r="31" spans="1:10">
      <c r="A31" s="227">
        <f>+A29+1</f>
        <v>22</v>
      </c>
      <c r="B31" s="235" t="s">
        <v>773</v>
      </c>
      <c r="D31" s="238" t="str">
        <f>"(line "&amp;A14&amp;" + line "&amp;A29&amp;")"</f>
        <v>(line 7 + line 21)</v>
      </c>
      <c r="I31" s="487"/>
      <c r="J31" s="260">
        <f>+J29+J14</f>
        <v>8544870.4235331751</v>
      </c>
    </row>
    <row r="32" spans="1:10">
      <c r="A32" s="227"/>
      <c r="I32" s="487"/>
      <c r="J32" s="487"/>
    </row>
    <row r="33" spans="1:10">
      <c r="A33" s="227">
        <f>+A31+1</f>
        <v>23</v>
      </c>
      <c r="B33" s="225" t="s">
        <v>759</v>
      </c>
      <c r="I33" s="487"/>
      <c r="J33" s="260">
        <f>+'Attachment H-29A'!I169</f>
        <v>5765894.6769256014</v>
      </c>
    </row>
    <row r="34" spans="1:10">
      <c r="A34" s="227">
        <f t="shared" si="0"/>
        <v>24</v>
      </c>
      <c r="B34" s="225" t="s">
        <v>760</v>
      </c>
      <c r="I34" s="487"/>
      <c r="J34" s="260">
        <f>+'Attachment H-29A'!I166</f>
        <v>2085060.7607977286</v>
      </c>
    </row>
    <row r="35" spans="1:10">
      <c r="A35" s="227">
        <f t="shared" si="0"/>
        <v>25</v>
      </c>
      <c r="B35" s="235" t="s">
        <v>774</v>
      </c>
      <c r="D35" s="238" t="str">
        <f>"(line "&amp;A33&amp;" + line "&amp;A34&amp;")"</f>
        <v>(line 23 + line 24)</v>
      </c>
      <c r="I35" s="487"/>
      <c r="J35" s="690">
        <f>SUM(J33:J34)</f>
        <v>7850955.4377233302</v>
      </c>
    </row>
    <row r="36" spans="1:10">
      <c r="A36" s="227">
        <f t="shared" si="0"/>
        <v>26</v>
      </c>
      <c r="B36" s="235" t="s">
        <v>775</v>
      </c>
      <c r="D36" s="238" t="str">
        <f>"(line "&amp;A31&amp;" - line "&amp;A35&amp;")"</f>
        <v>(line 22 - line 25)</v>
      </c>
      <c r="I36" s="225"/>
      <c r="J36" s="847">
        <f>+J31-J35</f>
        <v>693914.98580984492</v>
      </c>
    </row>
    <row r="37" spans="1:10">
      <c r="A37" s="227">
        <f t="shared" si="0"/>
        <v>27</v>
      </c>
      <c r="B37" s="225" t="s">
        <v>288</v>
      </c>
      <c r="I37" s="225"/>
      <c r="J37" s="276">
        <f>+J5</f>
        <v>82238062.365779787</v>
      </c>
    </row>
    <row r="38" spans="1:10">
      <c r="A38" s="227">
        <f t="shared" si="0"/>
        <v>28</v>
      </c>
      <c r="B38" s="225" t="s">
        <v>776</v>
      </c>
      <c r="I38" s="225"/>
      <c r="J38" s="277">
        <f>IF(J37=0,0,J36/J37)</f>
        <v>8.437881023064947E-3</v>
      </c>
    </row>
    <row r="39" spans="1:10">
      <c r="I39" s="225"/>
      <c r="J39" s="231"/>
    </row>
    <row r="40" spans="1:10">
      <c r="A40" s="667" t="s">
        <v>267</v>
      </c>
      <c r="I40" s="225"/>
      <c r="J40" s="231"/>
    </row>
    <row r="41" spans="1:10">
      <c r="A41" s="666" t="s">
        <v>62</v>
      </c>
      <c r="B41" s="260" t="s">
        <v>777</v>
      </c>
      <c r="I41" s="225"/>
      <c r="J41" s="231"/>
    </row>
    <row r="42" spans="1:10">
      <c r="A42" s="666"/>
      <c r="B42" s="225" t="s">
        <v>778</v>
      </c>
      <c r="I42" s="225"/>
      <c r="J42" s="231"/>
    </row>
    <row r="43" spans="1:10">
      <c r="A43" s="666"/>
      <c r="B43" s="225" t="s">
        <v>634</v>
      </c>
      <c r="I43" s="225"/>
      <c r="J43" s="231"/>
    </row>
    <row r="44" spans="1:10">
      <c r="A44" s="666"/>
      <c r="B44" s="225" t="s">
        <v>635</v>
      </c>
      <c r="I44" s="225"/>
      <c r="J44" s="231"/>
    </row>
    <row r="45" spans="1:10">
      <c r="A45" s="666" t="s">
        <v>63</v>
      </c>
      <c r="B45" s="225" t="s">
        <v>268</v>
      </c>
      <c r="I45" s="225"/>
      <c r="J45" s="231"/>
    </row>
    <row r="46" spans="1:10">
      <c r="B46" s="225" t="s">
        <v>761</v>
      </c>
      <c r="I46" s="225"/>
      <c r="J46" s="231"/>
    </row>
    <row r="47" spans="1:10">
      <c r="A47" s="666" t="s">
        <v>64</v>
      </c>
      <c r="B47" s="225" t="s">
        <v>907</v>
      </c>
    </row>
    <row r="48" spans="1:10">
      <c r="B48" s="225" t="s">
        <v>908</v>
      </c>
    </row>
  </sheetData>
  <customSheetViews>
    <customSheetView guid="{63AFAF34-E340-4B5E-A289-FFB7051CA9B6}" scale="80">
      <selection activeCell="H12" sqref="H12"/>
      <pageMargins left="0.7" right="0.7" top="0.75" bottom="0.75" header="0.3" footer="0.3"/>
      <pageSetup scale="64" orientation="landscape" r:id="rId1"/>
    </customSheetView>
    <customSheetView guid="{F1DC5514-577A-46EB-866C-26F0BED2C286}" scale="75" showPageBreaks="1" view="pageBreakPreview">
      <selection activeCell="E33" sqref="E33"/>
      <pageMargins left="0.7" right="0.7" top="0.75" bottom="0.75" header="0.3" footer="0.3"/>
      <pageSetup scale="64" orientation="landscape" r:id="rId2"/>
    </customSheetView>
  </customSheetViews>
  <mergeCells count="3">
    <mergeCell ref="B1:J1"/>
    <mergeCell ref="B2:J2"/>
    <mergeCell ref="B3:J3"/>
  </mergeCells>
  <phoneticPr fontId="0" type="noConversion"/>
  <pageMargins left="0.7" right="0.7" top="0.75" bottom="0.75" header="0.3" footer="0.3"/>
  <pageSetup scale="64" orientation="landscape"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8"/>
  <sheetViews>
    <sheetView view="pageBreakPreview" zoomScale="85" zoomScaleNormal="100" zoomScaleSheetLayoutView="85" workbookViewId="0">
      <selection activeCell="B12" sqref="B12"/>
    </sheetView>
  </sheetViews>
  <sheetFormatPr defaultColWidth="8.90625" defaultRowHeight="13.2"/>
  <cols>
    <col min="1" max="1" width="6" style="437" customWidth="1"/>
    <col min="2" max="2" width="28.36328125" style="410" customWidth="1"/>
    <col min="3" max="3" width="12.08984375" style="539" customWidth="1"/>
    <col min="4" max="4" width="21.6328125" style="410" customWidth="1"/>
    <col min="5" max="5" width="14.6328125" style="410" customWidth="1"/>
    <col min="6" max="6" width="14.54296875" style="410" customWidth="1"/>
    <col min="7" max="7" width="15.1796875" style="410" customWidth="1"/>
    <col min="8" max="8" width="13.81640625" style="410" customWidth="1"/>
    <col min="9" max="9" width="12" style="410" customWidth="1"/>
    <col min="10" max="10" width="9.54296875" style="410" customWidth="1"/>
    <col min="11" max="11" width="12" style="410" customWidth="1"/>
    <col min="12" max="12" width="10.36328125" style="410" customWidth="1"/>
    <col min="13" max="13" width="13.54296875" style="410" customWidth="1"/>
    <col min="14" max="16384" width="8.90625" style="410"/>
  </cols>
  <sheetData>
    <row r="1" spans="1:13">
      <c r="L1" s="406" t="s">
        <v>414</v>
      </c>
      <c r="M1" s="406"/>
    </row>
    <row r="2" spans="1:13">
      <c r="F2" s="407" t="s">
        <v>182</v>
      </c>
    </row>
    <row r="3" spans="1:13">
      <c r="F3" s="418" t="s">
        <v>553</v>
      </c>
    </row>
    <row r="4" spans="1:13">
      <c r="E4" s="406"/>
      <c r="F4" s="413" t="str">
        <f>+'Attachment H-29A'!D5</f>
        <v>Transource Pennsylvania, LLC</v>
      </c>
      <c r="G4" s="406"/>
      <c r="H4" s="406"/>
      <c r="J4" s="406"/>
      <c r="K4" s="406"/>
      <c r="L4" s="406"/>
      <c r="M4" s="409"/>
    </row>
    <row r="5" spans="1:13">
      <c r="E5" s="406"/>
      <c r="G5" s="408"/>
      <c r="H5" s="408"/>
      <c r="J5" s="408"/>
      <c r="K5" s="408"/>
      <c r="L5" s="408"/>
      <c r="M5" s="409"/>
    </row>
    <row r="6" spans="1:13" ht="70.5" customHeight="1">
      <c r="B6" s="990" t="s">
        <v>589</v>
      </c>
      <c r="C6" s="990"/>
      <c r="D6" s="990"/>
      <c r="E6" s="990"/>
      <c r="F6" s="990"/>
      <c r="G6" s="990"/>
      <c r="H6" s="990"/>
      <c r="I6" s="990"/>
      <c r="J6" s="990"/>
      <c r="K6" s="990"/>
      <c r="L6" s="990"/>
      <c r="M6" s="588"/>
    </row>
    <row r="7" spans="1:13" s="417" customFormat="1" ht="27" customHeight="1">
      <c r="A7" s="438"/>
      <c r="B7" s="1000" t="s">
        <v>665</v>
      </c>
      <c r="C7" s="1000"/>
      <c r="D7" s="1000"/>
      <c r="E7" s="1000"/>
      <c r="F7" s="1000"/>
      <c r="G7" s="1000"/>
      <c r="H7" s="1000"/>
      <c r="I7" s="1000"/>
      <c r="J7" s="1000"/>
      <c r="K7" s="414"/>
      <c r="L7" s="414"/>
      <c r="M7" s="414"/>
    </row>
    <row r="8" spans="1:13" s="568" customFormat="1" ht="18" customHeight="1">
      <c r="A8" s="583"/>
      <c r="B8" s="711"/>
      <c r="C8" s="711"/>
      <c r="D8" s="711"/>
      <c r="E8" s="711"/>
      <c r="F8" s="711"/>
      <c r="G8" s="711"/>
      <c r="H8" s="711"/>
      <c r="I8" s="711"/>
      <c r="J8" s="711"/>
      <c r="K8" s="564"/>
      <c r="L8" s="564"/>
      <c r="M8" s="564"/>
    </row>
    <row r="9" spans="1:13" s="417" customFormat="1" ht="15.75" customHeight="1">
      <c r="A9" s="527" t="s">
        <v>594</v>
      </c>
      <c r="B9" s="414"/>
      <c r="C9" s="564"/>
      <c r="D9" s="414"/>
      <c r="E9" s="1008" t="s">
        <v>485</v>
      </c>
      <c r="F9" s="1009"/>
      <c r="G9" s="1003" t="s">
        <v>552</v>
      </c>
      <c r="H9" s="450" t="s">
        <v>484</v>
      </c>
      <c r="I9" s="419"/>
      <c r="J9" s="422"/>
      <c r="K9" s="422"/>
      <c r="L9" s="420"/>
    </row>
    <row r="10" spans="1:13" s="417" customFormat="1" ht="15.75" customHeight="1">
      <c r="A10" s="438">
        <v>1</v>
      </c>
      <c r="B10" s="414" t="s">
        <v>712</v>
      </c>
      <c r="C10" s="564"/>
      <c r="D10" s="414"/>
      <c r="E10" s="1005" t="s">
        <v>304</v>
      </c>
      <c r="F10" s="1007"/>
      <c r="G10" s="1004"/>
      <c r="H10" s="423" t="s">
        <v>555</v>
      </c>
      <c r="I10" s="1005" t="s">
        <v>306</v>
      </c>
      <c r="J10" s="1006"/>
      <c r="K10" s="1006"/>
      <c r="L10" s="1007"/>
    </row>
    <row r="11" spans="1:13" s="417" customFormat="1" ht="13.8">
      <c r="A11" s="438">
        <v>2</v>
      </c>
      <c r="B11" s="849">
        <v>2020</v>
      </c>
      <c r="C11" s="571"/>
      <c r="D11" s="414"/>
      <c r="E11" s="424"/>
      <c r="F11" s="424"/>
      <c r="G11" s="425">
        <v>6147836.3145352229</v>
      </c>
      <c r="H11" s="426"/>
      <c r="I11" s="424"/>
      <c r="J11" s="424"/>
      <c r="K11" s="424"/>
      <c r="L11" s="424"/>
    </row>
    <row r="12" spans="1:13" s="417" customFormat="1" ht="13.8">
      <c r="B12" s="427" t="s">
        <v>62</v>
      </c>
      <c r="C12" s="574"/>
      <c r="D12" s="427" t="s">
        <v>63</v>
      </c>
      <c r="E12" s="423" t="s">
        <v>64</v>
      </c>
      <c r="F12" s="423" t="s">
        <v>65</v>
      </c>
      <c r="G12" s="421" t="s">
        <v>66</v>
      </c>
      <c r="H12" s="428" t="s">
        <v>67</v>
      </c>
      <c r="I12" s="428" t="s">
        <v>68</v>
      </c>
      <c r="J12" s="428" t="s">
        <v>69</v>
      </c>
      <c r="K12" s="449" t="s">
        <v>70</v>
      </c>
      <c r="L12" s="428" t="s">
        <v>71</v>
      </c>
    </row>
    <row r="13" spans="1:13" s="417" customFormat="1" ht="13.8">
      <c r="A13" s="438"/>
      <c r="B13" s="424"/>
      <c r="C13" s="572"/>
      <c r="D13" s="421"/>
      <c r="E13" s="421"/>
      <c r="F13" s="441" t="s">
        <v>307</v>
      </c>
      <c r="G13" s="421" t="s">
        <v>559</v>
      </c>
      <c r="H13" s="421"/>
      <c r="I13" s="424"/>
      <c r="J13" s="421" t="s">
        <v>479</v>
      </c>
      <c r="K13" s="424"/>
      <c r="L13" s="424"/>
    </row>
    <row r="14" spans="1:13" s="417" customFormat="1" ht="13.8">
      <c r="A14" s="438"/>
      <c r="B14" s="426"/>
      <c r="C14" s="573"/>
      <c r="D14" s="575" t="s">
        <v>313</v>
      </c>
      <c r="E14" s="428"/>
      <c r="F14" s="439" t="s">
        <v>13</v>
      </c>
      <c r="G14" s="428" t="s">
        <v>379</v>
      </c>
      <c r="H14" s="428" t="s">
        <v>479</v>
      </c>
      <c r="I14" s="428" t="s">
        <v>380</v>
      </c>
      <c r="J14" s="428" t="s">
        <v>273</v>
      </c>
      <c r="K14" s="428" t="s">
        <v>325</v>
      </c>
      <c r="L14" s="428"/>
    </row>
    <row r="15" spans="1:13" s="417" customFormat="1" ht="13.8">
      <c r="A15" s="438"/>
      <c r="B15" s="428"/>
      <c r="C15" s="575"/>
      <c r="D15" s="575" t="s">
        <v>585</v>
      </c>
      <c r="E15" s="428" t="s">
        <v>308</v>
      </c>
      <c r="F15" s="439" t="s">
        <v>282</v>
      </c>
      <c r="G15" s="428" t="s">
        <v>311</v>
      </c>
      <c r="H15" s="428" t="s">
        <v>308</v>
      </c>
      <c r="I15" s="428" t="s">
        <v>283</v>
      </c>
      <c r="J15" s="428" t="s">
        <v>309</v>
      </c>
      <c r="K15" s="448" t="s">
        <v>476</v>
      </c>
      <c r="L15" s="428" t="s">
        <v>332</v>
      </c>
    </row>
    <row r="16" spans="1:13" s="417" customFormat="1" ht="16.2">
      <c r="A16" s="438"/>
      <c r="B16" s="570" t="s">
        <v>310</v>
      </c>
      <c r="C16" s="570" t="s">
        <v>580</v>
      </c>
      <c r="D16" s="570" t="s">
        <v>586</v>
      </c>
      <c r="E16" s="423" t="s">
        <v>312</v>
      </c>
      <c r="F16" s="439" t="s">
        <v>305</v>
      </c>
      <c r="G16" s="442" t="s">
        <v>556</v>
      </c>
      <c r="H16" s="423" t="s">
        <v>483</v>
      </c>
      <c r="I16" s="423" t="s">
        <v>557</v>
      </c>
      <c r="J16" s="423" t="s">
        <v>480</v>
      </c>
      <c r="K16" s="447" t="s">
        <v>481</v>
      </c>
      <c r="L16" s="423" t="s">
        <v>558</v>
      </c>
    </row>
    <row r="17" spans="1:13" s="417" customFormat="1" ht="13.8">
      <c r="A17" s="438">
        <v>3</v>
      </c>
      <c r="B17" s="468" t="s">
        <v>762</v>
      </c>
      <c r="C17" s="599"/>
      <c r="D17" s="435"/>
      <c r="E17" s="451">
        <v>0</v>
      </c>
      <c r="F17" s="464">
        <f>IF(E$29=0,0,E17/E$29)</f>
        <v>0</v>
      </c>
      <c r="G17" s="455">
        <f>IF(G$11=0,0,F17*G$11)</f>
        <v>0</v>
      </c>
      <c r="H17" s="456">
        <v>0</v>
      </c>
      <c r="I17" s="459">
        <f>+H17-G17</f>
        <v>0</v>
      </c>
      <c r="J17" s="459">
        <f>+$J$31*F17</f>
        <v>0</v>
      </c>
      <c r="K17" s="460">
        <f>+D38</f>
        <v>0</v>
      </c>
      <c r="L17" s="531">
        <f>+I17+J17+K17</f>
        <v>0</v>
      </c>
    </row>
    <row r="18" spans="1:13" s="568" customFormat="1" ht="13.8">
      <c r="A18" s="582"/>
      <c r="B18" s="589"/>
      <c r="C18" s="589"/>
      <c r="D18" s="518"/>
      <c r="E18" s="519"/>
      <c r="F18" s="520"/>
      <c r="G18" s="521"/>
      <c r="H18" s="521"/>
      <c r="I18" s="522"/>
      <c r="J18" s="522"/>
      <c r="K18" s="522"/>
      <c r="L18" s="522"/>
    </row>
    <row r="19" spans="1:13" s="417" customFormat="1" ht="13.8">
      <c r="A19" s="438" t="s">
        <v>590</v>
      </c>
      <c r="B19" s="964" t="s">
        <v>904</v>
      </c>
      <c r="C19" s="964" t="s">
        <v>581</v>
      </c>
      <c r="D19" s="959" t="s">
        <v>905</v>
      </c>
      <c r="E19" s="452">
        <v>6147836.3304333836</v>
      </c>
      <c r="F19" s="465">
        <f>IF(E$29=0,0,E19/E$29)</f>
        <v>1</v>
      </c>
      <c r="G19" s="455">
        <f>IF(G$11=0,0,F19*G$11)</f>
        <v>6147836.3145352229</v>
      </c>
      <c r="H19" s="457">
        <v>4335371.3983763251</v>
      </c>
      <c r="I19" s="461">
        <f>+H19-G19</f>
        <v>-1812464.9161588978</v>
      </c>
      <c r="J19" s="459">
        <f>+$J$31*F19</f>
        <v>-125539.10795474355</v>
      </c>
      <c r="K19" s="462">
        <v>0</v>
      </c>
      <c r="L19" s="594">
        <f>+I19+J19+K19</f>
        <v>-1938004.0241136414</v>
      </c>
    </row>
    <row r="20" spans="1:13" s="417" customFormat="1" ht="13.8">
      <c r="A20" s="438" t="s">
        <v>591</v>
      </c>
      <c r="B20" s="964"/>
      <c r="C20" s="964"/>
      <c r="D20" s="961"/>
      <c r="E20" s="452">
        <v>0</v>
      </c>
      <c r="F20" s="465">
        <f>IF(E$29=0,0,E20/E$29)</f>
        <v>0</v>
      </c>
      <c r="G20" s="455">
        <f>IF(G$11=0,0,F20*G$11)</f>
        <v>0</v>
      </c>
      <c r="H20" s="457">
        <f>+'1-Project Rev Req'!S60</f>
        <v>0</v>
      </c>
      <c r="I20" s="461">
        <f>+H20-G20</f>
        <v>0</v>
      </c>
      <c r="J20" s="459">
        <f>+$J$31*F20</f>
        <v>0</v>
      </c>
      <c r="K20" s="462">
        <v>0</v>
      </c>
      <c r="L20" s="594">
        <f>+I20+J20+K20</f>
        <v>0</v>
      </c>
    </row>
    <row r="21" spans="1:13" s="568" customFormat="1" ht="13.8">
      <c r="A21" s="582">
        <v>5</v>
      </c>
      <c r="B21" s="963" t="s">
        <v>583</v>
      </c>
      <c r="C21" s="963"/>
      <c r="D21" s="966"/>
      <c r="E21" s="525">
        <f>+E19+E20</f>
        <v>6147836.3304333836</v>
      </c>
      <c r="F21" s="526"/>
      <c r="G21" s="525">
        <f t="shared" ref="G21:L21" si="0">+G19+G20</f>
        <v>6147836.3145352229</v>
      </c>
      <c r="H21" s="525">
        <f t="shared" si="0"/>
        <v>4335371.3983763251</v>
      </c>
      <c r="I21" s="525">
        <f t="shared" si="0"/>
        <v>-1812464.9161588978</v>
      </c>
      <c r="J21" s="525">
        <f t="shared" si="0"/>
        <v>-125539.10795474355</v>
      </c>
      <c r="K21" s="525">
        <f t="shared" si="0"/>
        <v>0</v>
      </c>
      <c r="L21" s="528">
        <f t="shared" si="0"/>
        <v>-1938004.0241136414</v>
      </c>
    </row>
    <row r="22" spans="1:13" s="568" customFormat="1" ht="13.8">
      <c r="A22" s="582"/>
      <c r="B22" s="962"/>
      <c r="C22" s="962"/>
      <c r="D22" s="965"/>
      <c r="E22" s="519"/>
      <c r="F22" s="520"/>
      <c r="G22" s="521"/>
      <c r="H22" s="521"/>
      <c r="I22" s="523"/>
      <c r="J22" s="522"/>
      <c r="K22" s="523"/>
      <c r="L22" s="522"/>
    </row>
    <row r="23" spans="1:13" s="417" customFormat="1" ht="13.8">
      <c r="A23" s="438" t="s">
        <v>592</v>
      </c>
      <c r="B23" s="964"/>
      <c r="C23" s="964" t="s">
        <v>582</v>
      </c>
      <c r="D23" s="961"/>
      <c r="E23" s="452">
        <v>0</v>
      </c>
      <c r="F23" s="465">
        <f>IF(E$29=0,0,E23/E$29)</f>
        <v>0</v>
      </c>
      <c r="G23" s="455">
        <f>IF(G$11=0,0,F23*G$11)</f>
        <v>0</v>
      </c>
      <c r="H23" s="457">
        <f>+'1-Project Rev Req'!S63</f>
        <v>0</v>
      </c>
      <c r="I23" s="461">
        <f>+H23-G23</f>
        <v>0</v>
      </c>
      <c r="J23" s="594">
        <f>+$J$31*F23</f>
        <v>0</v>
      </c>
      <c r="K23" s="462">
        <v>0</v>
      </c>
      <c r="L23" s="594">
        <f>+I23+J23+K23</f>
        <v>0</v>
      </c>
    </row>
    <row r="24" spans="1:13" s="417" customFormat="1" ht="13.8">
      <c r="A24" s="438" t="s">
        <v>593</v>
      </c>
      <c r="B24" s="964"/>
      <c r="C24" s="964"/>
      <c r="D24" s="961"/>
      <c r="E24" s="452">
        <v>0</v>
      </c>
      <c r="F24" s="465">
        <f>IF(E$29=0,0,E24/E$29)</f>
        <v>0</v>
      </c>
      <c r="G24" s="455">
        <f>IF(G$11=0,0,F24*G$11)</f>
        <v>0</v>
      </c>
      <c r="H24" s="457">
        <f>+'1-Project Rev Req'!S64</f>
        <v>0</v>
      </c>
      <c r="I24" s="461">
        <f>+H24-G24</f>
        <v>0</v>
      </c>
      <c r="J24" s="594">
        <f>+$J$31*F24</f>
        <v>0</v>
      </c>
      <c r="K24" s="462">
        <v>0</v>
      </c>
      <c r="L24" s="594">
        <f>+I24+J24+K24</f>
        <v>0</v>
      </c>
    </row>
    <row r="25" spans="1:13" s="568" customFormat="1" ht="13.8">
      <c r="A25" s="582">
        <v>7</v>
      </c>
      <c r="B25" s="590" t="s">
        <v>584</v>
      </c>
      <c r="C25" s="590"/>
      <c r="D25" s="524"/>
      <c r="E25" s="525">
        <f>+E23+E24</f>
        <v>0</v>
      </c>
      <c r="F25" s="526"/>
      <c r="G25" s="528">
        <f t="shared" ref="G25:L25" si="1">+G23+G24</f>
        <v>0</v>
      </c>
      <c r="H25" s="585">
        <f t="shared" si="1"/>
        <v>0</v>
      </c>
      <c r="I25" s="525">
        <f t="shared" si="1"/>
        <v>0</v>
      </c>
      <c r="J25" s="525">
        <f t="shared" si="1"/>
        <v>0</v>
      </c>
      <c r="K25" s="525">
        <f t="shared" si="1"/>
        <v>0</v>
      </c>
      <c r="L25" s="528">
        <f t="shared" si="1"/>
        <v>0</v>
      </c>
    </row>
    <row r="26" spans="1:13" s="568" customFormat="1" ht="13.8">
      <c r="A26" s="582"/>
      <c r="B26" s="589"/>
      <c r="C26" s="589"/>
      <c r="D26" s="518"/>
      <c r="E26" s="519"/>
      <c r="F26" s="520"/>
      <c r="G26" s="523"/>
      <c r="H26" s="521"/>
      <c r="I26" s="523"/>
      <c r="J26" s="522"/>
      <c r="K26" s="523"/>
      <c r="L26" s="522"/>
    </row>
    <row r="27" spans="1:13" s="568" customFormat="1" ht="13.8">
      <c r="A27" s="583">
        <f>+A25+1</f>
        <v>8</v>
      </c>
      <c r="B27" s="599" t="s">
        <v>404</v>
      </c>
      <c r="C27" s="599"/>
      <c r="D27" s="580"/>
      <c r="E27" s="591"/>
      <c r="F27" s="598"/>
      <c r="G27" s="595"/>
      <c r="H27" s="593"/>
      <c r="I27" s="595"/>
      <c r="J27" s="594"/>
      <c r="K27" s="596"/>
      <c r="L27" s="594"/>
    </row>
    <row r="28" spans="1:13">
      <c r="A28" s="438"/>
      <c r="B28" s="429"/>
      <c r="C28" s="576"/>
      <c r="D28" s="429"/>
      <c r="E28" s="453"/>
      <c r="F28" s="466"/>
      <c r="G28" s="597"/>
      <c r="H28" s="458"/>
      <c r="I28" s="463"/>
      <c r="J28" s="463"/>
      <c r="K28" s="463"/>
      <c r="L28" s="597"/>
    </row>
    <row r="29" spans="1:13">
      <c r="A29" s="438">
        <f>+A27+1</f>
        <v>9</v>
      </c>
      <c r="B29" s="414" t="s">
        <v>475</v>
      </c>
      <c r="C29" s="564"/>
      <c r="D29" s="414"/>
      <c r="E29" s="454">
        <f>+E17+E21+E25+E27</f>
        <v>6147836.3304333836</v>
      </c>
      <c r="F29" s="467">
        <f>SUM(F17:F28)</f>
        <v>1</v>
      </c>
      <c r="G29" s="592">
        <f t="shared" ref="G29:L29" si="2">+G17+G21+G25+G27</f>
        <v>6147836.3145352229</v>
      </c>
      <c r="H29" s="592">
        <f t="shared" si="2"/>
        <v>4335371.3983763251</v>
      </c>
      <c r="I29" s="592">
        <f t="shared" si="2"/>
        <v>-1812464.9161588978</v>
      </c>
      <c r="J29" s="592">
        <f t="shared" si="2"/>
        <v>-125539.10795474355</v>
      </c>
      <c r="K29" s="592">
        <f t="shared" si="2"/>
        <v>0</v>
      </c>
      <c r="L29" s="592">
        <f t="shared" si="2"/>
        <v>-1938004.0241136414</v>
      </c>
    </row>
    <row r="30" spans="1:13">
      <c r="A30" s="438"/>
      <c r="B30" s="414"/>
      <c r="C30" s="564"/>
      <c r="D30" s="414"/>
      <c r="E30" s="430"/>
      <c r="F30" s="430"/>
      <c r="G30" s="430"/>
      <c r="H30" s="454"/>
      <c r="I30" s="430"/>
      <c r="J30" s="430"/>
      <c r="K30" s="430"/>
      <c r="L30" s="430"/>
    </row>
    <row r="31" spans="1:13">
      <c r="A31" s="438">
        <f>+A29+1</f>
        <v>10</v>
      </c>
      <c r="B31" s="414"/>
      <c r="C31" s="564"/>
      <c r="D31" s="414"/>
      <c r="E31" s="430"/>
      <c r="F31" s="430"/>
      <c r="G31" s="818"/>
      <c r="H31" s="818" t="s">
        <v>624</v>
      </c>
      <c r="I31" s="818"/>
      <c r="J31" s="843">
        <f>+'6 - True-Up Interest'!I57</f>
        <v>-125539.10795474355</v>
      </c>
      <c r="K31" s="430"/>
      <c r="L31" s="430"/>
    </row>
    <row r="32" spans="1:13">
      <c r="A32" s="438"/>
      <c r="B32" s="414"/>
      <c r="C32" s="564"/>
      <c r="D32" s="414"/>
      <c r="E32" s="430"/>
      <c r="F32" s="430"/>
      <c r="G32" s="430"/>
      <c r="H32" s="430"/>
      <c r="I32" s="430"/>
      <c r="J32" s="430"/>
      <c r="K32" s="430"/>
      <c r="L32" s="430"/>
      <c r="M32" s="430"/>
    </row>
    <row r="33" spans="1:13">
      <c r="A33" s="438"/>
      <c r="B33" s="431"/>
      <c r="C33" s="577"/>
      <c r="D33" s="431"/>
      <c r="E33" s="411"/>
      <c r="F33" s="411"/>
      <c r="G33" s="411"/>
      <c r="H33" s="411"/>
      <c r="I33" s="411"/>
      <c r="J33" s="431"/>
      <c r="K33" s="431"/>
      <c r="L33" s="431"/>
    </row>
    <row r="34" spans="1:13">
      <c r="A34" s="440" t="s">
        <v>327</v>
      </c>
      <c r="D34" s="431"/>
      <c r="E34" s="411"/>
      <c r="F34" s="411"/>
      <c r="G34" s="411"/>
      <c r="H34" s="411"/>
      <c r="I34" s="411"/>
      <c r="J34" s="431"/>
      <c r="K34" s="431"/>
      <c r="L34" s="431"/>
    </row>
    <row r="35" spans="1:13" ht="15">
      <c r="A35" s="436"/>
      <c r="B35" s="403" t="s">
        <v>62</v>
      </c>
      <c r="C35" s="587"/>
      <c r="D35" s="403" t="s">
        <v>63</v>
      </c>
      <c r="E35"/>
      <c r="F35"/>
      <c r="G35"/>
      <c r="H35"/>
      <c r="L35" s="431"/>
    </row>
    <row r="36" spans="1:13" ht="15">
      <c r="A36" s="436"/>
      <c r="B36" s="432" t="str">
        <f>+A34</f>
        <v>Prior Period Adjustment</v>
      </c>
      <c r="C36" s="578"/>
      <c r="D36" s="433" t="s">
        <v>477</v>
      </c>
      <c r="E36"/>
      <c r="F36"/>
      <c r="G36"/>
      <c r="H36"/>
      <c r="L36" s="431"/>
    </row>
    <row r="37" spans="1:13" ht="15">
      <c r="A37" s="436"/>
      <c r="B37" s="663" t="s">
        <v>482</v>
      </c>
      <c r="C37" s="663" t="s">
        <v>199</v>
      </c>
      <c r="D37" s="664" t="s">
        <v>11</v>
      </c>
      <c r="E37"/>
      <c r="F37"/>
      <c r="G37"/>
      <c r="H37"/>
      <c r="L37" s="431"/>
    </row>
    <row r="38" spans="1:13" ht="15">
      <c r="A38" s="436">
        <f>+A31+1</f>
        <v>11</v>
      </c>
      <c r="B38" s="404" t="s">
        <v>554</v>
      </c>
      <c r="C38" s="819" t="s">
        <v>491</v>
      </c>
      <c r="D38" s="567">
        <f>+'11-Corrections'!F30</f>
        <v>0</v>
      </c>
      <c r="E38"/>
      <c r="F38"/>
      <c r="G38"/>
      <c r="H38"/>
      <c r="L38" s="431"/>
    </row>
    <row r="39" spans="1:13" ht="15">
      <c r="A39" s="436"/>
      <c r="B39" s="434"/>
      <c r="C39" s="579"/>
      <c r="D39" s="412"/>
      <c r="E39"/>
      <c r="F39"/>
      <c r="G39"/>
      <c r="H39"/>
      <c r="L39" s="431"/>
    </row>
    <row r="40" spans="1:13" ht="15">
      <c r="A40" s="436"/>
      <c r="D40" s="431"/>
      <c r="E40"/>
      <c r="F40"/>
      <c r="G40"/>
      <c r="H40"/>
      <c r="I40" s="405"/>
      <c r="L40" s="431"/>
    </row>
    <row r="41" spans="1:13" ht="14.25" customHeight="1">
      <c r="A41" s="527" t="s">
        <v>176</v>
      </c>
      <c r="B41" s="662"/>
      <c r="C41" s="564"/>
      <c r="D41" s="414"/>
      <c r="E41" s="414"/>
      <c r="F41" s="414"/>
      <c r="G41" s="414"/>
      <c r="H41" s="414"/>
      <c r="I41" s="414"/>
      <c r="J41" s="414"/>
      <c r="K41" s="414"/>
      <c r="L41" s="414"/>
      <c r="M41" s="414"/>
    </row>
    <row r="42" spans="1:13">
      <c r="A42" s="817" t="s">
        <v>655</v>
      </c>
      <c r="B42" s="799" t="s">
        <v>706</v>
      </c>
      <c r="C42" s="799"/>
      <c r="D42" s="799"/>
      <c r="E42" s="799"/>
      <c r="F42" s="799"/>
      <c r="G42" s="799"/>
      <c r="H42" s="799"/>
      <c r="I42" s="799"/>
      <c r="J42" s="799"/>
      <c r="K42" s="799"/>
      <c r="L42" s="799"/>
      <c r="M42" s="414"/>
    </row>
    <row r="43" spans="1:13">
      <c r="A43" s="817" t="s">
        <v>656</v>
      </c>
      <c r="B43" s="799" t="s">
        <v>737</v>
      </c>
      <c r="C43" s="799"/>
      <c r="D43" s="799"/>
      <c r="E43" s="799"/>
      <c r="F43" s="799"/>
      <c r="G43" s="799"/>
      <c r="H43" s="799"/>
      <c r="I43" s="799"/>
      <c r="J43" s="799"/>
      <c r="K43" s="799"/>
      <c r="L43" s="799"/>
      <c r="M43" s="414"/>
    </row>
    <row r="44" spans="1:13">
      <c r="A44" s="817" t="s">
        <v>657</v>
      </c>
      <c r="B44" s="799" t="s">
        <v>738</v>
      </c>
      <c r="C44" s="799"/>
      <c r="D44" s="799"/>
      <c r="E44" s="799"/>
      <c r="F44" s="799"/>
      <c r="G44" s="799"/>
      <c r="H44" s="799"/>
      <c r="I44" s="799"/>
      <c r="J44" s="799"/>
      <c r="K44" s="799"/>
      <c r="L44" s="799"/>
      <c r="M44" s="414"/>
    </row>
    <row r="45" spans="1:13" ht="28.5" customHeight="1">
      <c r="A45" s="817" t="s">
        <v>658</v>
      </c>
      <c r="B45" s="990" t="s">
        <v>739</v>
      </c>
      <c r="C45" s="990"/>
      <c r="D45" s="990"/>
      <c r="E45" s="990"/>
      <c r="F45" s="990"/>
      <c r="G45" s="990"/>
      <c r="H45" s="990"/>
      <c r="I45" s="990"/>
      <c r="J45" s="990"/>
      <c r="K45" s="990"/>
      <c r="L45" s="990"/>
      <c r="M45" s="401"/>
    </row>
    <row r="46" spans="1:13" ht="20.25" customHeight="1">
      <c r="A46" s="817" t="s">
        <v>659</v>
      </c>
      <c r="B46" s="1002" t="s">
        <v>660</v>
      </c>
      <c r="C46" s="1002"/>
      <c r="D46" s="1002"/>
      <c r="E46" s="1002"/>
      <c r="F46" s="1002"/>
      <c r="G46" s="1002"/>
      <c r="H46" s="1002"/>
      <c r="I46" s="1002"/>
      <c r="J46" s="1002"/>
      <c r="K46" s="1002"/>
      <c r="L46" s="1002"/>
      <c r="M46" s="414"/>
    </row>
    <row r="47" spans="1:13">
      <c r="A47" s="438"/>
      <c r="B47" s="415"/>
      <c r="C47" s="566"/>
      <c r="D47" s="414"/>
      <c r="E47" s="414"/>
      <c r="F47" s="414"/>
      <c r="G47" s="414"/>
      <c r="H47" s="414"/>
      <c r="I47" s="415"/>
      <c r="J47" s="414"/>
      <c r="K47" s="414"/>
      <c r="L47" s="414"/>
      <c r="M47" s="414"/>
    </row>
    <row r="48" spans="1:13">
      <c r="A48" s="438"/>
      <c r="B48" s="415"/>
      <c r="C48" s="566"/>
      <c r="D48" s="414"/>
      <c r="E48" s="414"/>
      <c r="F48" s="414"/>
      <c r="G48" s="414"/>
      <c r="H48" s="414"/>
      <c r="I48" s="415"/>
      <c r="J48" s="414"/>
      <c r="K48" s="414"/>
      <c r="L48" s="414"/>
      <c r="M48" s="414"/>
    </row>
  </sheetData>
  <customSheetViews>
    <customSheetView guid="{63AFAF34-E340-4B5E-A289-FFB7051CA9B6}" showPageBreaks="1" fitToPage="1" printArea="1" topLeftCell="A7">
      <selection activeCell="B17" sqref="B17"/>
      <pageMargins left="0.25" right="0.25" top="0.75" bottom="0.75" header="0.3" footer="0.3"/>
      <pageSetup scale="69" orientation="landscape" r:id="rId1"/>
    </customSheetView>
    <customSheetView guid="{F1DC5514-577A-46EB-866C-26F0BED2C286}" scale="70" showPageBreaks="1" fitToPage="1" printArea="1" view="pageBreakPreview">
      <selection activeCell="E31" sqref="E31"/>
      <pageMargins left="0.25" right="0.25" top="0.75" bottom="0.75" header="0.3" footer="0.3"/>
      <pageSetup scale="70" orientation="landscape" r:id="rId2"/>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65" orientation="landscape"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view="pageBreakPreview" zoomScale="70" zoomScaleNormal="85" zoomScaleSheetLayoutView="70" workbookViewId="0">
      <selection activeCell="B75" sqref="B75"/>
    </sheetView>
  </sheetViews>
  <sheetFormatPr defaultColWidth="8.90625" defaultRowHeight="13.2"/>
  <cols>
    <col min="1" max="1" width="8" style="12" customWidth="1"/>
    <col min="2" max="2" width="34.81640625" style="14" customWidth="1"/>
    <col min="3" max="3" width="17.90625" style="14" customWidth="1"/>
    <col min="4" max="4" width="17" style="14" customWidth="1"/>
    <col min="5" max="5" width="19.90625" style="14" customWidth="1"/>
    <col min="6" max="6" width="19.54296875" style="14" customWidth="1"/>
    <col min="7" max="7" width="21.36328125" style="14" customWidth="1"/>
    <col min="8" max="8" width="18" style="14" customWidth="1"/>
    <col min="9" max="9" width="16.81640625" style="14" customWidth="1"/>
    <col min="10" max="10" width="17" style="14" customWidth="1"/>
    <col min="11" max="14" width="11.81640625" style="14" customWidth="1"/>
    <col min="15" max="16384" width="8.90625" style="14"/>
  </cols>
  <sheetData>
    <row r="1" spans="1:12">
      <c r="B1" s="1010" t="s">
        <v>183</v>
      </c>
      <c r="C1" s="1010"/>
      <c r="D1" s="1010"/>
      <c r="E1" s="1010"/>
      <c r="F1" s="1010"/>
      <c r="G1" s="1010"/>
      <c r="H1" s="1010"/>
      <c r="I1" s="1010"/>
      <c r="J1" s="1" t="s">
        <v>602</v>
      </c>
    </row>
    <row r="2" spans="1:12">
      <c r="A2" s="218"/>
      <c r="B2" s="1011" t="s">
        <v>241</v>
      </c>
      <c r="C2" s="1011"/>
      <c r="D2" s="1011"/>
      <c r="E2" s="1011"/>
      <c r="F2" s="1011"/>
      <c r="G2" s="1011"/>
      <c r="H2" s="1011"/>
      <c r="I2" s="1011"/>
      <c r="J2" s="1"/>
      <c r="L2" s="217"/>
    </row>
    <row r="3" spans="1:12">
      <c r="A3" s="218"/>
      <c r="B3" s="1012" t="str">
        <f>+'Attachment H-29A'!D5</f>
        <v>Transource Pennsylvania, LLC</v>
      </c>
      <c r="C3" s="1012"/>
      <c r="D3" s="1012"/>
      <c r="E3" s="1012"/>
      <c r="F3" s="1012"/>
      <c r="G3" s="1012"/>
      <c r="H3" s="1012"/>
      <c r="I3" s="1012"/>
      <c r="J3" s="1"/>
    </row>
    <row r="4" spans="1:12">
      <c r="A4" s="218"/>
      <c r="C4" s="1"/>
      <c r="D4" s="1"/>
      <c r="E4" s="1"/>
      <c r="F4" s="1"/>
      <c r="G4" s="1"/>
      <c r="H4" s="1"/>
      <c r="I4" s="1"/>
      <c r="J4" s="1"/>
    </row>
    <row r="5" spans="1:12">
      <c r="A5" s="218"/>
      <c r="B5" s="2"/>
      <c r="C5" s="2"/>
      <c r="D5" s="2"/>
      <c r="E5" s="2"/>
      <c r="F5" s="836"/>
      <c r="G5" s="2"/>
      <c r="H5" s="2"/>
      <c r="I5" s="2"/>
      <c r="J5" s="2"/>
    </row>
    <row r="6" spans="1:12">
      <c r="A6" s="218"/>
      <c r="B6" s="2"/>
      <c r="C6" s="1015" t="s">
        <v>201</v>
      </c>
      <c r="D6" s="1015"/>
      <c r="E6" s="10" t="s">
        <v>203</v>
      </c>
      <c r="F6" s="10" t="s">
        <v>204</v>
      </c>
      <c r="G6" s="1015" t="s">
        <v>202</v>
      </c>
      <c r="H6" s="1015"/>
      <c r="I6" s="1014" t="s">
        <v>200</v>
      </c>
      <c r="J6" s="1014"/>
    </row>
    <row r="7" spans="1:12" s="11" customFormat="1" ht="26.4">
      <c r="A7" s="219" t="s">
        <v>713</v>
      </c>
      <c r="B7" s="3" t="s">
        <v>160</v>
      </c>
      <c r="C7" s="3" t="s">
        <v>16</v>
      </c>
      <c r="D7" s="3" t="s">
        <v>167</v>
      </c>
      <c r="E7" s="3" t="s">
        <v>375</v>
      </c>
      <c r="F7" s="3" t="s">
        <v>161</v>
      </c>
      <c r="G7" s="3" t="s">
        <v>162</v>
      </c>
      <c r="H7" s="3" t="s">
        <v>163</v>
      </c>
      <c r="I7" s="3" t="s">
        <v>16</v>
      </c>
      <c r="J7" s="3" t="s">
        <v>167</v>
      </c>
    </row>
    <row r="8" spans="1:12" s="13" customFormat="1">
      <c r="A8" s="218"/>
      <c r="B8" s="10" t="s">
        <v>190</v>
      </c>
      <c r="C8" s="10" t="s">
        <v>191</v>
      </c>
      <c r="D8" s="10" t="s">
        <v>192</v>
      </c>
      <c r="E8" s="3" t="s">
        <v>193</v>
      </c>
      <c r="F8" s="3" t="s">
        <v>195</v>
      </c>
      <c r="G8" s="3" t="s">
        <v>194</v>
      </c>
      <c r="H8" s="3" t="s">
        <v>196</v>
      </c>
      <c r="I8" s="4" t="s">
        <v>197</v>
      </c>
      <c r="J8" s="4" t="s">
        <v>198</v>
      </c>
    </row>
    <row r="9" spans="1:12" s="13" customFormat="1" ht="44.25" customHeight="1">
      <c r="A9" s="218"/>
      <c r="B9" s="250" t="s">
        <v>504</v>
      </c>
      <c r="C9" s="274" t="s">
        <v>278</v>
      </c>
      <c r="D9" s="297" t="s">
        <v>294</v>
      </c>
      <c r="E9" s="323" t="s">
        <v>604</v>
      </c>
      <c r="F9" s="297" t="s">
        <v>717</v>
      </c>
      <c r="G9" s="274" t="s">
        <v>281</v>
      </c>
      <c r="H9" s="274" t="s">
        <v>883</v>
      </c>
      <c r="I9" s="274" t="s">
        <v>279</v>
      </c>
      <c r="J9" s="274" t="s">
        <v>280</v>
      </c>
    </row>
    <row r="10" spans="1:12">
      <c r="A10" s="218">
        <v>1</v>
      </c>
      <c r="B10" s="5" t="s">
        <v>187</v>
      </c>
      <c r="C10" s="6">
        <v>0</v>
      </c>
      <c r="D10" s="6">
        <v>862904.37978331198</v>
      </c>
      <c r="E10" s="6">
        <v>77234091.609999985</v>
      </c>
      <c r="F10" s="982">
        <v>0</v>
      </c>
      <c r="G10" s="982">
        <v>0</v>
      </c>
      <c r="H10" s="6">
        <v>17541.21</v>
      </c>
      <c r="I10" s="982">
        <v>0</v>
      </c>
      <c r="J10" s="982">
        <v>149833.08008761599</v>
      </c>
    </row>
    <row r="11" spans="1:12">
      <c r="A11" s="218">
        <v>2</v>
      </c>
      <c r="B11" s="5" t="s">
        <v>85</v>
      </c>
      <c r="C11" s="6">
        <v>0</v>
      </c>
      <c r="D11" s="6">
        <v>1019160.78655389</v>
      </c>
      <c r="E11" s="6">
        <v>77264258.609999985</v>
      </c>
      <c r="F11" s="982">
        <v>0</v>
      </c>
      <c r="G11" s="982">
        <v>0</v>
      </c>
      <c r="H11" s="6">
        <v>17541.21</v>
      </c>
      <c r="I11" s="982">
        <v>0</v>
      </c>
      <c r="J11" s="982">
        <v>164025.87088858799</v>
      </c>
    </row>
    <row r="12" spans="1:12">
      <c r="A12" s="218">
        <v>3</v>
      </c>
      <c r="B12" s="1" t="s">
        <v>84</v>
      </c>
      <c r="C12" s="6">
        <v>0</v>
      </c>
      <c r="D12" s="6">
        <v>1098594.1842932</v>
      </c>
      <c r="E12" s="6">
        <v>77294425.609999985</v>
      </c>
      <c r="F12" s="982">
        <v>0</v>
      </c>
      <c r="G12" s="982">
        <v>0</v>
      </c>
      <c r="H12" s="6">
        <v>17541.21</v>
      </c>
      <c r="I12" s="982">
        <v>0</v>
      </c>
      <c r="J12" s="982">
        <v>180822.93513573601</v>
      </c>
    </row>
    <row r="13" spans="1:12">
      <c r="A13" s="218">
        <v>4</v>
      </c>
      <c r="B13" s="1" t="s">
        <v>164</v>
      </c>
      <c r="C13" s="6">
        <v>0</v>
      </c>
      <c r="D13" s="6">
        <v>1106748.3056479199</v>
      </c>
      <c r="E13" s="6">
        <v>77686412.609999985</v>
      </c>
      <c r="F13" s="982">
        <v>0</v>
      </c>
      <c r="G13" s="982">
        <v>0</v>
      </c>
      <c r="H13" s="6">
        <v>17541.21</v>
      </c>
      <c r="I13" s="982">
        <v>0</v>
      </c>
      <c r="J13" s="982">
        <v>198943.889345206</v>
      </c>
    </row>
    <row r="14" spans="1:12">
      <c r="A14" s="218">
        <v>5</v>
      </c>
      <c r="B14" s="1" t="s">
        <v>76</v>
      </c>
      <c r="C14" s="6">
        <v>0</v>
      </c>
      <c r="D14" s="6">
        <v>1114876.12508546</v>
      </c>
      <c r="E14" s="6">
        <v>77755409.609999985</v>
      </c>
      <c r="F14" s="982">
        <v>0</v>
      </c>
      <c r="G14" s="982">
        <v>0</v>
      </c>
      <c r="H14" s="6">
        <v>17541.21</v>
      </c>
      <c r="I14" s="982">
        <v>0</v>
      </c>
      <c r="J14" s="982">
        <v>217200.745577255</v>
      </c>
    </row>
    <row r="15" spans="1:12">
      <c r="A15" s="218">
        <v>6</v>
      </c>
      <c r="B15" s="1" t="s">
        <v>75</v>
      </c>
      <c r="C15" s="6">
        <v>0</v>
      </c>
      <c r="D15" s="6">
        <v>1123010.7970957099</v>
      </c>
      <c r="E15" s="6">
        <v>77866486.609999985</v>
      </c>
      <c r="F15" s="982">
        <v>0</v>
      </c>
      <c r="G15" s="982">
        <v>0</v>
      </c>
      <c r="H15" s="6">
        <v>17541.21</v>
      </c>
      <c r="I15" s="982">
        <v>0</v>
      </c>
      <c r="J15" s="982">
        <v>235593.06546659599</v>
      </c>
    </row>
    <row r="16" spans="1:12">
      <c r="A16" s="218">
        <v>7</v>
      </c>
      <c r="B16" s="1" t="s">
        <v>92</v>
      </c>
      <c r="C16" s="6">
        <v>0</v>
      </c>
      <c r="D16" s="6">
        <v>1131147.6506537599</v>
      </c>
      <c r="E16" s="6">
        <v>78177563.609999985</v>
      </c>
      <c r="F16" s="982">
        <v>0</v>
      </c>
      <c r="G16" s="982">
        <v>0</v>
      </c>
      <c r="H16" s="6">
        <v>17541.21</v>
      </c>
      <c r="I16" s="982">
        <v>0</v>
      </c>
      <c r="J16" s="982">
        <v>254120.963222775</v>
      </c>
    </row>
    <row r="17" spans="1:10">
      <c r="A17" s="218">
        <v>8</v>
      </c>
      <c r="B17" s="1" t="s">
        <v>82</v>
      </c>
      <c r="C17" s="6">
        <v>0</v>
      </c>
      <c r="D17" s="6">
        <v>1139269.9603020099</v>
      </c>
      <c r="E17" s="6">
        <v>78228730.609999985</v>
      </c>
      <c r="F17" s="982">
        <v>0</v>
      </c>
      <c r="G17" s="982">
        <v>0</v>
      </c>
      <c r="H17" s="6">
        <v>17541.21</v>
      </c>
      <c r="I17" s="982">
        <v>0</v>
      </c>
      <c r="J17" s="982">
        <v>272784.47520492098</v>
      </c>
    </row>
    <row r="18" spans="1:10">
      <c r="A18" s="218">
        <v>9</v>
      </c>
      <c r="B18" s="1" t="s">
        <v>165</v>
      </c>
      <c r="C18" s="6">
        <v>0</v>
      </c>
      <c r="D18" s="6">
        <v>1147373.5603352101</v>
      </c>
      <c r="E18" s="6">
        <v>79694012.609999985</v>
      </c>
      <c r="F18" s="982">
        <v>0</v>
      </c>
      <c r="G18" s="982">
        <v>0</v>
      </c>
      <c r="H18" s="6">
        <v>17541.21</v>
      </c>
      <c r="I18" s="982">
        <v>0</v>
      </c>
      <c r="J18" s="982">
        <v>291583.359014538</v>
      </c>
    </row>
    <row r="19" spans="1:10">
      <c r="A19" s="218">
        <v>10</v>
      </c>
      <c r="B19" s="1" t="s">
        <v>80</v>
      </c>
      <c r="C19" s="6">
        <v>0</v>
      </c>
      <c r="D19" s="6">
        <v>1155473.5625805999</v>
      </c>
      <c r="E19" s="6">
        <v>81391980.609999985</v>
      </c>
      <c r="F19" s="982">
        <v>0</v>
      </c>
      <c r="G19" s="982">
        <v>0</v>
      </c>
      <c r="H19" s="6">
        <v>17541.21</v>
      </c>
      <c r="I19" s="982">
        <v>0</v>
      </c>
      <c r="J19" s="982">
        <v>310517.30282470799</v>
      </c>
    </row>
    <row r="20" spans="1:10">
      <c r="A20" s="218">
        <v>11</v>
      </c>
      <c r="B20" s="1" t="s">
        <v>86</v>
      </c>
      <c r="C20" s="6">
        <v>0</v>
      </c>
      <c r="D20" s="6">
        <v>1163586.5476315301</v>
      </c>
      <c r="E20" s="6">
        <v>82596092.689999983</v>
      </c>
      <c r="F20" s="982">
        <v>0</v>
      </c>
      <c r="G20" s="982">
        <v>0</v>
      </c>
      <c r="H20" s="6">
        <v>17541.21</v>
      </c>
      <c r="I20" s="982">
        <v>0</v>
      </c>
      <c r="J20" s="982">
        <v>329586.24667230202</v>
      </c>
    </row>
    <row r="21" spans="1:10">
      <c r="A21" s="218">
        <v>12</v>
      </c>
      <c r="B21" s="1" t="s">
        <v>79</v>
      </c>
      <c r="C21" s="6">
        <v>0</v>
      </c>
      <c r="D21" s="6">
        <v>1171716.23133727</v>
      </c>
      <c r="E21" s="6">
        <v>83944060.61999999</v>
      </c>
      <c r="F21" s="982">
        <v>0</v>
      </c>
      <c r="G21" s="982">
        <v>0</v>
      </c>
      <c r="H21" s="6">
        <v>17541.21</v>
      </c>
      <c r="I21" s="982">
        <v>0</v>
      </c>
      <c r="J21" s="982">
        <v>348790.40693741001</v>
      </c>
    </row>
    <row r="22" spans="1:10">
      <c r="A22" s="218">
        <v>13</v>
      </c>
      <c r="B22" s="1" t="s">
        <v>188</v>
      </c>
      <c r="C22" s="6">
        <v>0</v>
      </c>
      <c r="D22" s="6">
        <v>1179887.75466909</v>
      </c>
      <c r="E22" s="6">
        <v>84013227.61999999</v>
      </c>
      <c r="F22" s="982">
        <v>0</v>
      </c>
      <c r="G22" s="982">
        <v>0</v>
      </c>
      <c r="H22" s="6">
        <v>17541.21</v>
      </c>
      <c r="I22" s="982">
        <v>0</v>
      </c>
      <c r="J22" s="982">
        <v>368130.061930948</v>
      </c>
    </row>
    <row r="23" spans="1:10" ht="13.8" thickBot="1">
      <c r="A23" s="218">
        <v>14</v>
      </c>
      <c r="B23" s="7" t="s">
        <v>242</v>
      </c>
      <c r="C23" s="605">
        <f t="shared" ref="C23:H23" si="0">SUM(C10:C22)/13</f>
        <v>0</v>
      </c>
      <c r="D23" s="605">
        <f>SUM(D10:D22)/13</f>
        <v>1108749.9881514586</v>
      </c>
      <c r="E23" s="605">
        <f t="shared" si="0"/>
        <v>79472827.156153843</v>
      </c>
      <c r="F23" s="605">
        <f t="shared" si="0"/>
        <v>0</v>
      </c>
      <c r="G23" s="605">
        <f t="shared" si="0"/>
        <v>0</v>
      </c>
      <c r="H23" s="605">
        <f t="shared" si="0"/>
        <v>17541.209999999995</v>
      </c>
      <c r="I23" s="605">
        <f>SUM(I10:I22)/13</f>
        <v>0</v>
      </c>
      <c r="J23" s="605">
        <f>SUM(J10:J22)/13</f>
        <v>255533.26171604608</v>
      </c>
    </row>
    <row r="24" spans="1:10" ht="13.8" thickTop="1">
      <c r="A24" s="218"/>
      <c r="B24" s="1"/>
      <c r="C24" s="8"/>
      <c r="D24" s="15"/>
      <c r="E24" s="15"/>
      <c r="F24" s="15"/>
      <c r="G24" s="8"/>
      <c r="H24" s="8"/>
      <c r="I24" s="8"/>
    </row>
    <row r="25" spans="1:10">
      <c r="A25" s="218"/>
      <c r="B25" s="9"/>
      <c r="C25" s="1014" t="s">
        <v>205</v>
      </c>
      <c r="D25" s="1014"/>
      <c r="E25" s="1014"/>
      <c r="F25" s="1014"/>
      <c r="G25" s="1014"/>
      <c r="H25" s="1014"/>
      <c r="I25" s="1014"/>
    </row>
    <row r="26" spans="1:10" ht="72" customHeight="1">
      <c r="A26" s="798" t="s">
        <v>713</v>
      </c>
      <c r="B26" s="10" t="s">
        <v>160</v>
      </c>
      <c r="C26" s="4" t="s">
        <v>166</v>
      </c>
      <c r="D26" s="797" t="s">
        <v>708</v>
      </c>
      <c r="E26" s="797" t="s">
        <v>878</v>
      </c>
      <c r="F26" s="797" t="s">
        <v>879</v>
      </c>
      <c r="G26" s="797" t="s">
        <v>880</v>
      </c>
      <c r="H26" s="797" t="s">
        <v>881</v>
      </c>
      <c r="I26" s="4" t="s">
        <v>244</v>
      </c>
    </row>
    <row r="27" spans="1:10" s="13" customFormat="1">
      <c r="A27" s="218"/>
      <c r="B27" s="10" t="s">
        <v>190</v>
      </c>
      <c r="C27" s="4" t="s">
        <v>191</v>
      </c>
      <c r="D27" s="4" t="s">
        <v>192</v>
      </c>
      <c r="E27" s="797" t="s">
        <v>193</v>
      </c>
      <c r="F27" s="797" t="s">
        <v>195</v>
      </c>
      <c r="G27" s="797" t="s">
        <v>194</v>
      </c>
      <c r="H27" s="797" t="s">
        <v>196</v>
      </c>
      <c r="I27" s="4" t="s">
        <v>197</v>
      </c>
    </row>
    <row r="28" spans="1:10" s="13" customFormat="1" ht="26.4">
      <c r="A28" s="218"/>
      <c r="B28" s="250" t="s">
        <v>504</v>
      </c>
      <c r="C28" s="298" t="s">
        <v>374</v>
      </c>
      <c r="D28" s="4" t="s">
        <v>506</v>
      </c>
      <c r="E28" s="797" t="s">
        <v>882</v>
      </c>
      <c r="F28" s="797" t="s">
        <v>882</v>
      </c>
      <c r="G28" s="797" t="s">
        <v>882</v>
      </c>
      <c r="H28" s="797" t="s">
        <v>882</v>
      </c>
      <c r="I28" s="930" t="s">
        <v>898</v>
      </c>
    </row>
    <row r="29" spans="1:10">
      <c r="A29" s="218">
        <v>15</v>
      </c>
      <c r="B29" s="5" t="s">
        <v>187</v>
      </c>
      <c r="C29" s="6">
        <v>158235.80000000051</v>
      </c>
      <c r="D29" s="6">
        <v>0</v>
      </c>
      <c r="E29" s="982">
        <v>0</v>
      </c>
      <c r="F29" s="982">
        <v>81321.717848101252</v>
      </c>
      <c r="G29" s="982">
        <v>-592892.35000000009</v>
      </c>
      <c r="H29" s="982">
        <v>1199187.94</v>
      </c>
      <c r="I29" s="982">
        <v>0</v>
      </c>
    </row>
    <row r="30" spans="1:10">
      <c r="A30" s="218">
        <v>16</v>
      </c>
      <c r="B30" s="5" t="s">
        <v>85</v>
      </c>
      <c r="C30" s="6">
        <v>145049.48333333383</v>
      </c>
      <c r="D30" s="6">
        <v>0</v>
      </c>
      <c r="E30" s="952"/>
      <c r="F30" s="952"/>
      <c r="G30" s="952"/>
      <c r="H30" s="952"/>
      <c r="I30" s="6">
        <v>0</v>
      </c>
    </row>
    <row r="31" spans="1:10">
      <c r="A31" s="218">
        <v>17</v>
      </c>
      <c r="B31" s="1" t="s">
        <v>84</v>
      </c>
      <c r="C31" s="6">
        <v>131863.16666666715</v>
      </c>
      <c r="D31" s="6">
        <v>0</v>
      </c>
      <c r="E31" s="952"/>
      <c r="F31" s="952"/>
      <c r="G31" s="952"/>
      <c r="H31" s="952"/>
      <c r="I31" s="6">
        <v>0</v>
      </c>
    </row>
    <row r="32" spans="1:10">
      <c r="A32" s="218">
        <v>18</v>
      </c>
      <c r="B32" s="1" t="s">
        <v>164</v>
      </c>
      <c r="C32" s="6">
        <v>118676.85000000049</v>
      </c>
      <c r="D32" s="6">
        <v>0</v>
      </c>
      <c r="E32" s="952"/>
      <c r="F32" s="952"/>
      <c r="G32" s="952"/>
      <c r="H32" s="952"/>
      <c r="I32" s="6">
        <v>0</v>
      </c>
    </row>
    <row r="33" spans="1:15">
      <c r="A33" s="218">
        <v>19</v>
      </c>
      <c r="B33" s="1" t="s">
        <v>76</v>
      </c>
      <c r="C33" s="6">
        <v>105490.53333333382</v>
      </c>
      <c r="D33" s="6">
        <v>0</v>
      </c>
      <c r="E33" s="952"/>
      <c r="F33" s="952"/>
      <c r="G33" s="952"/>
      <c r="H33" s="952"/>
      <c r="I33" s="6">
        <v>0</v>
      </c>
    </row>
    <row r="34" spans="1:15">
      <c r="A34" s="218">
        <v>20</v>
      </c>
      <c r="B34" s="1" t="s">
        <v>75</v>
      </c>
      <c r="C34" s="6">
        <v>92304.216666667155</v>
      </c>
      <c r="D34" s="6">
        <v>0</v>
      </c>
      <c r="E34" s="952"/>
      <c r="F34" s="952"/>
      <c r="G34" s="952"/>
      <c r="H34" s="952"/>
      <c r="I34" s="6">
        <v>0</v>
      </c>
    </row>
    <row r="35" spans="1:15">
      <c r="A35" s="218">
        <v>21</v>
      </c>
      <c r="B35" s="1" t="s">
        <v>92</v>
      </c>
      <c r="C35" s="6">
        <v>79117.900000000489</v>
      </c>
      <c r="D35" s="6">
        <v>0</v>
      </c>
      <c r="E35" s="952"/>
      <c r="F35" s="952"/>
      <c r="G35" s="952"/>
      <c r="H35" s="952"/>
      <c r="I35" s="6">
        <v>0</v>
      </c>
    </row>
    <row r="36" spans="1:15">
      <c r="A36" s="218">
        <v>22</v>
      </c>
      <c r="B36" s="1" t="s">
        <v>82</v>
      </c>
      <c r="C36" s="6">
        <v>65931.583333333823</v>
      </c>
      <c r="D36" s="6">
        <v>0</v>
      </c>
      <c r="E36" s="952"/>
      <c r="F36" s="952"/>
      <c r="G36" s="952"/>
      <c r="H36" s="952"/>
      <c r="I36" s="6">
        <v>0</v>
      </c>
    </row>
    <row r="37" spans="1:15">
      <c r="A37" s="218">
        <v>23</v>
      </c>
      <c r="B37" s="1" t="s">
        <v>165</v>
      </c>
      <c r="C37" s="6">
        <v>52745.266666667158</v>
      </c>
      <c r="D37" s="6">
        <v>0</v>
      </c>
      <c r="E37" s="952"/>
      <c r="F37" s="952"/>
      <c r="G37" s="952"/>
      <c r="H37" s="952"/>
      <c r="I37" s="6">
        <v>0</v>
      </c>
    </row>
    <row r="38" spans="1:15">
      <c r="A38" s="218">
        <v>24</v>
      </c>
      <c r="B38" s="1" t="s">
        <v>80</v>
      </c>
      <c r="C38" s="6">
        <v>39558.950000000492</v>
      </c>
      <c r="D38" s="6">
        <v>0</v>
      </c>
      <c r="E38" s="952"/>
      <c r="F38" s="952"/>
      <c r="G38" s="952"/>
      <c r="H38" s="952"/>
      <c r="I38" s="6">
        <v>0</v>
      </c>
    </row>
    <row r="39" spans="1:15">
      <c r="A39" s="218">
        <v>25</v>
      </c>
      <c r="B39" s="1" t="s">
        <v>86</v>
      </c>
      <c r="C39" s="6">
        <v>26372.633333333826</v>
      </c>
      <c r="D39" s="6">
        <v>0</v>
      </c>
      <c r="E39" s="952"/>
      <c r="F39" s="952"/>
      <c r="G39" s="952"/>
      <c r="H39" s="952"/>
      <c r="I39" s="6">
        <v>0</v>
      </c>
    </row>
    <row r="40" spans="1:15">
      <c r="A40" s="218">
        <v>26</v>
      </c>
      <c r="B40" s="1" t="s">
        <v>79</v>
      </c>
      <c r="C40" s="6">
        <v>13186.316666667159</v>
      </c>
      <c r="D40" s="6">
        <v>0</v>
      </c>
      <c r="E40" s="952"/>
      <c r="F40" s="952"/>
      <c r="G40" s="952"/>
      <c r="H40" s="952"/>
      <c r="I40" s="6">
        <v>0</v>
      </c>
    </row>
    <row r="41" spans="1:15">
      <c r="A41" s="218">
        <v>27</v>
      </c>
      <c r="B41" s="1" t="s">
        <v>188</v>
      </c>
      <c r="C41" s="6">
        <v>4.9112713895738125E-10</v>
      </c>
      <c r="D41" s="6">
        <v>0</v>
      </c>
      <c r="E41" s="982">
        <v>0</v>
      </c>
      <c r="F41" s="982">
        <v>99671.255249535694</v>
      </c>
      <c r="G41" s="982">
        <v>-608940.78352524666</v>
      </c>
      <c r="H41" s="982">
        <v>1200702.8519596979</v>
      </c>
      <c r="I41" s="982">
        <v>0</v>
      </c>
    </row>
    <row r="42" spans="1:15" ht="13.8" thickBot="1">
      <c r="A42" s="218">
        <v>28</v>
      </c>
      <c r="B42" s="7" t="s">
        <v>243</v>
      </c>
      <c r="C42" s="605">
        <f t="shared" ref="C42:D42" si="1">SUM(C29:C41)/13</f>
        <v>79117.900000000503</v>
      </c>
      <c r="D42" s="605">
        <f t="shared" si="1"/>
        <v>0</v>
      </c>
      <c r="E42" s="605">
        <f>(E29+E41)/2</f>
        <v>0</v>
      </c>
      <c r="F42" s="605">
        <f>(F29+F41)/2</f>
        <v>90496.486548818473</v>
      </c>
      <c r="G42" s="605">
        <f>(G29+G41)/2</f>
        <v>-600916.56676262338</v>
      </c>
      <c r="H42" s="605">
        <f>(H29+H41)/2</f>
        <v>1199945.3959798489</v>
      </c>
      <c r="I42" s="605">
        <f>SUM(I29:I41)/13</f>
        <v>0</v>
      </c>
    </row>
    <row r="43" spans="1:15" ht="13.8" thickTop="1">
      <c r="A43" s="218"/>
      <c r="B43" s="1"/>
      <c r="I43" s="15"/>
    </row>
    <row r="44" spans="1:15">
      <c r="A44" s="218"/>
    </row>
    <row r="45" spans="1:15">
      <c r="E45" s="216" t="str">
        <f>+B1</f>
        <v>Attachment 4</v>
      </c>
      <c r="J45" s="1" t="s">
        <v>147</v>
      </c>
    </row>
    <row r="46" spans="1:15">
      <c r="A46" s="285"/>
      <c r="B46" s="216"/>
      <c r="C46" s="286"/>
      <c r="D46" s="286"/>
      <c r="E46" s="812" t="str">
        <f>+B2</f>
        <v xml:space="preserve">Rate Base Worksheet </v>
      </c>
      <c r="F46" s="286"/>
      <c r="L46" s="13"/>
      <c r="M46" s="13"/>
      <c r="N46" s="13"/>
      <c r="O46" s="13"/>
    </row>
    <row r="47" spans="1:15" s="321" customFormat="1">
      <c r="A47" s="602"/>
      <c r="B47" s="216"/>
      <c r="C47" s="286"/>
      <c r="D47" s="286"/>
      <c r="E47" s="812" t="str">
        <f>+B3</f>
        <v>Transource Pennsylvania, LLC</v>
      </c>
      <c r="F47" s="286"/>
      <c r="L47" s="13"/>
      <c r="M47" s="13"/>
      <c r="N47" s="13"/>
      <c r="O47" s="13"/>
    </row>
    <row r="48" spans="1:15" s="321" customFormat="1">
      <c r="A48" s="602"/>
      <c r="B48" s="606" t="s">
        <v>704</v>
      </c>
      <c r="C48" s="286"/>
      <c r="D48" s="286"/>
      <c r="E48" s="286"/>
      <c r="F48" s="286"/>
      <c r="G48" s="286"/>
      <c r="L48" s="13"/>
      <c r="M48" s="13"/>
      <c r="N48" s="13"/>
      <c r="O48" s="13"/>
    </row>
    <row r="49" spans="1:15" s="321" customFormat="1" ht="25.5" customHeight="1">
      <c r="A49" s="602"/>
      <c r="B49" s="216"/>
      <c r="C49" s="1016" t="s">
        <v>599</v>
      </c>
      <c r="D49" s="1016" t="s">
        <v>869</v>
      </c>
      <c r="E49" s="1016" t="s">
        <v>870</v>
      </c>
      <c r="F49" s="1016" t="s">
        <v>601</v>
      </c>
      <c r="L49" s="13"/>
      <c r="M49" s="13"/>
      <c r="N49" s="13"/>
      <c r="O49" s="13"/>
    </row>
    <row r="50" spans="1:15" s="321" customFormat="1" ht="12.75" customHeight="1">
      <c r="A50" s="602"/>
      <c r="B50" s="216"/>
      <c r="C50" s="1016"/>
      <c r="D50" s="1016"/>
      <c r="E50" s="1016"/>
      <c r="F50" s="1016"/>
      <c r="L50" s="13"/>
      <c r="M50" s="13"/>
      <c r="N50" s="13"/>
      <c r="O50" s="13"/>
    </row>
    <row r="51" spans="1:15" s="321" customFormat="1">
      <c r="A51" s="602"/>
      <c r="B51" s="216"/>
      <c r="C51" s="3" t="s">
        <v>190</v>
      </c>
      <c r="D51" s="3" t="s">
        <v>191</v>
      </c>
      <c r="E51" s="852" t="s">
        <v>192</v>
      </c>
      <c r="F51" s="604" t="s">
        <v>871</v>
      </c>
      <c r="L51" s="13"/>
      <c r="M51" s="13"/>
      <c r="N51" s="13"/>
      <c r="O51" s="13"/>
    </row>
    <row r="52" spans="1:15" s="321" customFormat="1" ht="26.4">
      <c r="A52" s="602"/>
      <c r="B52" s="216"/>
      <c r="C52" s="323" t="s">
        <v>598</v>
      </c>
      <c r="D52" s="323" t="s">
        <v>600</v>
      </c>
      <c r="E52" s="323" t="s">
        <v>600</v>
      </c>
      <c r="F52" s="323"/>
      <c r="L52" s="13"/>
      <c r="M52" s="13"/>
      <c r="N52" s="13"/>
      <c r="O52" s="13"/>
    </row>
    <row r="53" spans="1:15" s="321" customFormat="1">
      <c r="A53" s="602">
        <f>+A42+1</f>
        <v>29</v>
      </c>
      <c r="B53" s="5" t="s">
        <v>187</v>
      </c>
      <c r="C53" s="6">
        <v>77234091.609999985</v>
      </c>
      <c r="D53" s="6">
        <v>0</v>
      </c>
      <c r="E53" s="6">
        <v>0</v>
      </c>
      <c r="F53" s="363">
        <f>+C53-D53-E53</f>
        <v>77234091.609999985</v>
      </c>
      <c r="L53" s="13"/>
      <c r="M53" s="13"/>
      <c r="N53" s="13"/>
      <c r="O53" s="13"/>
    </row>
    <row r="54" spans="1:15" s="321" customFormat="1">
      <c r="A54" s="602">
        <f>+A53+1</f>
        <v>30</v>
      </c>
      <c r="B54" s="5" t="s">
        <v>85</v>
      </c>
      <c r="C54" s="6">
        <v>77264258.609999985</v>
      </c>
      <c r="D54" s="6">
        <v>0</v>
      </c>
      <c r="E54" s="6">
        <v>0</v>
      </c>
      <c r="F54" s="363">
        <f t="shared" ref="F54:F65" si="2">+C54-D54-E54</f>
        <v>77264258.609999985</v>
      </c>
      <c r="L54" s="13"/>
      <c r="M54" s="13"/>
      <c r="N54" s="13"/>
      <c r="O54" s="13"/>
    </row>
    <row r="55" spans="1:15" s="321" customFormat="1">
      <c r="A55" s="602">
        <f t="shared" ref="A55:A65" si="3">+A54+1</f>
        <v>31</v>
      </c>
      <c r="B55" s="1" t="s">
        <v>84</v>
      </c>
      <c r="C55" s="6">
        <v>77294425.609999985</v>
      </c>
      <c r="D55" s="6">
        <v>0</v>
      </c>
      <c r="E55" s="6">
        <v>0</v>
      </c>
      <c r="F55" s="363">
        <f t="shared" si="2"/>
        <v>77294425.609999985</v>
      </c>
      <c r="L55" s="13"/>
      <c r="M55" s="13"/>
      <c r="N55" s="13"/>
      <c r="O55" s="13"/>
    </row>
    <row r="56" spans="1:15" s="321" customFormat="1">
      <c r="A56" s="602">
        <f t="shared" si="3"/>
        <v>32</v>
      </c>
      <c r="B56" s="1" t="s">
        <v>164</v>
      </c>
      <c r="C56" s="6">
        <v>77686412.609999985</v>
      </c>
      <c r="D56" s="6">
        <v>0</v>
      </c>
      <c r="E56" s="6">
        <v>0</v>
      </c>
      <c r="F56" s="363">
        <f t="shared" si="2"/>
        <v>77686412.609999985</v>
      </c>
      <c r="L56" s="13"/>
      <c r="M56" s="13"/>
      <c r="N56" s="13"/>
      <c r="O56" s="13"/>
    </row>
    <row r="57" spans="1:15" s="321" customFormat="1">
      <c r="A57" s="602">
        <f t="shared" si="3"/>
        <v>33</v>
      </c>
      <c r="B57" s="1" t="s">
        <v>76</v>
      </c>
      <c r="C57" s="6">
        <v>77755409.609999985</v>
      </c>
      <c r="D57" s="6">
        <v>0</v>
      </c>
      <c r="E57" s="6">
        <v>0</v>
      </c>
      <c r="F57" s="363">
        <f t="shared" si="2"/>
        <v>77755409.609999985</v>
      </c>
      <c r="L57" s="13"/>
      <c r="M57" s="13"/>
      <c r="N57" s="13"/>
      <c r="O57" s="13"/>
    </row>
    <row r="58" spans="1:15" s="321" customFormat="1">
      <c r="A58" s="602">
        <f t="shared" si="3"/>
        <v>34</v>
      </c>
      <c r="B58" s="1" t="s">
        <v>75</v>
      </c>
      <c r="C58" s="6">
        <v>77866486.609999985</v>
      </c>
      <c r="D58" s="6">
        <v>0</v>
      </c>
      <c r="E58" s="6">
        <v>0</v>
      </c>
      <c r="F58" s="363">
        <f t="shared" si="2"/>
        <v>77866486.609999985</v>
      </c>
      <c r="L58" s="13"/>
      <c r="M58" s="13"/>
      <c r="N58" s="13"/>
      <c r="O58" s="13"/>
    </row>
    <row r="59" spans="1:15" s="321" customFormat="1">
      <c r="A59" s="602">
        <f t="shared" si="3"/>
        <v>35</v>
      </c>
      <c r="B59" s="1" t="s">
        <v>92</v>
      </c>
      <c r="C59" s="6">
        <v>78177563.609999985</v>
      </c>
      <c r="D59" s="6">
        <v>0</v>
      </c>
      <c r="E59" s="6">
        <v>0</v>
      </c>
      <c r="F59" s="363">
        <f t="shared" si="2"/>
        <v>78177563.609999985</v>
      </c>
      <c r="L59" s="13"/>
      <c r="M59" s="13"/>
      <c r="N59" s="13"/>
      <c r="O59" s="13"/>
    </row>
    <row r="60" spans="1:15" s="321" customFormat="1">
      <c r="A60" s="602">
        <f t="shared" si="3"/>
        <v>36</v>
      </c>
      <c r="B60" s="1" t="s">
        <v>82</v>
      </c>
      <c r="C60" s="6">
        <v>78228730.609999985</v>
      </c>
      <c r="D60" s="6">
        <v>0</v>
      </c>
      <c r="E60" s="6">
        <v>0</v>
      </c>
      <c r="F60" s="363">
        <f t="shared" si="2"/>
        <v>78228730.609999985</v>
      </c>
      <c r="L60" s="13"/>
      <c r="M60" s="13"/>
      <c r="N60" s="13"/>
      <c r="O60" s="13"/>
    </row>
    <row r="61" spans="1:15" s="321" customFormat="1">
      <c r="A61" s="602">
        <f t="shared" si="3"/>
        <v>37</v>
      </c>
      <c r="B61" s="1" t="s">
        <v>165</v>
      </c>
      <c r="C61" s="6">
        <v>79694012.609999985</v>
      </c>
      <c r="D61" s="6">
        <v>0</v>
      </c>
      <c r="E61" s="6">
        <v>0</v>
      </c>
      <c r="F61" s="363">
        <f t="shared" si="2"/>
        <v>79694012.609999985</v>
      </c>
      <c r="L61" s="13"/>
      <c r="M61" s="13"/>
      <c r="N61" s="13"/>
      <c r="O61" s="13"/>
    </row>
    <row r="62" spans="1:15" s="321" customFormat="1">
      <c r="A62" s="602">
        <f t="shared" si="3"/>
        <v>38</v>
      </c>
      <c r="B62" s="1" t="s">
        <v>80</v>
      </c>
      <c r="C62" s="6">
        <v>81391980.609999985</v>
      </c>
      <c r="D62" s="6">
        <v>0</v>
      </c>
      <c r="E62" s="6">
        <v>0</v>
      </c>
      <c r="F62" s="363">
        <f t="shared" si="2"/>
        <v>81391980.609999985</v>
      </c>
      <c r="L62" s="13"/>
      <c r="M62" s="13"/>
      <c r="N62" s="13"/>
      <c r="O62" s="13"/>
    </row>
    <row r="63" spans="1:15" s="321" customFormat="1">
      <c r="A63" s="602">
        <f t="shared" si="3"/>
        <v>39</v>
      </c>
      <c r="B63" s="1" t="s">
        <v>86</v>
      </c>
      <c r="C63" s="6">
        <v>82596092.689999983</v>
      </c>
      <c r="D63" s="6">
        <v>0</v>
      </c>
      <c r="E63" s="6">
        <v>0</v>
      </c>
      <c r="F63" s="363">
        <f t="shared" si="2"/>
        <v>82596092.689999983</v>
      </c>
      <c r="L63" s="13"/>
      <c r="M63" s="13"/>
      <c r="N63" s="13"/>
      <c r="O63" s="13"/>
    </row>
    <row r="64" spans="1:15" s="321" customFormat="1">
      <c r="A64" s="602">
        <f t="shared" si="3"/>
        <v>40</v>
      </c>
      <c r="B64" s="1" t="s">
        <v>79</v>
      </c>
      <c r="C64" s="6">
        <v>83944060.61999999</v>
      </c>
      <c r="D64" s="6">
        <v>0</v>
      </c>
      <c r="E64" s="6">
        <v>0</v>
      </c>
      <c r="F64" s="363">
        <f t="shared" si="2"/>
        <v>83944060.61999999</v>
      </c>
      <c r="L64" s="13"/>
      <c r="M64" s="13"/>
      <c r="N64" s="13"/>
      <c r="O64" s="13"/>
    </row>
    <row r="65" spans="1:16" s="321" customFormat="1">
      <c r="A65" s="602">
        <f t="shared" si="3"/>
        <v>41</v>
      </c>
      <c r="B65" s="1" t="s">
        <v>188</v>
      </c>
      <c r="C65" s="6">
        <v>84013227.61999999</v>
      </c>
      <c r="D65" s="6">
        <v>0</v>
      </c>
      <c r="E65" s="6">
        <v>0</v>
      </c>
      <c r="F65" s="363">
        <f t="shared" si="2"/>
        <v>84013227.61999999</v>
      </c>
      <c r="L65" s="13"/>
      <c r="M65" s="13"/>
      <c r="N65" s="13"/>
      <c r="O65" s="13"/>
    </row>
    <row r="66" spans="1:16" s="321" customFormat="1" ht="13.8" thickBot="1">
      <c r="A66" s="602"/>
      <c r="B66" s="216"/>
      <c r="C66" s="605">
        <f>+F66+D66</f>
        <v>79472827.156153843</v>
      </c>
      <c r="D66" s="605">
        <f>SUM(D53:D65)/13</f>
        <v>0</v>
      </c>
      <c r="E66" s="605">
        <f>SUM(E53:E65)/13</f>
        <v>0</v>
      </c>
      <c r="F66" s="605">
        <f>SUM(F53:F65)/13</f>
        <v>79472827.156153843</v>
      </c>
      <c r="L66" s="13"/>
      <c r="M66" s="13"/>
      <c r="N66" s="13"/>
      <c r="O66" s="13"/>
    </row>
    <row r="67" spans="1:16" s="321" customFormat="1" ht="13.8" thickTop="1">
      <c r="A67" s="602"/>
      <c r="B67" s="216"/>
      <c r="C67" s="286"/>
      <c r="D67" s="286"/>
      <c r="E67" s="286"/>
      <c r="F67" s="286"/>
      <c r="G67" s="286"/>
      <c r="L67" s="13"/>
      <c r="M67" s="13"/>
      <c r="N67" s="13"/>
      <c r="O67" s="13"/>
    </row>
    <row r="68" spans="1:16">
      <c r="A68" s="285"/>
      <c r="B68" s="607" t="s">
        <v>855</v>
      </c>
      <c r="C68" s="286"/>
      <c r="D68" s="286"/>
      <c r="E68" s="286"/>
      <c r="F68" s="287"/>
      <c r="G68" s="287"/>
      <c r="H68" s="215"/>
      <c r="I68" s="215"/>
      <c r="J68" s="217"/>
      <c r="K68" s="13"/>
      <c r="L68" s="13"/>
      <c r="M68" s="13"/>
      <c r="N68" s="13"/>
      <c r="O68" s="13"/>
    </row>
    <row r="69" spans="1:16">
      <c r="A69" s="285"/>
      <c r="B69" s="216" t="s">
        <v>190</v>
      </c>
      <c r="C69" s="216" t="s">
        <v>191</v>
      </c>
      <c r="D69" s="845" t="s">
        <v>785</v>
      </c>
      <c r="E69" s="845" t="s">
        <v>786</v>
      </c>
      <c r="F69" s="216" t="s">
        <v>192</v>
      </c>
      <c r="G69" s="216" t="s">
        <v>193</v>
      </c>
      <c r="H69" s="264" t="s">
        <v>195</v>
      </c>
      <c r="I69" s="264" t="s">
        <v>194</v>
      </c>
      <c r="J69" s="264" t="s">
        <v>196</v>
      </c>
      <c r="K69" s="264" t="s">
        <v>197</v>
      </c>
      <c r="L69" s="13"/>
      <c r="M69" s="13"/>
      <c r="N69" s="13"/>
      <c r="O69" s="13"/>
      <c r="P69" s="13"/>
    </row>
    <row r="70" spans="1:16" ht="79.2">
      <c r="A70" s="285"/>
      <c r="B70" s="669" t="s">
        <v>297</v>
      </c>
      <c r="C70" s="357"/>
      <c r="D70" s="670" t="s">
        <v>787</v>
      </c>
      <c r="E70" s="670" t="s">
        <v>788</v>
      </c>
      <c r="F70" s="670" t="s">
        <v>11</v>
      </c>
      <c r="G70" s="670" t="s">
        <v>298</v>
      </c>
      <c r="H70" s="670" t="s">
        <v>639</v>
      </c>
      <c r="I70" s="670" t="s">
        <v>637</v>
      </c>
      <c r="J70" s="359" t="s">
        <v>299</v>
      </c>
      <c r="K70" s="359" t="s">
        <v>300</v>
      </c>
      <c r="L70" s="288"/>
      <c r="M70" s="289"/>
      <c r="N70" s="13"/>
      <c r="O70" s="13"/>
      <c r="P70" s="13"/>
    </row>
    <row r="71" spans="1:16">
      <c r="A71" s="285" t="str">
        <f>+A65+1&amp;"a"</f>
        <v>42a</v>
      </c>
      <c r="B71" s="278"/>
      <c r="C71" s="290" t="s">
        <v>301</v>
      </c>
      <c r="D71" s="291">
        <v>0</v>
      </c>
      <c r="E71" s="291">
        <v>0</v>
      </c>
      <c r="F71" s="291">
        <v>0</v>
      </c>
      <c r="G71" s="291">
        <v>0</v>
      </c>
      <c r="H71" s="291">
        <v>0</v>
      </c>
      <c r="I71" s="291">
        <v>0</v>
      </c>
      <c r="J71" s="291">
        <v>0</v>
      </c>
      <c r="K71" s="292">
        <f>+F71*G71*H71*I71*J71</f>
        <v>0</v>
      </c>
      <c r="L71" s="278"/>
      <c r="M71" s="289"/>
      <c r="N71" s="13"/>
      <c r="O71" s="13"/>
      <c r="P71" s="13"/>
    </row>
    <row r="72" spans="1:16">
      <c r="A72" s="602" t="str">
        <f>+A65+1&amp;"b"</f>
        <v>42b</v>
      </c>
      <c r="B72" s="278"/>
      <c r="C72" s="290" t="s">
        <v>302</v>
      </c>
      <c r="D72" s="293">
        <v>0</v>
      </c>
      <c r="E72" s="293">
        <v>0</v>
      </c>
      <c r="F72" s="293">
        <v>0</v>
      </c>
      <c r="G72" s="293">
        <v>0</v>
      </c>
      <c r="H72" s="293">
        <v>0</v>
      </c>
      <c r="I72" s="293">
        <v>0</v>
      </c>
      <c r="J72" s="293">
        <v>0</v>
      </c>
      <c r="K72" s="292">
        <f>+F72*G72*H72*I72*J72</f>
        <v>0</v>
      </c>
      <c r="L72" s="278"/>
      <c r="M72" s="289"/>
      <c r="N72" s="13"/>
      <c r="O72" s="13"/>
      <c r="P72" s="13"/>
    </row>
    <row r="73" spans="1:16">
      <c r="A73" s="285">
        <f>+A65+2</f>
        <v>43</v>
      </c>
      <c r="B73" s="278"/>
      <c r="C73" s="671" t="s">
        <v>13</v>
      </c>
      <c r="D73" s="672"/>
      <c r="E73" s="672"/>
      <c r="F73" s="585">
        <f>SUM(F71:F72)</f>
        <v>0</v>
      </c>
      <c r="G73" s="672"/>
      <c r="H73" s="673"/>
      <c r="I73" s="673"/>
      <c r="J73" s="672"/>
      <c r="K73" s="674">
        <f>SUM(K71:K72)</f>
        <v>0</v>
      </c>
      <c r="L73" s="278"/>
      <c r="M73" s="289"/>
      <c r="N73" s="13"/>
      <c r="O73" s="13"/>
      <c r="P73" s="13"/>
    </row>
    <row r="74" spans="1:16">
      <c r="A74" s="220"/>
      <c r="B74" s="221"/>
      <c r="C74" s="222"/>
      <c r="D74" s="222"/>
      <c r="E74" s="222"/>
      <c r="F74" s="222"/>
      <c r="G74" s="222"/>
      <c r="I74" s="296"/>
      <c r="J74" s="296"/>
      <c r="K74" s="296"/>
    </row>
    <row r="75" spans="1:16">
      <c r="A75" s="220"/>
      <c r="B75" s="221"/>
      <c r="C75" s="222"/>
      <c r="D75" s="222"/>
      <c r="E75" s="222"/>
      <c r="F75" s="222"/>
      <c r="G75" s="222"/>
      <c r="L75" s="13"/>
      <c r="M75" s="13"/>
      <c r="N75" s="13"/>
      <c r="O75" s="13"/>
      <c r="P75" s="13"/>
    </row>
    <row r="76" spans="1:16">
      <c r="A76" s="668" t="s">
        <v>176</v>
      </c>
    </row>
    <row r="77" spans="1:16" ht="18" customHeight="1">
      <c r="A77" s="322" t="s">
        <v>62</v>
      </c>
      <c r="B77" s="268" t="s">
        <v>899</v>
      </c>
      <c r="C77" s="257"/>
      <c r="D77" s="257"/>
      <c r="E77" s="257"/>
      <c r="F77" s="257"/>
      <c r="G77" s="257"/>
      <c r="H77" s="257"/>
      <c r="I77" s="257"/>
      <c r="J77" s="257"/>
      <c r="K77" s="257"/>
    </row>
    <row r="78" spans="1:16" s="215" customFormat="1" ht="48.75" customHeight="1">
      <c r="A78" s="322" t="s">
        <v>63</v>
      </c>
      <c r="B78" s="990" t="s">
        <v>707</v>
      </c>
      <c r="C78" s="990"/>
      <c r="D78" s="990"/>
      <c r="E78" s="990"/>
      <c r="F78" s="990"/>
      <c r="G78" s="990"/>
      <c r="H78" s="990"/>
      <c r="I78" s="990"/>
      <c r="J78" s="802"/>
      <c r="K78" s="443"/>
    </row>
    <row r="79" spans="1:16" ht="27.75" customHeight="1">
      <c r="A79" s="322" t="s">
        <v>64</v>
      </c>
      <c r="B79" s="990" t="s">
        <v>505</v>
      </c>
      <c r="C79" s="990"/>
      <c r="D79" s="990"/>
      <c r="E79" s="990"/>
      <c r="F79" s="990"/>
      <c r="G79" s="990"/>
      <c r="H79" s="990"/>
      <c r="I79" s="990"/>
      <c r="J79" s="802"/>
      <c r="K79" s="802"/>
    </row>
    <row r="80" spans="1:16" ht="12.75" customHeight="1">
      <c r="A80" s="322" t="s">
        <v>65</v>
      </c>
      <c r="B80" s="990" t="s">
        <v>334</v>
      </c>
      <c r="C80" s="990"/>
      <c r="D80" s="990"/>
      <c r="E80" s="990"/>
      <c r="F80" s="990"/>
      <c r="G80" s="990"/>
      <c r="H80" s="990"/>
      <c r="I80" s="990"/>
      <c r="J80" s="802"/>
      <c r="K80" s="802"/>
      <c r="L80" s="217"/>
    </row>
    <row r="81" spans="1:12" ht="33.75" customHeight="1">
      <c r="A81" s="322" t="s">
        <v>66</v>
      </c>
      <c r="B81" s="990" t="s">
        <v>901</v>
      </c>
      <c r="C81" s="990"/>
      <c r="D81" s="990"/>
      <c r="E81" s="990"/>
      <c r="F81" s="990"/>
      <c r="G81" s="990"/>
      <c r="H81" s="990"/>
      <c r="I81" s="990"/>
    </row>
    <row r="82" spans="1:12" s="215" customFormat="1" ht="60.75" customHeight="1">
      <c r="A82" s="322" t="s">
        <v>67</v>
      </c>
      <c r="B82" s="990" t="s">
        <v>636</v>
      </c>
      <c r="C82" s="990"/>
      <c r="D82" s="990"/>
      <c r="E82" s="990"/>
      <c r="F82" s="990"/>
      <c r="G82" s="990"/>
      <c r="H82" s="990"/>
      <c r="I82" s="990"/>
      <c r="J82" s="803"/>
      <c r="K82" s="803"/>
    </row>
    <row r="83" spans="1:12" ht="29.25" customHeight="1">
      <c r="A83" s="322" t="s">
        <v>68</v>
      </c>
      <c r="B83" s="1013" t="s">
        <v>705</v>
      </c>
      <c r="C83" s="1013"/>
      <c r="D83" s="1013"/>
      <c r="E83" s="1013"/>
      <c r="F83" s="1013"/>
      <c r="G83" s="1013"/>
      <c r="H83" s="1013"/>
      <c r="I83" s="1013"/>
      <c r="J83" s="803"/>
      <c r="K83" s="799"/>
    </row>
    <row r="84" spans="1:12" ht="18" customHeight="1">
      <c r="A84" s="322" t="s">
        <v>69</v>
      </c>
      <c r="B84" s="989" t="s">
        <v>638</v>
      </c>
      <c r="C84" s="989"/>
      <c r="D84" s="989"/>
      <c r="E84" s="989"/>
      <c r="F84" s="989"/>
      <c r="G84" s="989"/>
      <c r="H84" s="989"/>
      <c r="I84" s="989"/>
      <c r="J84" s="799"/>
      <c r="K84" s="799"/>
    </row>
    <row r="85" spans="1:12" ht="21.75" customHeight="1">
      <c r="A85" s="322" t="s">
        <v>70</v>
      </c>
      <c r="B85" s="989" t="s">
        <v>789</v>
      </c>
      <c r="C85" s="989"/>
      <c r="D85" s="989"/>
      <c r="E85" s="989"/>
      <c r="F85" s="989"/>
      <c r="G85" s="989"/>
      <c r="H85" s="989"/>
      <c r="I85" s="989"/>
    </row>
    <row r="86" spans="1:12" s="321" customFormat="1" ht="12.75" customHeight="1">
      <c r="A86" s="322" t="s">
        <v>71</v>
      </c>
      <c r="B86" s="990" t="s">
        <v>854</v>
      </c>
      <c r="C86" s="990"/>
      <c r="D86" s="990"/>
      <c r="E86" s="990"/>
      <c r="F86" s="990"/>
      <c r="G86" s="990"/>
      <c r="H86" s="990"/>
      <c r="I86" s="990"/>
      <c r="J86" s="851"/>
      <c r="K86" s="851"/>
      <c r="L86" s="217"/>
    </row>
  </sheetData>
  <customSheetViews>
    <customSheetView guid="{63AFAF34-E340-4B5E-A289-FFB7051CA9B6}" scale="85" showPageBreaks="1" fitToPage="1" printArea="1" view="pageBreakPreview" topLeftCell="A52">
      <selection activeCell="B78" sqref="B78:I78"/>
      <rowBreaks count="1" manualBreakCount="1">
        <brk id="44" max="10" man="1"/>
      </rowBreaks>
      <pageMargins left="0.25" right="0.25" top="0.75" bottom="0.75" header="0.3" footer="0.3"/>
      <pageSetup scale="56" fitToHeight="0" orientation="landscape" r:id="rId1"/>
    </customSheetView>
    <customSheetView guid="{F1DC5514-577A-46EB-866C-26F0BED2C286}" scale="85" showPageBreaks="1" fitToPage="1" printArea="1" view="pageBreakPreview">
      <rowBreaks count="1" manualBreakCount="1">
        <brk id="44" max="9" man="1"/>
      </rowBreaks>
      <pageMargins left="0.25" right="0.25" top="0.75" bottom="0.75" header="0.3" footer="0.3"/>
      <pageSetup scale="58" fitToHeight="0" orientation="landscape" r:id="rId2"/>
    </customSheetView>
    <customSheetView guid="{F04A2B9A-C6FE-4FEB-AD1E-2CF9AC309BE4}" scale="85" showPageBreaks="1" printArea="1">
      <selection activeCell="E6" sqref="E6"/>
      <pageMargins left="0.7" right="0.7" top="0.75" bottom="0.75" header="0.3" footer="0.3"/>
      <pageSetup scale="55" orientation="landscape" r:id="rId3"/>
    </customSheetView>
  </customSheetViews>
  <mergeCells count="20">
    <mergeCell ref="B86:I86"/>
    <mergeCell ref="E49:E50"/>
    <mergeCell ref="B81:I81"/>
    <mergeCell ref="B85:I85"/>
    <mergeCell ref="B84:I84"/>
    <mergeCell ref="B1:I1"/>
    <mergeCell ref="B2:I2"/>
    <mergeCell ref="B3:I3"/>
    <mergeCell ref="B82:I82"/>
    <mergeCell ref="B83:I83"/>
    <mergeCell ref="C25:I25"/>
    <mergeCell ref="I6:J6"/>
    <mergeCell ref="G6:H6"/>
    <mergeCell ref="C6:D6"/>
    <mergeCell ref="C49:C50"/>
    <mergeCell ref="D49:D50"/>
    <mergeCell ref="F49:F50"/>
    <mergeCell ref="B78:I78"/>
    <mergeCell ref="B79:I79"/>
    <mergeCell ref="B80:I80"/>
  </mergeCells>
  <phoneticPr fontId="0" type="noConversion"/>
  <pageMargins left="0.25" right="0.25" top="0.75" bottom="0.75" header="0.3" footer="0.3"/>
  <pageSetup scale="55" fitToHeight="0" orientation="landscape" r:id="rId4"/>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8"/>
  <sheetViews>
    <sheetView view="pageBreakPreview" zoomScale="80" zoomScaleNormal="90" zoomScaleSheetLayoutView="80" workbookViewId="0">
      <selection activeCell="G25" sqref="G25"/>
    </sheetView>
  </sheetViews>
  <sheetFormatPr defaultColWidth="8.90625" defaultRowHeight="15" customHeight="1"/>
  <cols>
    <col min="1" max="1" width="6.6328125" style="856" customWidth="1"/>
    <col min="2" max="2" width="36.81640625" style="889" customWidth="1"/>
    <col min="3" max="3" width="14.81640625" style="856" customWidth="1"/>
    <col min="4" max="4" width="14.08984375" style="856" customWidth="1"/>
    <col min="5" max="5" width="13" style="856" customWidth="1"/>
    <col min="6" max="6" width="13.08984375" style="856" customWidth="1"/>
    <col min="7" max="7" width="15.90625" style="856" customWidth="1"/>
    <col min="8" max="8" width="57.54296875" style="856" customWidth="1"/>
    <col min="9" max="9" width="8.90625" style="856"/>
    <col min="10" max="10" width="27.90625" style="856" customWidth="1"/>
    <col min="11" max="16384" width="8.90625" style="856"/>
  </cols>
  <sheetData>
    <row r="1" spans="2:10" ht="15" customHeight="1">
      <c r="B1" s="1021" t="str">
        <f>+'Attachment H-29A'!D5</f>
        <v>Transource Pennsylvania, LLC</v>
      </c>
      <c r="C1" s="1021"/>
      <c r="D1" s="1021"/>
      <c r="E1" s="1021"/>
      <c r="F1" s="1021"/>
      <c r="G1" s="1021"/>
      <c r="H1" s="933" t="str">
        <f>+'Attachment H-29A'!J3</f>
        <v>For  the 12 months ended 12/31/2022</v>
      </c>
      <c r="I1" s="855"/>
      <c r="J1" s="855"/>
    </row>
    <row r="2" spans="2:10" ht="15" customHeight="1">
      <c r="B2" s="1022" t="s">
        <v>845</v>
      </c>
      <c r="C2" s="1022"/>
      <c r="D2" s="1022"/>
      <c r="E2" s="1022"/>
      <c r="F2" s="1022"/>
      <c r="G2" s="1022"/>
      <c r="H2" s="933" t="s">
        <v>602</v>
      </c>
      <c r="I2" s="855"/>
      <c r="J2" s="855"/>
    </row>
    <row r="3" spans="2:10" ht="15" customHeight="1">
      <c r="B3" s="1021" t="s">
        <v>846</v>
      </c>
      <c r="C3" s="1021"/>
      <c r="D3" s="1021"/>
      <c r="E3" s="1021"/>
      <c r="F3" s="1021"/>
      <c r="G3" s="1021"/>
      <c r="H3" s="854"/>
      <c r="I3" s="855"/>
      <c r="J3" s="855"/>
    </row>
    <row r="4" spans="2:10" s="858" customFormat="1" ht="15" customHeight="1">
      <c r="B4" s="913"/>
      <c r="C4" s="913"/>
      <c r="D4" s="913"/>
      <c r="E4" s="913"/>
      <c r="F4" s="913"/>
      <c r="G4" s="913"/>
      <c r="H4" s="933"/>
      <c r="I4" s="857"/>
      <c r="J4" s="855"/>
    </row>
    <row r="5" spans="2:10" s="860" customFormat="1" ht="15" customHeight="1">
      <c r="H5" s="862"/>
      <c r="J5" s="919"/>
    </row>
    <row r="6" spans="2:10" s="860" customFormat="1" ht="15" customHeight="1">
      <c r="B6" s="859" t="s">
        <v>856</v>
      </c>
      <c r="J6" s="919"/>
    </row>
    <row r="7" spans="2:10" s="860" customFormat="1" ht="15" customHeight="1">
      <c r="B7" s="859" t="s">
        <v>818</v>
      </c>
      <c r="J7" s="919"/>
    </row>
    <row r="8" spans="2:10" s="860" customFormat="1" ht="15" customHeight="1">
      <c r="B8" s="859"/>
      <c r="J8" s="919"/>
    </row>
    <row r="9" spans="2:10" s="919" customFormat="1" ht="15" customHeight="1">
      <c r="B9" s="866" t="s">
        <v>814</v>
      </c>
      <c r="C9" s="867"/>
      <c r="D9" s="868"/>
      <c r="E9" s="869"/>
      <c r="F9" s="870"/>
      <c r="G9" s="871"/>
      <c r="H9" s="870"/>
    </row>
    <row r="10" spans="2:10" s="919" customFormat="1" ht="15" customHeight="1">
      <c r="B10" s="1019" t="s">
        <v>833</v>
      </c>
      <c r="C10" s="1020"/>
      <c r="D10" s="1020"/>
      <c r="E10" s="1020"/>
      <c r="F10" s="1020"/>
      <c r="G10" s="1020"/>
      <c r="H10" s="870"/>
    </row>
    <row r="11" spans="2:10" s="919" customFormat="1" ht="15" customHeight="1">
      <c r="B11" s="872" t="s">
        <v>857</v>
      </c>
      <c r="C11" s="870"/>
      <c r="D11" s="864"/>
      <c r="E11" s="864"/>
      <c r="F11" s="869"/>
      <c r="G11" s="869"/>
      <c r="H11" s="870"/>
    </row>
    <row r="12" spans="2:10" s="919" customFormat="1" ht="15" customHeight="1">
      <c r="B12" s="872" t="s">
        <v>815</v>
      </c>
      <c r="C12" s="870"/>
      <c r="D12" s="864"/>
      <c r="E12" s="864"/>
      <c r="F12" s="869"/>
      <c r="G12" s="869"/>
      <c r="H12" s="870"/>
    </row>
    <row r="13" spans="2:10" s="919" customFormat="1" ht="15" customHeight="1">
      <c r="B13" s="872" t="s">
        <v>844</v>
      </c>
      <c r="C13" s="870"/>
      <c r="D13" s="864"/>
      <c r="E13" s="864"/>
      <c r="F13" s="869"/>
      <c r="G13" s="869"/>
      <c r="H13" s="870"/>
    </row>
    <row r="14" spans="2:10" s="860" customFormat="1" ht="15" customHeight="1">
      <c r="B14" s="859"/>
      <c r="J14" s="919"/>
    </row>
    <row r="15" spans="2:10" s="860" customFormat="1" ht="15" customHeight="1">
      <c r="B15" s="861" t="s">
        <v>62</v>
      </c>
      <c r="C15" s="861" t="s">
        <v>63</v>
      </c>
      <c r="D15" s="861" t="s">
        <v>64</v>
      </c>
      <c r="E15" s="861" t="s">
        <v>65</v>
      </c>
      <c r="F15" s="861" t="s">
        <v>67</v>
      </c>
      <c r="G15" s="861" t="s">
        <v>68</v>
      </c>
      <c r="H15" s="861" t="s">
        <v>69</v>
      </c>
      <c r="J15" s="919"/>
    </row>
    <row r="16" spans="2:10" s="860" customFormat="1" ht="15" customHeight="1">
      <c r="B16" s="859"/>
      <c r="D16" s="861"/>
      <c r="E16" s="861"/>
      <c r="F16" s="861"/>
      <c r="G16" s="861"/>
      <c r="J16" s="919"/>
    </row>
    <row r="17" spans="1:10" s="860" customFormat="1" ht="15" customHeight="1">
      <c r="B17" s="859" t="s">
        <v>810</v>
      </c>
      <c r="C17" s="861" t="s">
        <v>13</v>
      </c>
      <c r="D17" s="861" t="s">
        <v>832</v>
      </c>
      <c r="E17" s="861" t="s">
        <v>16</v>
      </c>
      <c r="F17" s="861" t="s">
        <v>806</v>
      </c>
      <c r="G17" s="861" t="s">
        <v>807</v>
      </c>
      <c r="J17" s="919"/>
    </row>
    <row r="18" spans="1:10" s="860" customFormat="1" ht="15" customHeight="1">
      <c r="A18" s="893" t="s">
        <v>594</v>
      </c>
      <c r="B18" s="859"/>
      <c r="C18" s="861"/>
      <c r="D18" s="861" t="s">
        <v>831</v>
      </c>
      <c r="E18" s="861" t="s">
        <v>808</v>
      </c>
      <c r="F18" s="861" t="s">
        <v>808</v>
      </c>
      <c r="G18" s="861" t="s">
        <v>808</v>
      </c>
      <c r="H18" s="861" t="s">
        <v>813</v>
      </c>
      <c r="J18" s="919"/>
    </row>
    <row r="19" spans="1:10" s="919" customFormat="1" ht="15" customHeight="1">
      <c r="A19" s="861">
        <v>1</v>
      </c>
      <c r="B19" s="920" t="s">
        <v>911</v>
      </c>
      <c r="C19" s="921">
        <v>1334855.3799999999</v>
      </c>
      <c r="D19" s="921">
        <v>0</v>
      </c>
      <c r="E19" s="921">
        <v>1334855.3799999999</v>
      </c>
      <c r="F19" s="921">
        <v>0</v>
      </c>
      <c r="G19" s="921">
        <v>0</v>
      </c>
      <c r="H19" s="984" t="s">
        <v>912</v>
      </c>
      <c r="I19" s="870"/>
    </row>
    <row r="20" spans="1:10" s="919" customFormat="1" ht="13.2">
      <c r="A20" s="861">
        <f>+A19+1</f>
        <v>2</v>
      </c>
      <c r="B20" s="920" t="s">
        <v>913</v>
      </c>
      <c r="C20" s="921">
        <v>-4181.7999999999993</v>
      </c>
      <c r="D20" s="921">
        <v>0</v>
      </c>
      <c r="E20" s="921">
        <v>-4181.7999999999993</v>
      </c>
      <c r="F20" s="921">
        <v>0</v>
      </c>
      <c r="G20" s="921">
        <v>0</v>
      </c>
      <c r="H20" s="984" t="s">
        <v>914</v>
      </c>
      <c r="I20" s="870"/>
    </row>
    <row r="21" spans="1:10" s="919" customFormat="1" ht="13.2">
      <c r="A21" s="861">
        <f t="shared" ref="A21:A32" si="0">+A20+1</f>
        <v>3</v>
      </c>
      <c r="B21" s="920" t="s">
        <v>915</v>
      </c>
      <c r="C21" s="921">
        <v>-131485.64000000001</v>
      </c>
      <c r="D21" s="921">
        <v>0</v>
      </c>
      <c r="E21" s="921">
        <v>-131485.64000000001</v>
      </c>
      <c r="F21" s="921">
        <v>0</v>
      </c>
      <c r="G21" s="921">
        <v>0</v>
      </c>
      <c r="H21" s="984" t="s">
        <v>916</v>
      </c>
      <c r="I21" s="870"/>
    </row>
    <row r="22" spans="1:10" s="919" customFormat="1" ht="13.2">
      <c r="A22" s="861">
        <f t="shared" si="0"/>
        <v>4</v>
      </c>
      <c r="B22" s="920" t="s">
        <v>917</v>
      </c>
      <c r="C22" s="921">
        <v>639.66</v>
      </c>
      <c r="D22" s="921">
        <v>639.66</v>
      </c>
      <c r="E22" s="921">
        <v>0</v>
      </c>
      <c r="F22" s="921">
        <v>0</v>
      </c>
      <c r="G22" s="921">
        <v>0</v>
      </c>
      <c r="H22" s="984" t="s">
        <v>918</v>
      </c>
      <c r="I22" s="870"/>
    </row>
    <row r="23" spans="1:10" s="919" customFormat="1" ht="15" customHeight="1">
      <c r="A23" s="861">
        <f t="shared" si="0"/>
        <v>5</v>
      </c>
      <c r="B23" s="920"/>
      <c r="C23" s="921"/>
      <c r="D23" s="921"/>
      <c r="E23" s="921"/>
      <c r="F23" s="921"/>
      <c r="G23" s="921"/>
      <c r="H23" s="984"/>
      <c r="I23" s="870"/>
    </row>
    <row r="24" spans="1:10" s="919" customFormat="1" ht="15" customHeight="1">
      <c r="A24" s="861">
        <f t="shared" si="0"/>
        <v>6</v>
      </c>
      <c r="B24" s="920"/>
      <c r="C24" s="921"/>
      <c r="D24" s="922"/>
      <c r="E24" s="921"/>
      <c r="F24" s="921"/>
      <c r="G24" s="922"/>
      <c r="H24" s="878"/>
      <c r="I24" s="870"/>
    </row>
    <row r="25" spans="1:10" s="919" customFormat="1" ht="15" customHeight="1">
      <c r="A25" s="861">
        <f t="shared" si="0"/>
        <v>7</v>
      </c>
      <c r="B25" s="920"/>
      <c r="C25" s="921"/>
      <c r="D25" s="921"/>
      <c r="E25" s="921"/>
      <c r="F25" s="922"/>
      <c r="G25" s="922"/>
      <c r="H25" s="878"/>
      <c r="I25" s="870"/>
    </row>
    <row r="26" spans="1:10" s="919" customFormat="1" ht="15" customHeight="1">
      <c r="A26" s="861">
        <f t="shared" si="0"/>
        <v>8</v>
      </c>
      <c r="B26" s="920"/>
      <c r="C26" s="921"/>
      <c r="D26" s="921"/>
      <c r="E26" s="921"/>
      <c r="F26" s="922"/>
      <c r="G26" s="922"/>
      <c r="H26" s="878"/>
      <c r="I26" s="870"/>
    </row>
    <row r="27" spans="1:10" s="919" customFormat="1" ht="15" customHeight="1">
      <c r="A27" s="861">
        <f t="shared" si="0"/>
        <v>9</v>
      </c>
      <c r="B27" s="920"/>
      <c r="C27" s="921"/>
      <c r="D27" s="921"/>
      <c r="E27" s="921"/>
      <c r="F27" s="922"/>
      <c r="G27" s="922"/>
      <c r="H27" s="878"/>
      <c r="I27" s="870"/>
    </row>
    <row r="28" spans="1:10" s="919" customFormat="1" ht="15" customHeight="1">
      <c r="A28" s="861">
        <f t="shared" si="0"/>
        <v>10</v>
      </c>
      <c r="B28" s="920"/>
      <c r="C28" s="921"/>
      <c r="D28" s="921"/>
      <c r="E28" s="921"/>
      <c r="F28" s="921"/>
      <c r="G28" s="921"/>
      <c r="H28" s="878"/>
      <c r="I28" s="870"/>
    </row>
    <row r="29" spans="1:10" s="919" customFormat="1" ht="15" customHeight="1">
      <c r="A29" s="861">
        <f t="shared" si="0"/>
        <v>11</v>
      </c>
      <c r="B29" s="880" t="s">
        <v>853</v>
      </c>
      <c r="C29" s="881">
        <f>SUBTOTAL(9,C19:C28)</f>
        <v>1199827.5999999999</v>
      </c>
      <c r="D29" s="881">
        <f>SUM(D19:D28)</f>
        <v>639.66</v>
      </c>
      <c r="E29" s="881">
        <f>SUM(E19:E28)</f>
        <v>1199187.94</v>
      </c>
      <c r="F29" s="881">
        <f>SUM(F19:F28)</f>
        <v>0</v>
      </c>
      <c r="G29" s="881">
        <f>SUM(G19:G28)</f>
        <v>0</v>
      </c>
      <c r="H29" s="882"/>
      <c r="I29" s="870"/>
    </row>
    <row r="30" spans="1:10" s="919" customFormat="1" ht="15" customHeight="1">
      <c r="A30" s="861">
        <f t="shared" si="0"/>
        <v>12</v>
      </c>
      <c r="B30" s="880" t="s">
        <v>811</v>
      </c>
      <c r="C30" s="944"/>
      <c r="D30" s="945"/>
      <c r="E30" s="949"/>
      <c r="F30" s="945"/>
      <c r="G30" s="947">
        <f>+'Attachment H-29A'!$I$197</f>
        <v>1</v>
      </c>
      <c r="H30" s="871"/>
      <c r="I30" s="870"/>
    </row>
    <row r="31" spans="1:10" s="919" customFormat="1" ht="15" customHeight="1">
      <c r="A31" s="861">
        <f t="shared" si="0"/>
        <v>13</v>
      </c>
      <c r="B31" s="943" t="s">
        <v>812</v>
      </c>
      <c r="C31" s="940"/>
      <c r="D31" s="928"/>
      <c r="E31" s="950"/>
      <c r="F31" s="937">
        <f>+'Attachment H-29A'!$G$83</f>
        <v>1</v>
      </c>
      <c r="G31" s="949"/>
      <c r="H31" s="871"/>
      <c r="I31" s="870"/>
    </row>
    <row r="32" spans="1:10" s="919" customFormat="1" ht="15" customHeight="1" thickBot="1">
      <c r="A32" s="861">
        <f t="shared" si="0"/>
        <v>14</v>
      </c>
      <c r="B32" s="948" t="s">
        <v>873</v>
      </c>
      <c r="C32" s="941">
        <f>+SUM(E32:G32)</f>
        <v>1199187.94</v>
      </c>
      <c r="D32" s="951"/>
      <c r="E32" s="936">
        <f>+E29</f>
        <v>1199187.94</v>
      </c>
      <c r="F32" s="942">
        <f>+F29*F31</f>
        <v>0</v>
      </c>
      <c r="G32" s="942">
        <f>+G29*G30</f>
        <v>0</v>
      </c>
      <c r="H32" s="871"/>
      <c r="I32" s="870"/>
    </row>
    <row r="33" spans="1:10" s="919" customFormat="1" ht="15" customHeight="1" thickTop="1">
      <c r="A33" s="861"/>
      <c r="B33" s="870"/>
      <c r="C33" s="935"/>
      <c r="D33" s="865"/>
      <c r="E33" s="865"/>
      <c r="F33" s="865"/>
      <c r="G33" s="865"/>
      <c r="H33" s="871"/>
      <c r="I33" s="870"/>
    </row>
    <row r="34" spans="1:10" s="860" customFormat="1" ht="15" customHeight="1">
      <c r="B34" s="1017" t="str">
        <f>+B1</f>
        <v>Transource Pennsylvania, LLC</v>
      </c>
      <c r="C34" s="1018"/>
      <c r="D34" s="1018"/>
      <c r="E34" s="1018"/>
      <c r="F34" s="1018"/>
      <c r="G34" s="1018"/>
      <c r="H34" s="1018"/>
      <c r="I34" s="864"/>
      <c r="J34" s="919"/>
    </row>
    <row r="35" spans="1:10" s="860" customFormat="1" ht="15" customHeight="1">
      <c r="B35" s="1017" t="str">
        <f>+B2</f>
        <v>Attachment 4a - Accumulated Deferred Income Taxes (ADIT) Worksheet</v>
      </c>
      <c r="C35" s="1018"/>
      <c r="D35" s="1018"/>
      <c r="E35" s="1018"/>
      <c r="F35" s="1018"/>
      <c r="G35" s="1018"/>
      <c r="H35" s="1018"/>
      <c r="I35" s="864"/>
      <c r="J35" s="919"/>
    </row>
    <row r="36" spans="1:10" s="860" customFormat="1" ht="15" customHeight="1">
      <c r="B36" s="1017" t="str">
        <f>+B3</f>
        <v>Beginning of Rate Year and Rate Year Average</v>
      </c>
      <c r="C36" s="1018"/>
      <c r="D36" s="1018"/>
      <c r="E36" s="1018"/>
      <c r="F36" s="1018"/>
      <c r="G36" s="1018"/>
      <c r="H36" s="1018"/>
      <c r="I36" s="864"/>
      <c r="J36" s="919"/>
    </row>
    <row r="37" spans="1:10" s="860" customFormat="1" ht="9.75" customHeight="1">
      <c r="B37" s="875"/>
      <c r="C37" s="875"/>
      <c r="D37" s="875"/>
      <c r="E37" s="875"/>
      <c r="F37" s="875"/>
      <c r="G37" s="875"/>
      <c r="H37" s="875"/>
      <c r="I37" s="864"/>
      <c r="J37" s="919"/>
    </row>
    <row r="38" spans="1:10" s="919" customFormat="1" ht="15" customHeight="1">
      <c r="B38" s="866" t="s">
        <v>874</v>
      </c>
      <c r="C38" s="864"/>
      <c r="D38" s="869"/>
      <c r="E38" s="868"/>
      <c r="F38" s="870"/>
      <c r="G38" s="885"/>
      <c r="H38" s="933" t="s">
        <v>147</v>
      </c>
    </row>
    <row r="39" spans="1:10" s="919" customFormat="1" ht="15" customHeight="1">
      <c r="B39" s="1019" t="s">
        <v>833</v>
      </c>
      <c r="C39" s="1020"/>
      <c r="D39" s="1020"/>
      <c r="E39" s="1020"/>
      <c r="F39" s="1020"/>
      <c r="G39" s="1020"/>
      <c r="H39" s="870"/>
    </row>
    <row r="40" spans="1:10" s="919" customFormat="1" ht="15" customHeight="1">
      <c r="B40" s="872" t="s">
        <v>857</v>
      </c>
      <c r="C40" s="870"/>
      <c r="D40" s="864"/>
      <c r="E40" s="864"/>
      <c r="F40" s="869"/>
      <c r="G40" s="869"/>
      <c r="H40" s="870"/>
    </row>
    <row r="41" spans="1:10" s="919" customFormat="1" ht="15" customHeight="1">
      <c r="B41" s="872" t="s">
        <v>815</v>
      </c>
      <c r="C41" s="870"/>
      <c r="D41" s="864"/>
      <c r="E41" s="864"/>
      <c r="F41" s="869"/>
      <c r="G41" s="869"/>
      <c r="H41" s="870"/>
    </row>
    <row r="42" spans="1:10" s="919" customFormat="1" ht="15" customHeight="1">
      <c r="B42" s="872" t="s">
        <v>844</v>
      </c>
      <c r="C42" s="870"/>
      <c r="D42" s="864"/>
      <c r="E42" s="864"/>
      <c r="F42" s="869"/>
      <c r="G42" s="869"/>
      <c r="H42" s="870"/>
    </row>
    <row r="43" spans="1:10" s="919" customFormat="1" ht="15" customHeight="1">
      <c r="B43" s="873"/>
      <c r="C43" s="873"/>
      <c r="D43" s="873"/>
      <c r="E43" s="873"/>
      <c r="F43" s="873"/>
      <c r="G43" s="873"/>
      <c r="H43" s="885"/>
    </row>
    <row r="44" spans="1:10" s="860" customFormat="1" ht="15" customHeight="1">
      <c r="B44" s="861" t="s">
        <v>62</v>
      </c>
      <c r="C44" s="861" t="s">
        <v>63</v>
      </c>
      <c r="D44" s="861" t="s">
        <v>64</v>
      </c>
      <c r="E44" s="861" t="s">
        <v>65</v>
      </c>
      <c r="F44" s="861" t="s">
        <v>67</v>
      </c>
      <c r="G44" s="861" t="s">
        <v>68</v>
      </c>
      <c r="H44" s="861" t="s">
        <v>69</v>
      </c>
      <c r="I44" s="864"/>
      <c r="J44" s="919"/>
    </row>
    <row r="45" spans="1:10" s="860" customFormat="1" ht="15" customHeight="1">
      <c r="B45" s="864" t="s">
        <v>875</v>
      </c>
      <c r="C45" s="861" t="s">
        <v>13</v>
      </c>
      <c r="D45" s="861" t="s">
        <v>832</v>
      </c>
      <c r="E45" s="861" t="s">
        <v>16</v>
      </c>
      <c r="F45" s="861" t="s">
        <v>806</v>
      </c>
      <c r="G45" s="861" t="s">
        <v>807</v>
      </c>
      <c r="I45" s="864"/>
      <c r="J45" s="919"/>
    </row>
    <row r="46" spans="1:10" s="860" customFormat="1" ht="15" customHeight="1">
      <c r="A46" s="893" t="s">
        <v>594</v>
      </c>
      <c r="B46" s="872"/>
      <c r="C46" s="861"/>
      <c r="D46" s="861" t="s">
        <v>831</v>
      </c>
      <c r="E46" s="861" t="s">
        <v>808</v>
      </c>
      <c r="F46" s="861" t="s">
        <v>808</v>
      </c>
      <c r="G46" s="861" t="s">
        <v>808</v>
      </c>
      <c r="H46" s="861" t="s">
        <v>813</v>
      </c>
      <c r="I46" s="864"/>
      <c r="J46" s="919"/>
    </row>
    <row r="47" spans="1:10" s="919" customFormat="1" ht="15" customHeight="1">
      <c r="A47" s="861">
        <f>+A32+1</f>
        <v>15</v>
      </c>
      <c r="B47" s="920"/>
      <c r="C47" s="921">
        <v>0</v>
      </c>
      <c r="D47" s="922"/>
      <c r="E47" s="921"/>
      <c r="F47" s="921"/>
      <c r="G47" s="922"/>
      <c r="H47" s="878"/>
      <c r="I47" s="870"/>
    </row>
    <row r="48" spans="1:10" s="919" customFormat="1" ht="15" customHeight="1">
      <c r="A48" s="861">
        <f>+A47+1</f>
        <v>16</v>
      </c>
      <c r="B48" s="879"/>
      <c r="C48" s="921">
        <v>0</v>
      </c>
      <c r="D48" s="877"/>
      <c r="E48" s="877"/>
      <c r="F48" s="877"/>
      <c r="G48" s="877"/>
      <c r="H48" s="878"/>
      <c r="I48" s="870"/>
    </row>
    <row r="49" spans="1:10" s="919" customFormat="1" ht="15" customHeight="1">
      <c r="A49" s="861">
        <f t="shared" ref="A49:A52" si="1">+A48+1</f>
        <v>17</v>
      </c>
      <c r="B49" s="880" t="s">
        <v>877</v>
      </c>
      <c r="C49" s="881">
        <f>SUBTOTAL(9,C47:C48)</f>
        <v>0</v>
      </c>
      <c r="D49" s="881">
        <f>SUM(D47:D48)</f>
        <v>0</v>
      </c>
      <c r="E49" s="881">
        <f>SUM(E47:E48)</f>
        <v>0</v>
      </c>
      <c r="F49" s="881">
        <f>SUM(F47:F48)</f>
        <v>0</v>
      </c>
      <c r="G49" s="881">
        <f>SUM(G47:G48)</f>
        <v>0</v>
      </c>
      <c r="H49" s="882"/>
      <c r="I49" s="870"/>
    </row>
    <row r="50" spans="1:10" s="919" customFormat="1" ht="15" customHeight="1">
      <c r="A50" s="861">
        <f t="shared" si="1"/>
        <v>18</v>
      </c>
      <c r="B50" s="880" t="s">
        <v>811</v>
      </c>
      <c r="C50" s="944"/>
      <c r="D50" s="945"/>
      <c r="E50" s="949"/>
      <c r="F50" s="945"/>
      <c r="G50" s="947">
        <f>+'Attachment H-29A'!$I$197</f>
        <v>1</v>
      </c>
      <c r="H50" s="871"/>
      <c r="I50" s="870"/>
    </row>
    <row r="51" spans="1:10" s="919" customFormat="1" ht="15" customHeight="1">
      <c r="A51" s="861">
        <f t="shared" si="1"/>
        <v>19</v>
      </c>
      <c r="B51" s="943" t="s">
        <v>812</v>
      </c>
      <c r="C51" s="940"/>
      <c r="D51" s="928"/>
      <c r="E51" s="950"/>
      <c r="F51" s="937">
        <f>+'Attachment H-29A'!$G$83</f>
        <v>1</v>
      </c>
      <c r="G51" s="949"/>
      <c r="H51" s="871"/>
      <c r="I51" s="870"/>
    </row>
    <row r="52" spans="1:10" s="919" customFormat="1" ht="15" customHeight="1" thickBot="1">
      <c r="A52" s="861">
        <f t="shared" si="1"/>
        <v>20</v>
      </c>
      <c r="B52" s="948" t="s">
        <v>873</v>
      </c>
      <c r="C52" s="941">
        <f>+SUM(E52:G52)</f>
        <v>0</v>
      </c>
      <c r="D52" s="951"/>
      <c r="E52" s="936">
        <f>+E49</f>
        <v>0</v>
      </c>
      <c r="F52" s="942">
        <f>+F49*F51</f>
        <v>0</v>
      </c>
      <c r="G52" s="942">
        <f>+G49*G50</f>
        <v>0</v>
      </c>
      <c r="H52" s="871"/>
      <c r="I52" s="870"/>
    </row>
    <row r="53" spans="1:10" s="919" customFormat="1" ht="15" customHeight="1" thickTop="1">
      <c r="A53" s="861"/>
      <c r="B53" s="870"/>
      <c r="C53" s="935"/>
      <c r="D53" s="865"/>
      <c r="E53" s="865"/>
      <c r="F53" s="865"/>
      <c r="G53" s="865"/>
      <c r="H53" s="871"/>
      <c r="I53" s="870"/>
    </row>
    <row r="54" spans="1:10" s="860" customFormat="1" ht="15" customHeight="1">
      <c r="B54" s="861" t="s">
        <v>62</v>
      </c>
      <c r="C54" s="861" t="s">
        <v>63</v>
      </c>
      <c r="D54" s="861" t="s">
        <v>64</v>
      </c>
      <c r="E54" s="861" t="s">
        <v>65</v>
      </c>
      <c r="F54" s="861" t="s">
        <v>67</v>
      </c>
      <c r="G54" s="861" t="s">
        <v>68</v>
      </c>
      <c r="H54" s="861" t="s">
        <v>69</v>
      </c>
      <c r="I54" s="864"/>
      <c r="J54" s="919"/>
    </row>
    <row r="55" spans="1:10" s="860" customFormat="1" ht="15" customHeight="1">
      <c r="B55" s="864" t="s">
        <v>809</v>
      </c>
      <c r="C55" s="861" t="s">
        <v>13</v>
      </c>
      <c r="D55" s="861" t="s">
        <v>832</v>
      </c>
      <c r="E55" s="861" t="s">
        <v>16</v>
      </c>
      <c r="F55" s="861" t="s">
        <v>806</v>
      </c>
      <c r="G55" s="861" t="s">
        <v>807</v>
      </c>
      <c r="I55" s="864"/>
      <c r="J55" s="919"/>
    </row>
    <row r="56" spans="1:10" s="860" customFormat="1" ht="15" customHeight="1">
      <c r="A56" s="893" t="s">
        <v>594</v>
      </c>
      <c r="B56" s="872"/>
      <c r="C56" s="861"/>
      <c r="D56" s="861" t="s">
        <v>831</v>
      </c>
      <c r="E56" s="861" t="s">
        <v>808</v>
      </c>
      <c r="F56" s="861" t="s">
        <v>808</v>
      </c>
      <c r="G56" s="861" t="s">
        <v>808</v>
      </c>
      <c r="H56" s="861" t="s">
        <v>813</v>
      </c>
      <c r="I56" s="864"/>
      <c r="J56" s="919"/>
    </row>
    <row r="57" spans="1:10" s="919" customFormat="1" ht="15" customHeight="1">
      <c r="A57" s="861">
        <f>+A52+1</f>
        <v>21</v>
      </c>
      <c r="B57" s="920" t="s">
        <v>919</v>
      </c>
      <c r="C57" s="921">
        <v>22.68</v>
      </c>
      <c r="D57" s="922">
        <v>0</v>
      </c>
      <c r="E57" s="921">
        <v>0</v>
      </c>
      <c r="F57" s="921">
        <v>22.68</v>
      </c>
      <c r="G57" s="922">
        <v>0</v>
      </c>
      <c r="H57" s="878" t="s">
        <v>920</v>
      </c>
      <c r="I57" s="870"/>
    </row>
    <row r="58" spans="1:10" s="919" customFormat="1" ht="15" customHeight="1">
      <c r="A58" s="861">
        <f>+A57+1</f>
        <v>22</v>
      </c>
      <c r="B58" s="920" t="s">
        <v>921</v>
      </c>
      <c r="C58" s="921">
        <v>30765.227848101262</v>
      </c>
      <c r="D58" s="922">
        <v>0</v>
      </c>
      <c r="E58" s="921">
        <v>0</v>
      </c>
      <c r="F58" s="922">
        <v>30765.227848101262</v>
      </c>
      <c r="G58" s="922">
        <v>0</v>
      </c>
      <c r="H58" s="878" t="s">
        <v>922</v>
      </c>
      <c r="I58" s="870"/>
    </row>
    <row r="59" spans="1:10" s="919" customFormat="1" ht="15" customHeight="1">
      <c r="A59" s="861">
        <f t="shared" ref="A59:A62" si="2">+A58+1</f>
        <v>23</v>
      </c>
      <c r="B59" s="920" t="s">
        <v>923</v>
      </c>
      <c r="C59" s="921">
        <v>48152.81</v>
      </c>
      <c r="D59" s="922">
        <v>0</v>
      </c>
      <c r="E59" s="921">
        <v>0</v>
      </c>
      <c r="F59" s="922">
        <v>48152.81</v>
      </c>
      <c r="G59" s="922">
        <v>0</v>
      </c>
      <c r="H59" s="878" t="s">
        <v>924</v>
      </c>
      <c r="I59" s="870"/>
    </row>
    <row r="60" spans="1:10" s="919" customFormat="1" ht="15" customHeight="1">
      <c r="A60" s="861">
        <f t="shared" si="2"/>
        <v>24</v>
      </c>
      <c r="B60" s="920" t="s">
        <v>925</v>
      </c>
      <c r="C60" s="921">
        <v>-1</v>
      </c>
      <c r="D60" s="922">
        <v>0</v>
      </c>
      <c r="E60" s="921">
        <v>0</v>
      </c>
      <c r="F60" s="922">
        <v>-1</v>
      </c>
      <c r="G60" s="922">
        <v>0</v>
      </c>
      <c r="H60" s="878" t="s">
        <v>926</v>
      </c>
      <c r="I60" s="870"/>
    </row>
    <row r="61" spans="1:10" s="919" customFormat="1" ht="15" customHeight="1">
      <c r="A61" s="861">
        <f t="shared" si="2"/>
        <v>25</v>
      </c>
      <c r="B61" s="920" t="s">
        <v>927</v>
      </c>
      <c r="C61" s="921">
        <v>0</v>
      </c>
      <c r="D61" s="922">
        <v>0</v>
      </c>
      <c r="E61" s="922">
        <v>0</v>
      </c>
      <c r="F61" s="922">
        <v>0</v>
      </c>
      <c r="G61" s="922">
        <v>0</v>
      </c>
      <c r="H61" s="878" t="s">
        <v>922</v>
      </c>
      <c r="I61" s="870"/>
    </row>
    <row r="62" spans="1:10" s="919" customFormat="1" ht="15" customHeight="1">
      <c r="A62" s="861">
        <f t="shared" si="2"/>
        <v>26</v>
      </c>
      <c r="B62" s="920" t="s">
        <v>928</v>
      </c>
      <c r="C62" s="921">
        <v>2382</v>
      </c>
      <c r="D62" s="922">
        <v>0</v>
      </c>
      <c r="E62" s="922">
        <v>0</v>
      </c>
      <c r="F62" s="922">
        <v>2382</v>
      </c>
      <c r="G62" s="922">
        <v>0</v>
      </c>
      <c r="H62" s="878" t="s">
        <v>929</v>
      </c>
      <c r="I62" s="870"/>
    </row>
    <row r="63" spans="1:10" s="919" customFormat="1" ht="15" customHeight="1">
      <c r="A63" s="861">
        <f t="shared" ref="A63:A67" si="3">+A62+1</f>
        <v>27</v>
      </c>
      <c r="B63" s="920" t="s">
        <v>930</v>
      </c>
      <c r="C63" s="921">
        <v>-2382</v>
      </c>
      <c r="D63" s="922">
        <v>-2382</v>
      </c>
      <c r="E63" s="922">
        <v>0</v>
      </c>
      <c r="F63" s="922">
        <v>0</v>
      </c>
      <c r="G63" s="922">
        <v>0</v>
      </c>
      <c r="H63" s="878" t="s">
        <v>929</v>
      </c>
      <c r="I63" s="870"/>
    </row>
    <row r="64" spans="1:10" s="919" customFormat="1" ht="15" customHeight="1">
      <c r="A64" s="861">
        <f t="shared" si="3"/>
        <v>28</v>
      </c>
      <c r="B64" s="880" t="s">
        <v>852</v>
      </c>
      <c r="C64" s="881">
        <f>SUBTOTAL(9,C57:C63)</f>
        <v>78939.717848101252</v>
      </c>
      <c r="D64" s="881">
        <f>SUM(D57:D63)</f>
        <v>-2382</v>
      </c>
      <c r="E64" s="881">
        <f>SUM(E57:E63)</f>
        <v>0</v>
      </c>
      <c r="F64" s="881">
        <f>SUM(F57:F63)</f>
        <v>81321.717848101252</v>
      </c>
      <c r="G64" s="881">
        <f>SUM(G57:G63)</f>
        <v>0</v>
      </c>
      <c r="H64" s="882"/>
      <c r="I64" s="870"/>
    </row>
    <row r="65" spans="1:10" s="919" customFormat="1" ht="15" customHeight="1">
      <c r="A65" s="861">
        <f t="shared" si="3"/>
        <v>29</v>
      </c>
      <c r="B65" s="880" t="s">
        <v>811</v>
      </c>
      <c r="C65" s="944"/>
      <c r="D65" s="945"/>
      <c r="E65" s="949"/>
      <c r="F65" s="945"/>
      <c r="G65" s="947">
        <f>+'Attachment H-29A'!$I$197</f>
        <v>1</v>
      </c>
      <c r="H65" s="871"/>
      <c r="I65" s="870"/>
    </row>
    <row r="66" spans="1:10" s="919" customFormat="1" ht="15" customHeight="1">
      <c r="A66" s="861">
        <f t="shared" si="3"/>
        <v>30</v>
      </c>
      <c r="B66" s="943" t="s">
        <v>812</v>
      </c>
      <c r="C66" s="940"/>
      <c r="D66" s="928"/>
      <c r="E66" s="950"/>
      <c r="F66" s="937">
        <f>+'Attachment H-29A'!$G$83</f>
        <v>1</v>
      </c>
      <c r="G66" s="949"/>
      <c r="H66" s="871"/>
      <c r="I66" s="870"/>
    </row>
    <row r="67" spans="1:10" s="919" customFormat="1" ht="15" customHeight="1" thickBot="1">
      <c r="A67" s="861">
        <f t="shared" si="3"/>
        <v>31</v>
      </c>
      <c r="B67" s="948" t="s">
        <v>873</v>
      </c>
      <c r="C67" s="941">
        <f>+SUM(E67:G67)</f>
        <v>81321.717848101252</v>
      </c>
      <c r="D67" s="951"/>
      <c r="E67" s="936">
        <f>+E64</f>
        <v>0</v>
      </c>
      <c r="F67" s="942">
        <f>+F64*F66</f>
        <v>81321.717848101252</v>
      </c>
      <c r="G67" s="942">
        <f>+G64*G65</f>
        <v>0</v>
      </c>
      <c r="H67" s="871"/>
      <c r="I67" s="870"/>
    </row>
    <row r="68" spans="1:10" s="919" customFormat="1" ht="15" customHeight="1" thickTop="1">
      <c r="A68" s="861"/>
      <c r="B68" s="884"/>
      <c r="C68" s="870"/>
      <c r="D68" s="864"/>
      <c r="E68" s="867"/>
      <c r="F68" s="892"/>
      <c r="G68" s="868"/>
      <c r="H68" s="934"/>
      <c r="I68" s="870"/>
    </row>
    <row r="69" spans="1:10" s="860" customFormat="1" ht="15" customHeight="1">
      <c r="B69" s="861" t="s">
        <v>62</v>
      </c>
      <c r="C69" s="861" t="s">
        <v>63</v>
      </c>
      <c r="D69" s="861" t="s">
        <v>64</v>
      </c>
      <c r="E69" s="861" t="s">
        <v>65</v>
      </c>
      <c r="F69" s="861" t="s">
        <v>67</v>
      </c>
      <c r="G69" s="861" t="s">
        <v>68</v>
      </c>
      <c r="H69" s="861" t="s">
        <v>69</v>
      </c>
      <c r="I69" s="864"/>
      <c r="J69" s="919"/>
    </row>
    <row r="70" spans="1:10" s="860" customFormat="1" ht="15" customHeight="1">
      <c r="B70" s="864" t="s">
        <v>816</v>
      </c>
      <c r="C70" s="861" t="s">
        <v>13</v>
      </c>
      <c r="D70" s="861" t="s">
        <v>832</v>
      </c>
      <c r="E70" s="861" t="s">
        <v>16</v>
      </c>
      <c r="F70" s="861" t="s">
        <v>806</v>
      </c>
      <c r="G70" s="861" t="s">
        <v>807</v>
      </c>
      <c r="H70" s="861"/>
      <c r="I70" s="864"/>
      <c r="J70" s="919"/>
    </row>
    <row r="71" spans="1:10" s="860" customFormat="1" ht="15" customHeight="1">
      <c r="A71" s="893" t="s">
        <v>594</v>
      </c>
      <c r="B71" s="864"/>
      <c r="C71" s="861"/>
      <c r="D71" s="861" t="s">
        <v>831</v>
      </c>
      <c r="E71" s="861" t="s">
        <v>808</v>
      </c>
      <c r="F71" s="861" t="s">
        <v>808</v>
      </c>
      <c r="G71" s="861" t="s">
        <v>808</v>
      </c>
      <c r="H71" s="861" t="s">
        <v>813</v>
      </c>
      <c r="I71" s="864"/>
      <c r="J71" s="919"/>
    </row>
    <row r="72" spans="1:10" s="919" customFormat="1" ht="15" customHeight="1">
      <c r="A72" s="861">
        <f>+A67+1</f>
        <v>32</v>
      </c>
      <c r="B72" s="920" t="s">
        <v>915</v>
      </c>
      <c r="C72" s="921">
        <v>-626122.09000000008</v>
      </c>
      <c r="D72" s="921">
        <v>0</v>
      </c>
      <c r="E72" s="921">
        <v>-626122.09000000008</v>
      </c>
      <c r="F72" s="922">
        <v>0</v>
      </c>
      <c r="G72" s="922">
        <v>0</v>
      </c>
      <c r="H72" s="923" t="s">
        <v>916</v>
      </c>
      <c r="I72" s="870"/>
    </row>
    <row r="73" spans="1:10" s="919" customFormat="1" ht="15" customHeight="1">
      <c r="A73" s="861">
        <f>+A72+1</f>
        <v>33</v>
      </c>
      <c r="B73" s="920" t="s">
        <v>931</v>
      </c>
      <c r="C73" s="921">
        <v>33229.740000000005</v>
      </c>
      <c r="D73" s="921">
        <v>0</v>
      </c>
      <c r="E73" s="921">
        <v>33229.740000000005</v>
      </c>
      <c r="F73" s="922">
        <v>0</v>
      </c>
      <c r="G73" s="922">
        <v>0</v>
      </c>
      <c r="H73" s="878" t="s">
        <v>932</v>
      </c>
      <c r="I73" s="870"/>
    </row>
    <row r="74" spans="1:10" s="919" customFormat="1" ht="15" customHeight="1">
      <c r="A74" s="861">
        <f t="shared" ref="A74:A80" si="4">+A73+1</f>
        <v>34</v>
      </c>
      <c r="B74" s="920"/>
      <c r="C74" s="921"/>
      <c r="D74" s="922"/>
      <c r="E74" s="921"/>
      <c r="F74" s="922"/>
      <c r="G74" s="922"/>
      <c r="H74" s="878"/>
      <c r="I74" s="870"/>
    </row>
    <row r="75" spans="1:10" s="919" customFormat="1" ht="15" customHeight="1">
      <c r="A75" s="861">
        <f t="shared" si="4"/>
        <v>35</v>
      </c>
      <c r="B75" s="920"/>
      <c r="C75" s="921"/>
      <c r="D75" s="922"/>
      <c r="E75" s="921"/>
      <c r="F75" s="922"/>
      <c r="G75" s="922"/>
      <c r="H75" s="878"/>
      <c r="I75" s="870"/>
    </row>
    <row r="76" spans="1:10" s="919" customFormat="1" ht="15" customHeight="1">
      <c r="A76" s="861">
        <f t="shared" si="4"/>
        <v>36</v>
      </c>
      <c r="B76" s="920"/>
      <c r="C76" s="921"/>
      <c r="D76" s="922"/>
      <c r="E76" s="922"/>
      <c r="F76" s="922"/>
      <c r="G76" s="922"/>
      <c r="H76" s="878"/>
      <c r="I76" s="870"/>
    </row>
    <row r="77" spans="1:10" s="919" customFormat="1" ht="15" customHeight="1">
      <c r="A77" s="861">
        <f t="shared" si="4"/>
        <v>37</v>
      </c>
      <c r="B77" s="880" t="s">
        <v>851</v>
      </c>
      <c r="C77" s="881">
        <f>SUBTOTAL(9,C72:C76)</f>
        <v>-592892.35000000009</v>
      </c>
      <c r="D77" s="881">
        <f>SUM(D72:D76)</f>
        <v>0</v>
      </c>
      <c r="E77" s="881">
        <f>SUM(E72:E76)</f>
        <v>-592892.35000000009</v>
      </c>
      <c r="F77" s="881">
        <f>SUM(F72:F76)</f>
        <v>0</v>
      </c>
      <c r="G77" s="881">
        <f>SUM(G72:G76)</f>
        <v>0</v>
      </c>
      <c r="H77" s="926"/>
      <c r="I77" s="870"/>
    </row>
    <row r="78" spans="1:10" s="919" customFormat="1" ht="15" customHeight="1">
      <c r="A78" s="861">
        <f t="shared" si="4"/>
        <v>38</v>
      </c>
      <c r="B78" s="880" t="s">
        <v>811</v>
      </c>
      <c r="C78" s="944"/>
      <c r="D78" s="945"/>
      <c r="E78" s="949"/>
      <c r="F78" s="945"/>
      <c r="G78" s="947">
        <f>+'Attachment H-29A'!$I$197</f>
        <v>1</v>
      </c>
      <c r="H78" s="871"/>
      <c r="I78" s="870"/>
    </row>
    <row r="79" spans="1:10" s="919" customFormat="1" ht="15" customHeight="1">
      <c r="A79" s="861">
        <f t="shared" si="4"/>
        <v>39</v>
      </c>
      <c r="B79" s="943" t="s">
        <v>812</v>
      </c>
      <c r="C79" s="940"/>
      <c r="D79" s="928"/>
      <c r="E79" s="950"/>
      <c r="F79" s="937">
        <f>+'Attachment H-29A'!$G$83</f>
        <v>1</v>
      </c>
      <c r="G79" s="949"/>
      <c r="H79" s="871"/>
      <c r="I79" s="870"/>
    </row>
    <row r="80" spans="1:10" s="919" customFormat="1" ht="15" customHeight="1" thickBot="1">
      <c r="A80" s="861">
        <f t="shared" si="4"/>
        <v>40</v>
      </c>
      <c r="B80" s="948" t="s">
        <v>873</v>
      </c>
      <c r="C80" s="941">
        <f>+SUM(E80:G80)</f>
        <v>-592892.35000000009</v>
      </c>
      <c r="D80" s="951"/>
      <c r="E80" s="936">
        <f>+E77</f>
        <v>-592892.35000000009</v>
      </c>
      <c r="F80" s="942">
        <f>+F77*F79</f>
        <v>0</v>
      </c>
      <c r="G80" s="942">
        <f>+G77*G78</f>
        <v>0</v>
      </c>
      <c r="H80" s="871"/>
      <c r="I80" s="870"/>
    </row>
    <row r="81" spans="2:9" ht="15" customHeight="1" thickTop="1">
      <c r="B81" s="914"/>
      <c r="C81" s="914"/>
      <c r="D81" s="914"/>
      <c r="E81" s="914"/>
      <c r="F81" s="914"/>
      <c r="G81" s="914"/>
      <c r="H81" s="914"/>
      <c r="I81" s="863"/>
    </row>
    <row r="82" spans="2:9" ht="15" customHeight="1">
      <c r="B82" s="977"/>
      <c r="C82" s="977"/>
      <c r="D82" s="977"/>
      <c r="E82" s="977"/>
      <c r="F82" s="977"/>
      <c r="G82" s="977"/>
      <c r="H82" s="977"/>
      <c r="I82" s="886"/>
    </row>
    <row r="83" spans="2:9" ht="15" customHeight="1">
      <c r="B83" s="874"/>
      <c r="C83" s="874"/>
      <c r="D83" s="874"/>
      <c r="E83" s="874"/>
      <c r="F83" s="874"/>
      <c r="G83" s="874"/>
      <c r="H83" s="874"/>
      <c r="I83" s="863"/>
    </row>
    <row r="84" spans="2:9" ht="15" customHeight="1">
      <c r="B84" s="874"/>
      <c r="C84" s="874"/>
      <c r="D84" s="874"/>
      <c r="E84" s="874"/>
      <c r="F84" s="874"/>
      <c r="G84" s="874"/>
      <c r="H84" s="874"/>
      <c r="I84" s="863"/>
    </row>
    <row r="85" spans="2:9" ht="15" customHeight="1">
      <c r="B85" s="874"/>
      <c r="C85" s="874"/>
      <c r="D85" s="874"/>
      <c r="E85" s="874"/>
      <c r="F85" s="874"/>
      <c r="G85" s="874"/>
      <c r="H85" s="874"/>
      <c r="I85" s="863"/>
    </row>
    <row r="86" spans="2:9" ht="15" customHeight="1">
      <c r="B86" s="874"/>
      <c r="C86" s="874"/>
      <c r="D86" s="915"/>
      <c r="E86" s="915"/>
      <c r="F86" s="915"/>
      <c r="G86" s="915"/>
      <c r="H86" s="915"/>
      <c r="I86" s="887"/>
    </row>
    <row r="87" spans="2:9" ht="15" customHeight="1">
      <c r="B87" s="874"/>
      <c r="C87" s="874"/>
      <c r="D87" s="915"/>
      <c r="E87" s="915"/>
      <c r="F87" s="915"/>
      <c r="G87" s="915"/>
      <c r="H87" s="915"/>
      <c r="I87" s="887"/>
    </row>
    <row r="88" spans="2:9" ht="15" customHeight="1">
      <c r="B88" s="916"/>
      <c r="C88" s="874"/>
      <c r="D88" s="917"/>
      <c r="E88" s="917"/>
      <c r="F88" s="874"/>
      <c r="G88" s="874"/>
      <c r="H88" s="874"/>
      <c r="I88" s="863"/>
    </row>
    <row r="89" spans="2:9" ht="15" customHeight="1">
      <c r="B89" s="916"/>
      <c r="C89" s="874"/>
      <c r="D89" s="918"/>
      <c r="E89" s="918"/>
      <c r="F89" s="874"/>
      <c r="G89" s="874"/>
      <c r="H89" s="874"/>
      <c r="I89" s="863"/>
    </row>
    <row r="90" spans="2:9" ht="15" customHeight="1">
      <c r="B90" s="916"/>
      <c r="C90" s="874"/>
      <c r="D90" s="918"/>
      <c r="E90" s="918"/>
      <c r="F90" s="874"/>
      <c r="G90" s="874"/>
      <c r="H90" s="874"/>
      <c r="I90" s="863"/>
    </row>
    <row r="91" spans="2:9" ht="15" customHeight="1">
      <c r="B91" s="916"/>
      <c r="C91" s="874"/>
      <c r="D91" s="918"/>
      <c r="E91" s="918"/>
      <c r="F91" s="874"/>
      <c r="G91" s="874"/>
      <c r="H91" s="874"/>
      <c r="I91" s="863"/>
    </row>
    <row r="92" spans="2:9" ht="15" customHeight="1">
      <c r="B92" s="916"/>
      <c r="C92" s="874"/>
      <c r="D92" s="918"/>
      <c r="E92" s="918"/>
      <c r="F92" s="874"/>
      <c r="G92" s="874"/>
      <c r="H92" s="874"/>
      <c r="I92" s="863"/>
    </row>
    <row r="93" spans="2:9" ht="15" customHeight="1">
      <c r="B93" s="916"/>
      <c r="C93" s="874"/>
      <c r="D93" s="918"/>
      <c r="E93" s="918"/>
      <c r="F93" s="874"/>
      <c r="G93" s="874"/>
      <c r="H93" s="874"/>
      <c r="I93" s="863"/>
    </row>
    <row r="94" spans="2:9" ht="15" customHeight="1">
      <c r="B94" s="916"/>
      <c r="C94" s="874"/>
      <c r="D94" s="918"/>
      <c r="E94" s="918"/>
      <c r="F94" s="874"/>
      <c r="G94" s="874"/>
      <c r="H94" s="874"/>
      <c r="I94" s="863"/>
    </row>
    <row r="95" spans="2:9" ht="15" customHeight="1">
      <c r="B95" s="916"/>
      <c r="C95" s="874"/>
      <c r="D95" s="918"/>
      <c r="E95" s="918"/>
      <c r="F95" s="874"/>
      <c r="G95" s="874"/>
      <c r="H95" s="874"/>
      <c r="I95" s="863"/>
    </row>
    <row r="96" spans="2:9" ht="15" customHeight="1">
      <c r="B96" s="916"/>
      <c r="C96" s="874"/>
      <c r="D96" s="918"/>
      <c r="E96" s="918"/>
      <c r="F96" s="874"/>
      <c r="G96" s="874"/>
      <c r="H96" s="874"/>
      <c r="I96" s="863"/>
    </row>
    <row r="97" spans="2:9" ht="15" customHeight="1">
      <c r="B97" s="916"/>
      <c r="C97" s="874"/>
      <c r="D97" s="918"/>
      <c r="E97" s="918"/>
      <c r="F97" s="874"/>
      <c r="G97" s="874"/>
      <c r="H97" s="874"/>
      <c r="I97" s="863"/>
    </row>
    <row r="98" spans="2:9" ht="15" customHeight="1">
      <c r="B98" s="916"/>
      <c r="C98" s="874"/>
      <c r="D98" s="918"/>
      <c r="E98" s="918"/>
      <c r="F98" s="874"/>
      <c r="G98" s="874"/>
      <c r="H98" s="874"/>
      <c r="I98" s="863"/>
    </row>
    <row r="99" spans="2:9" ht="15" customHeight="1">
      <c r="B99" s="874"/>
      <c r="C99" s="874"/>
      <c r="D99" s="918"/>
      <c r="E99" s="918"/>
      <c r="F99" s="874"/>
      <c r="G99" s="874"/>
      <c r="H99" s="874"/>
      <c r="I99" s="863"/>
    </row>
    <row r="100" spans="2:9" ht="15" customHeight="1">
      <c r="B100" s="916"/>
      <c r="C100" s="874"/>
      <c r="D100" s="918"/>
      <c r="E100" s="918"/>
      <c r="F100" s="874"/>
      <c r="G100" s="874"/>
      <c r="H100" s="874"/>
      <c r="I100" s="863"/>
    </row>
    <row r="101" spans="2:9" ht="15" customHeight="1">
      <c r="B101" s="874"/>
      <c r="C101" s="874"/>
      <c r="D101" s="918"/>
      <c r="E101" s="918"/>
      <c r="F101" s="874"/>
      <c r="G101" s="874"/>
      <c r="H101" s="874"/>
      <c r="I101" s="863"/>
    </row>
    <row r="102" spans="2:9" ht="15" customHeight="1">
      <c r="B102" s="916"/>
      <c r="C102" s="874"/>
      <c r="D102" s="874"/>
      <c r="E102" s="874"/>
      <c r="F102" s="874"/>
      <c r="G102" s="874"/>
      <c r="H102" s="874"/>
      <c r="I102" s="863"/>
    </row>
    <row r="103" spans="2:9" ht="15" customHeight="1">
      <c r="B103" s="916"/>
      <c r="C103" s="874"/>
      <c r="D103" s="874"/>
      <c r="E103" s="874"/>
      <c r="F103" s="874"/>
      <c r="G103" s="874"/>
      <c r="H103" s="874"/>
    </row>
    <row r="104" spans="2:9" ht="15" customHeight="1">
      <c r="B104" s="916"/>
      <c r="C104" s="874"/>
      <c r="D104" s="874"/>
      <c r="E104" s="874"/>
      <c r="F104" s="874"/>
      <c r="G104" s="874"/>
      <c r="H104" s="874"/>
    </row>
    <row r="105" spans="2:9" ht="15" customHeight="1">
      <c r="B105" s="916"/>
      <c r="C105" s="874"/>
      <c r="D105" s="874"/>
      <c r="E105" s="874"/>
      <c r="F105" s="874"/>
      <c r="G105" s="874"/>
      <c r="H105" s="874"/>
    </row>
    <row r="106" spans="2:9" ht="15" customHeight="1">
      <c r="B106" s="916"/>
      <c r="C106" s="874"/>
      <c r="D106" s="874"/>
      <c r="E106" s="874"/>
      <c r="F106" s="874"/>
      <c r="G106" s="874"/>
      <c r="H106" s="874"/>
    </row>
    <row r="107" spans="2:9" ht="15" customHeight="1">
      <c r="B107" s="916"/>
      <c r="C107" s="874"/>
      <c r="D107" s="874"/>
      <c r="E107" s="874"/>
      <c r="F107" s="874"/>
      <c r="G107" s="874"/>
      <c r="H107" s="874"/>
    </row>
    <row r="108" spans="2:9" ht="15" customHeight="1">
      <c r="B108" s="916"/>
      <c r="C108" s="874"/>
      <c r="D108" s="874"/>
      <c r="E108" s="874"/>
      <c r="F108" s="874"/>
      <c r="G108" s="874"/>
      <c r="H108" s="874"/>
    </row>
    <row r="109" spans="2:9" ht="15" customHeight="1">
      <c r="B109" s="916"/>
      <c r="C109" s="874"/>
      <c r="D109" s="874"/>
      <c r="E109" s="874"/>
      <c r="F109" s="874"/>
      <c r="G109" s="874"/>
      <c r="H109" s="874"/>
    </row>
    <row r="110" spans="2:9" ht="15" customHeight="1">
      <c r="B110" s="916"/>
      <c r="C110" s="874"/>
      <c r="D110" s="874"/>
      <c r="E110" s="874"/>
      <c r="F110" s="874"/>
      <c r="G110" s="874"/>
      <c r="H110" s="874"/>
    </row>
    <row r="111" spans="2:9" ht="15" customHeight="1">
      <c r="B111" s="916"/>
      <c r="C111" s="874"/>
      <c r="D111" s="874"/>
      <c r="E111" s="874"/>
      <c r="F111" s="874"/>
      <c r="G111" s="874"/>
      <c r="H111" s="874"/>
    </row>
    <row r="112" spans="2:9" ht="15" customHeight="1">
      <c r="B112" s="916"/>
      <c r="C112" s="874"/>
      <c r="D112" s="874"/>
      <c r="E112" s="874"/>
      <c r="F112" s="874"/>
      <c r="G112" s="874"/>
      <c r="H112" s="874"/>
    </row>
    <row r="113" spans="2:8" ht="15" customHeight="1">
      <c r="B113" s="916"/>
      <c r="C113" s="874"/>
      <c r="D113" s="874"/>
      <c r="E113" s="874"/>
      <c r="F113" s="874"/>
      <c r="G113" s="874"/>
      <c r="H113" s="874"/>
    </row>
    <row r="114" spans="2:8" ht="15" customHeight="1">
      <c r="B114" s="916"/>
      <c r="C114" s="874"/>
      <c r="D114" s="874"/>
      <c r="E114" s="874"/>
      <c r="F114" s="874"/>
      <c r="G114" s="874"/>
      <c r="H114" s="874"/>
    </row>
    <row r="115" spans="2:8" ht="15" customHeight="1">
      <c r="B115" s="916"/>
      <c r="C115" s="874"/>
      <c r="D115" s="874"/>
      <c r="E115" s="874"/>
      <c r="F115" s="874"/>
      <c r="G115" s="874"/>
      <c r="H115" s="874"/>
    </row>
    <row r="116" spans="2:8" ht="15" customHeight="1">
      <c r="B116" s="916"/>
      <c r="C116" s="874"/>
      <c r="D116" s="874"/>
      <c r="E116" s="874"/>
      <c r="F116" s="874"/>
      <c r="G116" s="874"/>
      <c r="H116" s="874"/>
    </row>
    <row r="117" spans="2:8" ht="15" customHeight="1">
      <c r="B117" s="916"/>
      <c r="C117" s="874"/>
      <c r="D117" s="874"/>
      <c r="E117" s="874"/>
      <c r="F117" s="874"/>
      <c r="G117" s="874"/>
      <c r="H117" s="874"/>
    </row>
    <row r="118" spans="2:8" ht="15" customHeight="1">
      <c r="B118" s="916"/>
      <c r="C118" s="874"/>
      <c r="D118" s="874"/>
      <c r="E118" s="874"/>
      <c r="F118" s="874"/>
      <c r="G118" s="874"/>
      <c r="H118" s="874"/>
    </row>
    <row r="119" spans="2:8" ht="15" customHeight="1">
      <c r="B119" s="916"/>
      <c r="C119" s="874"/>
      <c r="D119" s="874"/>
      <c r="E119" s="874"/>
      <c r="F119" s="874"/>
      <c r="G119" s="874"/>
      <c r="H119" s="874"/>
    </row>
    <row r="120" spans="2:8" ht="15" customHeight="1">
      <c r="B120" s="916"/>
      <c r="C120" s="874"/>
      <c r="D120" s="874"/>
      <c r="E120" s="874"/>
      <c r="F120" s="874"/>
      <c r="G120" s="874"/>
      <c r="H120" s="874"/>
    </row>
    <row r="121" spans="2:8" ht="15" customHeight="1">
      <c r="B121" s="916"/>
      <c r="C121" s="874"/>
      <c r="D121" s="874"/>
      <c r="E121" s="874"/>
      <c r="F121" s="874"/>
      <c r="G121" s="874"/>
      <c r="H121" s="874"/>
    </row>
    <row r="122" spans="2:8" ht="15" customHeight="1">
      <c r="B122" s="916"/>
      <c r="C122" s="874"/>
      <c r="D122" s="874"/>
      <c r="E122" s="874"/>
      <c r="F122" s="874"/>
      <c r="G122" s="874"/>
      <c r="H122" s="874"/>
    </row>
    <row r="123" spans="2:8" ht="15" customHeight="1">
      <c r="B123" s="916"/>
      <c r="C123" s="874"/>
      <c r="D123" s="874"/>
      <c r="E123" s="874"/>
      <c r="F123" s="874"/>
      <c r="G123" s="874"/>
      <c r="H123" s="874"/>
    </row>
    <row r="124" spans="2:8" ht="15" customHeight="1">
      <c r="B124" s="916"/>
      <c r="C124" s="874"/>
      <c r="D124" s="874"/>
      <c r="E124" s="874"/>
      <c r="F124" s="874"/>
      <c r="G124" s="874"/>
      <c r="H124" s="874"/>
    </row>
    <row r="125" spans="2:8" ht="15" customHeight="1">
      <c r="B125" s="916"/>
      <c r="C125" s="874"/>
      <c r="D125" s="874"/>
      <c r="E125" s="874"/>
      <c r="F125" s="874"/>
      <c r="G125" s="874"/>
      <c r="H125" s="874"/>
    </row>
    <row r="126" spans="2:8" ht="15" customHeight="1">
      <c r="B126" s="916"/>
      <c r="C126" s="874"/>
      <c r="D126" s="874"/>
      <c r="E126" s="874"/>
      <c r="F126" s="874"/>
      <c r="G126" s="874"/>
      <c r="H126" s="874"/>
    </row>
    <row r="127" spans="2:8" ht="15" customHeight="1">
      <c r="B127" s="916"/>
      <c r="C127" s="874"/>
      <c r="D127" s="874"/>
      <c r="E127" s="874"/>
      <c r="F127" s="874"/>
      <c r="G127" s="874"/>
      <c r="H127" s="874"/>
    </row>
    <row r="128" spans="2:8" ht="15" customHeight="1">
      <c r="B128" s="916"/>
      <c r="C128" s="874"/>
      <c r="D128" s="874"/>
      <c r="E128" s="874"/>
      <c r="F128" s="874"/>
      <c r="G128" s="874"/>
      <c r="H128" s="874"/>
    </row>
    <row r="129" spans="2:8" ht="15" customHeight="1">
      <c r="B129" s="916"/>
      <c r="C129" s="874"/>
      <c r="D129" s="874"/>
      <c r="E129" s="874"/>
      <c r="F129" s="874"/>
      <c r="G129" s="874"/>
      <c r="H129" s="874"/>
    </row>
    <row r="130" spans="2:8" ht="15" customHeight="1">
      <c r="B130" s="916"/>
      <c r="C130" s="874"/>
      <c r="D130" s="874"/>
      <c r="E130" s="874"/>
      <c r="F130" s="874"/>
      <c r="G130" s="874"/>
      <c r="H130" s="874"/>
    </row>
    <row r="131" spans="2:8" ht="15" customHeight="1">
      <c r="B131" s="916"/>
      <c r="C131" s="874"/>
      <c r="D131" s="874"/>
      <c r="E131" s="874"/>
      <c r="F131" s="874"/>
      <c r="G131" s="874"/>
      <c r="H131" s="874"/>
    </row>
    <row r="132" spans="2:8" ht="15" customHeight="1">
      <c r="B132" s="916"/>
      <c r="C132" s="874"/>
      <c r="D132" s="874"/>
      <c r="E132" s="874"/>
      <c r="F132" s="874"/>
      <c r="G132" s="874"/>
      <c r="H132" s="874"/>
    </row>
    <row r="133" spans="2:8" ht="15" customHeight="1">
      <c r="B133" s="916"/>
      <c r="C133" s="874"/>
      <c r="D133" s="874"/>
      <c r="E133" s="874"/>
      <c r="F133" s="874"/>
      <c r="G133" s="874"/>
      <c r="H133" s="874"/>
    </row>
    <row r="134" spans="2:8" ht="15" customHeight="1">
      <c r="B134" s="916"/>
      <c r="C134" s="874"/>
      <c r="D134" s="874"/>
      <c r="E134" s="874"/>
      <c r="F134" s="874"/>
      <c r="G134" s="874"/>
      <c r="H134" s="874"/>
    </row>
    <row r="135" spans="2:8" ht="15" customHeight="1">
      <c r="B135" s="916"/>
      <c r="C135" s="874"/>
      <c r="D135" s="874"/>
      <c r="E135" s="874"/>
      <c r="F135" s="874"/>
      <c r="G135" s="874"/>
      <c r="H135" s="874"/>
    </row>
    <row r="136" spans="2:8" ht="15" customHeight="1">
      <c r="B136" s="916"/>
      <c r="C136" s="874"/>
      <c r="D136" s="874"/>
      <c r="E136" s="874"/>
      <c r="F136" s="874"/>
      <c r="G136" s="874"/>
      <c r="H136" s="874"/>
    </row>
    <row r="137" spans="2:8" ht="15" customHeight="1">
      <c r="B137" s="916"/>
      <c r="C137" s="874"/>
      <c r="D137" s="874"/>
      <c r="E137" s="874"/>
      <c r="F137" s="874"/>
      <c r="G137" s="874"/>
      <c r="H137" s="874"/>
    </row>
    <row r="138" spans="2:8" ht="15" customHeight="1">
      <c r="B138" s="916"/>
      <c r="C138" s="874"/>
      <c r="D138" s="874"/>
      <c r="E138" s="874"/>
      <c r="F138" s="874"/>
      <c r="G138" s="874"/>
      <c r="H138" s="874"/>
    </row>
    <row r="139" spans="2:8" ht="15" customHeight="1">
      <c r="B139" s="916"/>
      <c r="C139" s="874"/>
      <c r="D139" s="874"/>
      <c r="E139" s="874"/>
      <c r="F139" s="874"/>
      <c r="G139" s="874"/>
      <c r="H139" s="874"/>
    </row>
    <row r="140" spans="2:8" ht="15" customHeight="1">
      <c r="B140" s="916"/>
      <c r="C140" s="874"/>
      <c r="D140" s="874"/>
      <c r="E140" s="874"/>
      <c r="F140" s="874"/>
      <c r="G140" s="874"/>
      <c r="H140" s="874"/>
    </row>
    <row r="141" spans="2:8" ht="15" customHeight="1">
      <c r="B141" s="916"/>
      <c r="C141" s="874"/>
      <c r="D141" s="874"/>
      <c r="E141" s="874"/>
      <c r="F141" s="874"/>
      <c r="G141" s="874"/>
      <c r="H141" s="874"/>
    </row>
    <row r="142" spans="2:8" ht="15" customHeight="1">
      <c r="B142" s="916"/>
      <c r="C142" s="874"/>
      <c r="D142" s="874"/>
      <c r="E142" s="874"/>
      <c r="F142" s="874"/>
      <c r="G142" s="874"/>
      <c r="H142" s="874"/>
    </row>
    <row r="143" spans="2:8" ht="15" customHeight="1">
      <c r="B143" s="916"/>
      <c r="C143" s="874"/>
      <c r="D143" s="874"/>
      <c r="E143" s="874"/>
      <c r="F143" s="874"/>
      <c r="G143" s="874"/>
      <c r="H143" s="874"/>
    </row>
    <row r="144" spans="2:8" ht="15" customHeight="1">
      <c r="B144" s="916"/>
      <c r="C144" s="874"/>
      <c r="D144" s="874"/>
      <c r="E144" s="874"/>
      <c r="F144" s="874"/>
      <c r="G144" s="874"/>
      <c r="H144" s="874"/>
    </row>
    <row r="145" spans="2:8" ht="15" customHeight="1">
      <c r="B145" s="916"/>
      <c r="C145" s="874"/>
      <c r="D145" s="874"/>
      <c r="E145" s="874"/>
      <c r="F145" s="874"/>
      <c r="G145" s="874"/>
      <c r="H145" s="874"/>
    </row>
    <row r="146" spans="2:8" ht="15" customHeight="1">
      <c r="B146" s="916"/>
      <c r="C146" s="874"/>
      <c r="D146" s="874"/>
      <c r="E146" s="874"/>
      <c r="F146" s="874"/>
      <c r="G146" s="874"/>
      <c r="H146" s="874"/>
    </row>
    <row r="147" spans="2:8" ht="15" customHeight="1">
      <c r="B147" s="916"/>
      <c r="C147" s="874"/>
      <c r="D147" s="874"/>
      <c r="E147" s="874"/>
      <c r="F147" s="874"/>
      <c r="G147" s="874"/>
      <c r="H147" s="874"/>
    </row>
    <row r="148" spans="2:8" ht="15" customHeight="1">
      <c r="B148" s="916"/>
      <c r="C148" s="874"/>
      <c r="D148" s="874"/>
      <c r="E148" s="874"/>
      <c r="F148" s="874"/>
      <c r="G148" s="874"/>
      <c r="H148" s="874"/>
    </row>
    <row r="149" spans="2:8" ht="15" customHeight="1">
      <c r="B149" s="916"/>
      <c r="C149" s="874"/>
      <c r="D149" s="874"/>
      <c r="E149" s="874"/>
      <c r="F149" s="874"/>
      <c r="G149" s="874"/>
      <c r="H149" s="874"/>
    </row>
    <row r="150" spans="2:8" ht="15" customHeight="1">
      <c r="B150" s="916"/>
      <c r="C150" s="874"/>
      <c r="D150" s="874"/>
      <c r="E150" s="874"/>
      <c r="F150" s="874"/>
      <c r="G150" s="874"/>
      <c r="H150" s="874"/>
    </row>
    <row r="151" spans="2:8" ht="15" customHeight="1">
      <c r="B151" s="916"/>
      <c r="C151" s="874"/>
      <c r="D151" s="874"/>
      <c r="E151" s="874"/>
      <c r="F151" s="874"/>
      <c r="G151" s="874"/>
      <c r="H151" s="874"/>
    </row>
    <row r="152" spans="2:8" ht="15" customHeight="1">
      <c r="B152" s="916"/>
      <c r="C152" s="874"/>
      <c r="D152" s="874"/>
      <c r="E152" s="874"/>
      <c r="F152" s="874"/>
      <c r="G152" s="874"/>
      <c r="H152" s="874"/>
    </row>
    <row r="153" spans="2:8" ht="15" customHeight="1">
      <c r="B153" s="916"/>
      <c r="C153" s="874"/>
      <c r="D153" s="874"/>
      <c r="E153" s="874"/>
      <c r="F153" s="874"/>
      <c r="G153" s="874"/>
      <c r="H153" s="874"/>
    </row>
    <row r="154" spans="2:8" ht="15" customHeight="1">
      <c r="B154" s="916"/>
      <c r="C154" s="874"/>
      <c r="D154" s="874"/>
      <c r="E154" s="874"/>
      <c r="F154" s="874"/>
      <c r="G154" s="874"/>
      <c r="H154" s="874"/>
    </row>
    <row r="155" spans="2:8" ht="15" customHeight="1">
      <c r="B155" s="916"/>
      <c r="C155" s="874"/>
      <c r="D155" s="874"/>
      <c r="E155" s="874"/>
      <c r="F155" s="874"/>
      <c r="G155" s="874"/>
      <c r="H155" s="874"/>
    </row>
    <row r="156" spans="2:8" ht="15" customHeight="1">
      <c r="B156" s="916"/>
      <c r="C156" s="874"/>
      <c r="D156" s="874"/>
      <c r="E156" s="874"/>
      <c r="F156" s="874"/>
      <c r="G156" s="874"/>
      <c r="H156" s="874"/>
    </row>
    <row r="157" spans="2:8" ht="15" customHeight="1">
      <c r="B157" s="916"/>
      <c r="C157" s="874"/>
      <c r="D157" s="874"/>
      <c r="E157" s="874"/>
      <c r="F157" s="874"/>
      <c r="G157" s="874"/>
      <c r="H157" s="874"/>
    </row>
    <row r="158" spans="2:8" ht="15" customHeight="1">
      <c r="B158" s="916"/>
      <c r="C158" s="874"/>
      <c r="D158" s="874"/>
      <c r="E158" s="874"/>
      <c r="F158" s="874"/>
      <c r="G158" s="874"/>
      <c r="H158" s="874"/>
    </row>
    <row r="159" spans="2:8" ht="15" customHeight="1">
      <c r="B159" s="916"/>
      <c r="C159" s="874"/>
      <c r="D159" s="874"/>
      <c r="E159" s="874"/>
      <c r="F159" s="874"/>
      <c r="G159" s="874"/>
      <c r="H159" s="874"/>
    </row>
    <row r="160" spans="2:8" ht="15" customHeight="1">
      <c r="B160" s="916"/>
      <c r="C160" s="874"/>
      <c r="D160" s="874"/>
      <c r="E160" s="874"/>
      <c r="F160" s="874"/>
      <c r="G160" s="874"/>
      <c r="H160" s="874"/>
    </row>
    <row r="161" spans="2:8" ht="15" customHeight="1">
      <c r="B161" s="916"/>
      <c r="C161" s="874"/>
      <c r="D161" s="874"/>
      <c r="E161" s="874"/>
      <c r="F161" s="874"/>
      <c r="G161" s="874"/>
      <c r="H161" s="874"/>
    </row>
    <row r="162" spans="2:8" ht="15" customHeight="1">
      <c r="B162" s="916"/>
      <c r="C162" s="874"/>
      <c r="D162" s="874"/>
      <c r="E162" s="874"/>
      <c r="F162" s="874"/>
      <c r="G162" s="874"/>
      <c r="H162" s="874"/>
    </row>
    <row r="163" spans="2:8" ht="15" customHeight="1">
      <c r="B163" s="916"/>
      <c r="C163" s="874"/>
      <c r="D163" s="874"/>
      <c r="E163" s="874"/>
      <c r="F163" s="874"/>
      <c r="G163" s="874"/>
      <c r="H163" s="874"/>
    </row>
    <row r="164" spans="2:8" ht="15" customHeight="1">
      <c r="B164" s="916"/>
      <c r="C164" s="874"/>
      <c r="D164" s="874"/>
      <c r="E164" s="874"/>
      <c r="F164" s="874"/>
      <c r="G164" s="874"/>
      <c r="H164" s="874"/>
    </row>
    <row r="165" spans="2:8" ht="15" customHeight="1">
      <c r="B165" s="916"/>
      <c r="C165" s="874"/>
      <c r="D165" s="874"/>
      <c r="E165" s="874"/>
      <c r="F165" s="874"/>
      <c r="G165" s="874"/>
      <c r="H165" s="874"/>
    </row>
    <row r="166" spans="2:8" ht="15" customHeight="1">
      <c r="B166" s="916"/>
      <c r="C166" s="874"/>
      <c r="D166" s="874"/>
      <c r="E166" s="874"/>
      <c r="F166" s="874"/>
      <c r="G166" s="874"/>
      <c r="H166" s="874"/>
    </row>
    <row r="167" spans="2:8" ht="15" customHeight="1">
      <c r="B167" s="916"/>
      <c r="C167" s="874"/>
      <c r="D167" s="874"/>
      <c r="E167" s="874"/>
      <c r="F167" s="874"/>
      <c r="G167" s="874"/>
      <c r="H167" s="874"/>
    </row>
    <row r="168" spans="2:8" ht="15" customHeight="1">
      <c r="B168" s="916"/>
      <c r="C168" s="874"/>
      <c r="D168" s="874"/>
      <c r="E168" s="874"/>
      <c r="F168" s="874"/>
      <c r="G168" s="874"/>
      <c r="H168" s="874"/>
    </row>
    <row r="169" spans="2:8" ht="15" customHeight="1">
      <c r="B169" s="916"/>
      <c r="C169" s="874"/>
      <c r="D169" s="874"/>
      <c r="E169" s="874"/>
      <c r="F169" s="874"/>
      <c r="G169" s="874"/>
      <c r="H169" s="874"/>
    </row>
    <row r="170" spans="2:8" ht="15" customHeight="1">
      <c r="B170" s="916"/>
      <c r="C170" s="874"/>
      <c r="D170" s="874"/>
      <c r="E170" s="874"/>
      <c r="F170" s="874"/>
      <c r="G170" s="874"/>
      <c r="H170" s="874"/>
    </row>
    <row r="171" spans="2:8" ht="15" customHeight="1">
      <c r="B171" s="916"/>
      <c r="C171" s="874"/>
      <c r="D171" s="874"/>
      <c r="E171" s="874"/>
      <c r="F171" s="874"/>
      <c r="G171" s="874"/>
      <c r="H171" s="874"/>
    </row>
    <row r="172" spans="2:8" ht="15" customHeight="1">
      <c r="B172" s="916"/>
      <c r="C172" s="874"/>
      <c r="D172" s="874"/>
      <c r="E172" s="874"/>
      <c r="F172" s="874"/>
      <c r="G172" s="874"/>
      <c r="H172" s="874"/>
    </row>
    <row r="173" spans="2:8" ht="15" customHeight="1">
      <c r="B173" s="916"/>
      <c r="C173" s="874"/>
      <c r="D173" s="874"/>
      <c r="E173" s="874"/>
      <c r="F173" s="874"/>
      <c r="G173" s="874"/>
      <c r="H173" s="874"/>
    </row>
    <row r="174" spans="2:8" ht="15" customHeight="1">
      <c r="B174" s="916"/>
      <c r="C174" s="874"/>
      <c r="D174" s="874"/>
      <c r="E174" s="874"/>
      <c r="F174" s="874"/>
      <c r="G174" s="874"/>
      <c r="H174" s="874"/>
    </row>
    <row r="175" spans="2:8" ht="15" customHeight="1">
      <c r="B175" s="916"/>
      <c r="C175" s="874"/>
      <c r="D175" s="874"/>
      <c r="E175" s="874"/>
      <c r="F175" s="874"/>
      <c r="G175" s="874"/>
      <c r="H175" s="874"/>
    </row>
    <row r="176" spans="2:8" ht="15" customHeight="1">
      <c r="B176" s="916"/>
      <c r="C176" s="874"/>
      <c r="D176" s="874"/>
      <c r="E176" s="874"/>
      <c r="F176" s="874"/>
      <c r="G176" s="874"/>
      <c r="H176" s="874"/>
    </row>
    <row r="177" spans="2:8" ht="15" customHeight="1">
      <c r="B177" s="916"/>
      <c r="C177" s="874"/>
      <c r="D177" s="874"/>
      <c r="E177" s="874"/>
      <c r="F177" s="874"/>
      <c r="G177" s="874"/>
      <c r="H177" s="874"/>
    </row>
    <row r="178" spans="2:8" ht="15" customHeight="1">
      <c r="B178" s="916"/>
      <c r="C178" s="874"/>
      <c r="D178" s="874"/>
      <c r="E178" s="874"/>
      <c r="F178" s="874"/>
      <c r="G178" s="874"/>
      <c r="H178" s="874"/>
    </row>
    <row r="179" spans="2:8" ht="15" customHeight="1">
      <c r="B179" s="916"/>
      <c r="C179" s="874"/>
      <c r="D179" s="874"/>
      <c r="E179" s="874"/>
      <c r="F179" s="874"/>
      <c r="G179" s="874"/>
      <c r="H179" s="874"/>
    </row>
    <row r="180" spans="2:8" ht="15" customHeight="1">
      <c r="B180" s="916"/>
      <c r="C180" s="874"/>
      <c r="D180" s="874"/>
      <c r="E180" s="874"/>
      <c r="F180" s="874"/>
      <c r="G180" s="874"/>
      <c r="H180" s="874"/>
    </row>
    <row r="181" spans="2:8" ht="15" customHeight="1">
      <c r="B181" s="916"/>
      <c r="C181" s="874"/>
      <c r="D181" s="874"/>
      <c r="E181" s="874"/>
      <c r="F181" s="874"/>
      <c r="G181" s="874"/>
      <c r="H181" s="874"/>
    </row>
    <row r="182" spans="2:8" ht="15" customHeight="1">
      <c r="B182" s="916"/>
      <c r="C182" s="874"/>
      <c r="D182" s="874"/>
      <c r="E182" s="874"/>
      <c r="F182" s="874"/>
      <c r="G182" s="874"/>
      <c r="H182" s="874"/>
    </row>
    <row r="183" spans="2:8" ht="15" customHeight="1">
      <c r="B183" s="916"/>
      <c r="C183" s="874"/>
      <c r="D183" s="874"/>
      <c r="E183" s="874"/>
      <c r="F183" s="874"/>
      <c r="G183" s="874"/>
      <c r="H183" s="874"/>
    </row>
    <row r="184" spans="2:8" ht="15" customHeight="1">
      <c r="B184" s="916"/>
      <c r="C184" s="874"/>
      <c r="D184" s="874"/>
      <c r="E184" s="874"/>
      <c r="F184" s="874"/>
      <c r="G184" s="874"/>
      <c r="H184" s="874"/>
    </row>
    <row r="185" spans="2:8" ht="15" customHeight="1">
      <c r="B185" s="916"/>
      <c r="C185" s="874"/>
      <c r="D185" s="874"/>
      <c r="E185" s="874"/>
      <c r="F185" s="874"/>
      <c r="G185" s="874"/>
      <c r="H185" s="874"/>
    </row>
    <row r="186" spans="2:8" ht="15" customHeight="1">
      <c r="B186" s="916"/>
      <c r="C186" s="874"/>
      <c r="D186" s="874"/>
      <c r="E186" s="874"/>
      <c r="F186" s="874"/>
      <c r="G186" s="874"/>
      <c r="H186" s="874"/>
    </row>
    <row r="187" spans="2:8" ht="15" customHeight="1">
      <c r="B187" s="916"/>
      <c r="C187" s="874"/>
      <c r="D187" s="874"/>
      <c r="E187" s="874"/>
      <c r="F187" s="874"/>
      <c r="G187" s="874"/>
      <c r="H187" s="874"/>
    </row>
    <row r="188" spans="2:8" ht="15" customHeight="1">
      <c r="B188" s="916"/>
      <c r="C188" s="874"/>
      <c r="D188" s="874"/>
      <c r="E188" s="874"/>
      <c r="F188" s="874"/>
      <c r="G188" s="874"/>
      <c r="H188" s="874"/>
    </row>
    <row r="189" spans="2:8" ht="15" customHeight="1">
      <c r="B189" s="916"/>
      <c r="C189" s="874"/>
      <c r="D189" s="874"/>
      <c r="E189" s="874"/>
      <c r="F189" s="874"/>
      <c r="G189" s="874"/>
      <c r="H189" s="874"/>
    </row>
    <row r="190" spans="2:8" ht="15" customHeight="1">
      <c r="B190" s="916"/>
      <c r="C190" s="874"/>
      <c r="D190" s="874"/>
      <c r="E190" s="874"/>
      <c r="F190" s="874"/>
      <c r="G190" s="874"/>
      <c r="H190" s="874"/>
    </row>
    <row r="191" spans="2:8" ht="15" customHeight="1">
      <c r="B191" s="916"/>
      <c r="C191" s="874"/>
      <c r="D191" s="874"/>
      <c r="E191" s="874"/>
      <c r="F191" s="874"/>
      <c r="G191" s="874"/>
      <c r="H191" s="874"/>
    </row>
    <row r="192" spans="2:8" ht="15" customHeight="1">
      <c r="B192" s="916"/>
      <c r="C192" s="874"/>
      <c r="D192" s="874"/>
      <c r="E192" s="874"/>
      <c r="F192" s="874"/>
      <c r="G192" s="874"/>
      <c r="H192" s="874"/>
    </row>
    <row r="193" spans="2:8" ht="15" customHeight="1">
      <c r="B193" s="916"/>
      <c r="C193" s="874"/>
      <c r="D193" s="874"/>
      <c r="E193" s="874"/>
      <c r="F193" s="874"/>
      <c r="G193" s="874"/>
      <c r="H193" s="874"/>
    </row>
    <row r="194" spans="2:8" ht="15" customHeight="1">
      <c r="B194" s="916"/>
      <c r="C194" s="874"/>
      <c r="D194" s="874"/>
      <c r="E194" s="874"/>
      <c r="F194" s="874"/>
      <c r="G194" s="874"/>
      <c r="H194" s="874"/>
    </row>
    <row r="195" spans="2:8" ht="15" customHeight="1">
      <c r="B195" s="916"/>
      <c r="C195" s="874"/>
      <c r="D195" s="874"/>
      <c r="E195" s="874"/>
      <c r="F195" s="874"/>
      <c r="G195" s="874"/>
      <c r="H195" s="874"/>
    </row>
    <row r="196" spans="2:8" ht="15" customHeight="1">
      <c r="B196" s="916"/>
      <c r="C196" s="874"/>
      <c r="D196" s="874"/>
      <c r="E196" s="874"/>
      <c r="F196" s="874"/>
      <c r="G196" s="874"/>
      <c r="H196" s="874"/>
    </row>
    <row r="197" spans="2:8" ht="15" customHeight="1">
      <c r="B197" s="916"/>
      <c r="C197" s="874"/>
      <c r="D197" s="874"/>
      <c r="E197" s="874"/>
      <c r="F197" s="874"/>
      <c r="G197" s="874"/>
      <c r="H197" s="874"/>
    </row>
    <row r="198" spans="2:8" ht="15" customHeight="1">
      <c r="B198" s="916"/>
      <c r="C198" s="874"/>
      <c r="D198" s="874"/>
      <c r="E198" s="874"/>
      <c r="F198" s="874"/>
      <c r="G198" s="874"/>
      <c r="H198" s="874"/>
    </row>
    <row r="199" spans="2:8" ht="15" customHeight="1">
      <c r="B199" s="916"/>
      <c r="C199" s="874"/>
      <c r="D199" s="874"/>
      <c r="E199" s="874"/>
      <c r="F199" s="874"/>
      <c r="G199" s="874"/>
      <c r="H199" s="874"/>
    </row>
    <row r="200" spans="2:8" ht="15" customHeight="1">
      <c r="B200" s="916"/>
      <c r="C200" s="874"/>
      <c r="D200" s="874"/>
      <c r="E200" s="874"/>
      <c r="F200" s="874"/>
      <c r="G200" s="874"/>
      <c r="H200" s="874"/>
    </row>
    <row r="201" spans="2:8" ht="15" customHeight="1">
      <c r="B201" s="916"/>
      <c r="C201" s="874"/>
      <c r="D201" s="874"/>
      <c r="E201" s="874"/>
      <c r="F201" s="874"/>
      <c r="G201" s="874"/>
      <c r="H201" s="874"/>
    </row>
    <row r="202" spans="2:8" ht="15" customHeight="1">
      <c r="B202" s="916"/>
      <c r="C202" s="874"/>
      <c r="D202" s="874"/>
      <c r="E202" s="874"/>
      <c r="F202" s="874"/>
      <c r="G202" s="874"/>
      <c r="H202" s="874"/>
    </row>
    <row r="203" spans="2:8" ht="15" customHeight="1">
      <c r="B203" s="916"/>
      <c r="C203" s="874"/>
      <c r="D203" s="874"/>
      <c r="E203" s="874"/>
      <c r="F203" s="874"/>
      <c r="G203" s="874"/>
      <c r="H203" s="874"/>
    </row>
    <row r="204" spans="2:8" ht="15" customHeight="1">
      <c r="B204" s="916"/>
      <c r="C204" s="874"/>
      <c r="D204" s="874"/>
      <c r="E204" s="874"/>
      <c r="F204" s="874"/>
      <c r="G204" s="874"/>
      <c r="H204" s="874"/>
    </row>
    <row r="205" spans="2:8" ht="15" customHeight="1">
      <c r="B205" s="916"/>
      <c r="C205" s="874"/>
      <c r="D205" s="874"/>
      <c r="E205" s="874"/>
      <c r="F205" s="874"/>
      <c r="G205" s="874"/>
      <c r="H205" s="874"/>
    </row>
    <row r="206" spans="2:8" ht="15" customHeight="1">
      <c r="B206" s="916"/>
      <c r="C206" s="874"/>
      <c r="D206" s="874"/>
      <c r="E206" s="874"/>
      <c r="F206" s="874"/>
      <c r="G206" s="874"/>
      <c r="H206" s="874"/>
    </row>
    <row r="207" spans="2:8" ht="15" customHeight="1">
      <c r="B207" s="916"/>
      <c r="C207" s="874"/>
      <c r="D207" s="874"/>
      <c r="E207" s="874"/>
      <c r="F207" s="874"/>
      <c r="G207" s="874"/>
      <c r="H207" s="874"/>
    </row>
    <row r="208" spans="2:8" ht="15" customHeight="1">
      <c r="B208" s="888"/>
      <c r="C208" s="876"/>
      <c r="D208" s="876"/>
      <c r="E208" s="876"/>
      <c r="F208" s="876"/>
      <c r="G208" s="876"/>
      <c r="H208" s="876"/>
    </row>
    <row r="209" spans="2:8" ht="15" customHeight="1">
      <c r="B209" s="888"/>
      <c r="C209" s="876"/>
      <c r="D209" s="876"/>
      <c r="E209" s="876"/>
      <c r="F209" s="876"/>
      <c r="G209" s="876"/>
      <c r="H209" s="876"/>
    </row>
    <row r="210" spans="2:8" ht="15" customHeight="1">
      <c r="B210" s="888"/>
      <c r="C210" s="876"/>
      <c r="D210" s="876"/>
      <c r="E210" s="876"/>
      <c r="F210" s="876"/>
      <c r="G210" s="876"/>
      <c r="H210" s="876"/>
    </row>
    <row r="211" spans="2:8" ht="15" customHeight="1">
      <c r="B211" s="888"/>
      <c r="C211" s="876"/>
      <c r="D211" s="876"/>
      <c r="E211" s="876"/>
      <c r="F211" s="876"/>
      <c r="G211" s="876"/>
      <c r="H211" s="876"/>
    </row>
    <row r="212" spans="2:8" ht="15" customHeight="1">
      <c r="B212" s="888"/>
      <c r="C212" s="876"/>
      <c r="D212" s="876"/>
      <c r="E212" s="876"/>
      <c r="F212" s="876"/>
      <c r="G212" s="876"/>
      <c r="H212" s="876"/>
    </row>
    <row r="213" spans="2:8" ht="15" customHeight="1">
      <c r="B213" s="888"/>
      <c r="C213" s="876"/>
      <c r="D213" s="876"/>
      <c r="E213" s="876"/>
      <c r="F213" s="876"/>
      <c r="G213" s="876"/>
      <c r="H213" s="876"/>
    </row>
    <row r="214" spans="2:8" ht="15" customHeight="1">
      <c r="B214" s="888"/>
      <c r="C214" s="876"/>
      <c r="D214" s="876"/>
      <c r="E214" s="876"/>
      <c r="F214" s="876"/>
      <c r="G214" s="876"/>
      <c r="H214" s="876"/>
    </row>
    <row r="215" spans="2:8" ht="15" customHeight="1">
      <c r="B215" s="888"/>
      <c r="C215" s="876"/>
      <c r="D215" s="876"/>
      <c r="E215" s="876"/>
      <c r="F215" s="876"/>
      <c r="G215" s="876"/>
      <c r="H215" s="876"/>
    </row>
    <row r="216" spans="2:8" ht="15" customHeight="1">
      <c r="B216" s="888"/>
      <c r="C216" s="876"/>
      <c r="D216" s="876"/>
      <c r="E216" s="876"/>
      <c r="F216" s="876"/>
      <c r="G216" s="876"/>
      <c r="H216" s="876"/>
    </row>
    <row r="217" spans="2:8" ht="15" customHeight="1">
      <c r="B217" s="888"/>
      <c r="C217" s="876"/>
      <c r="D217" s="876"/>
      <c r="E217" s="876"/>
      <c r="F217" s="876"/>
      <c r="G217" s="876"/>
      <c r="H217" s="876"/>
    </row>
    <row r="218" spans="2:8" ht="15" customHeight="1">
      <c r="B218" s="888"/>
      <c r="C218" s="876"/>
      <c r="D218" s="876"/>
      <c r="E218" s="876"/>
      <c r="F218" s="876"/>
      <c r="G218" s="876"/>
      <c r="H218" s="876"/>
    </row>
    <row r="219" spans="2:8" ht="15" customHeight="1">
      <c r="B219" s="888"/>
      <c r="C219" s="876"/>
      <c r="D219" s="876"/>
      <c r="E219" s="876"/>
      <c r="F219" s="876"/>
      <c r="G219" s="876"/>
      <c r="H219" s="876"/>
    </row>
    <row r="220" spans="2:8" ht="15" customHeight="1">
      <c r="B220" s="888"/>
      <c r="C220" s="876"/>
      <c r="D220" s="876"/>
      <c r="E220" s="876"/>
      <c r="F220" s="876"/>
      <c r="G220" s="876"/>
      <c r="H220" s="876"/>
    </row>
    <row r="221" spans="2:8" ht="15" customHeight="1">
      <c r="B221" s="888"/>
      <c r="C221" s="876"/>
      <c r="D221" s="876"/>
      <c r="E221" s="876"/>
      <c r="F221" s="876"/>
      <c r="G221" s="876"/>
      <c r="H221" s="876"/>
    </row>
    <row r="222" spans="2:8" ht="15" customHeight="1">
      <c r="B222" s="888"/>
      <c r="C222" s="876"/>
      <c r="D222" s="876"/>
      <c r="E222" s="876"/>
      <c r="F222" s="876"/>
      <c r="G222" s="876"/>
      <c r="H222" s="876"/>
    </row>
    <row r="223" spans="2:8" ht="15" customHeight="1">
      <c r="B223" s="888"/>
      <c r="C223" s="876"/>
      <c r="D223" s="876"/>
      <c r="E223" s="876"/>
      <c r="F223" s="876"/>
      <c r="G223" s="876"/>
      <c r="H223" s="876"/>
    </row>
    <row r="224" spans="2:8" ht="15" customHeight="1">
      <c r="B224" s="888"/>
      <c r="C224" s="876"/>
      <c r="D224" s="876"/>
      <c r="E224" s="876"/>
      <c r="F224" s="876"/>
      <c r="G224" s="876"/>
      <c r="H224" s="876"/>
    </row>
    <row r="225" spans="2:8" ht="15" customHeight="1">
      <c r="B225" s="888"/>
      <c r="C225" s="876"/>
      <c r="D225" s="876"/>
      <c r="E225" s="876"/>
      <c r="F225" s="876"/>
      <c r="G225" s="876"/>
      <c r="H225" s="876"/>
    </row>
    <row r="226" spans="2:8" ht="15" customHeight="1">
      <c r="B226" s="888"/>
      <c r="C226" s="876"/>
      <c r="D226" s="876"/>
      <c r="E226" s="876"/>
      <c r="F226" s="876"/>
      <c r="G226" s="876"/>
      <c r="H226" s="876"/>
    </row>
    <row r="227" spans="2:8" ht="15" customHeight="1">
      <c r="B227" s="888"/>
      <c r="C227" s="876"/>
      <c r="D227" s="876"/>
      <c r="E227" s="876"/>
      <c r="F227" s="876"/>
      <c r="G227" s="876"/>
      <c r="H227" s="876"/>
    </row>
    <row r="228" spans="2:8" ht="15" customHeight="1">
      <c r="B228" s="888"/>
      <c r="C228" s="876"/>
      <c r="D228" s="876"/>
      <c r="E228" s="876"/>
      <c r="F228" s="876"/>
      <c r="G228" s="876"/>
      <c r="H228" s="876"/>
    </row>
    <row r="229" spans="2:8" ht="15" customHeight="1">
      <c r="B229" s="888"/>
      <c r="C229" s="876"/>
      <c r="D229" s="876"/>
      <c r="E229" s="876"/>
      <c r="F229" s="876"/>
      <c r="G229" s="876"/>
      <c r="H229" s="876"/>
    </row>
    <row r="230" spans="2:8" ht="15" customHeight="1">
      <c r="B230" s="888"/>
      <c r="C230" s="876"/>
      <c r="D230" s="876"/>
      <c r="E230" s="876"/>
      <c r="F230" s="876"/>
      <c r="G230" s="876"/>
      <c r="H230" s="876"/>
    </row>
    <row r="231" spans="2:8" ht="15" customHeight="1">
      <c r="B231" s="888"/>
      <c r="C231" s="876"/>
      <c r="D231" s="876"/>
      <c r="E231" s="876"/>
      <c r="F231" s="876"/>
      <c r="G231" s="876"/>
      <c r="H231" s="876"/>
    </row>
    <row r="232" spans="2:8" ht="15" customHeight="1">
      <c r="B232" s="888"/>
      <c r="C232" s="876"/>
      <c r="D232" s="876"/>
      <c r="E232" s="876"/>
      <c r="F232" s="876"/>
      <c r="G232" s="876"/>
      <c r="H232" s="876"/>
    </row>
    <row r="233" spans="2:8" ht="15" customHeight="1">
      <c r="B233" s="888"/>
      <c r="C233" s="876"/>
      <c r="D233" s="876"/>
      <c r="E233" s="876"/>
      <c r="F233" s="876"/>
      <c r="G233" s="876"/>
      <c r="H233" s="876"/>
    </row>
    <row r="234" spans="2:8" ht="15" customHeight="1">
      <c r="B234" s="888"/>
      <c r="C234" s="876"/>
      <c r="D234" s="876"/>
      <c r="E234" s="876"/>
      <c r="F234" s="876"/>
      <c r="G234" s="876"/>
      <c r="H234" s="876"/>
    </row>
    <row r="235" spans="2:8" ht="15" customHeight="1">
      <c r="B235" s="888"/>
      <c r="C235" s="876"/>
      <c r="D235" s="876"/>
      <c r="E235" s="876"/>
      <c r="F235" s="876"/>
      <c r="G235" s="876"/>
      <c r="H235" s="876"/>
    </row>
    <row r="236" spans="2:8" ht="15" customHeight="1">
      <c r="B236" s="888"/>
      <c r="C236" s="876"/>
      <c r="D236" s="876"/>
      <c r="E236" s="876"/>
      <c r="F236" s="876"/>
      <c r="G236" s="876"/>
      <c r="H236" s="876"/>
    </row>
    <row r="237" spans="2:8" ht="15" customHeight="1">
      <c r="B237" s="888"/>
      <c r="C237" s="876"/>
      <c r="D237" s="876"/>
      <c r="E237" s="876"/>
      <c r="F237" s="876"/>
      <c r="G237" s="876"/>
      <c r="H237" s="876"/>
    </row>
    <row r="238" spans="2:8" ht="15" customHeight="1">
      <c r="B238" s="888"/>
      <c r="C238" s="876"/>
      <c r="D238" s="876"/>
      <c r="E238" s="876"/>
      <c r="F238" s="876"/>
      <c r="G238" s="876"/>
      <c r="H238" s="876"/>
    </row>
    <row r="239" spans="2:8" ht="15" customHeight="1">
      <c r="B239" s="888"/>
      <c r="C239" s="876"/>
      <c r="D239" s="876"/>
      <c r="E239" s="876"/>
      <c r="F239" s="876"/>
      <c r="G239" s="876"/>
      <c r="H239" s="876"/>
    </row>
    <row r="240" spans="2:8" ht="15" customHeight="1">
      <c r="B240" s="888"/>
      <c r="C240" s="876"/>
      <c r="D240" s="876"/>
      <c r="E240" s="876"/>
      <c r="F240" s="876"/>
      <c r="G240" s="876"/>
      <c r="H240" s="876"/>
    </row>
    <row r="241" spans="2:8" ht="15" customHeight="1">
      <c r="B241" s="888"/>
      <c r="C241" s="876"/>
      <c r="D241" s="876"/>
      <c r="E241" s="876"/>
      <c r="F241" s="876"/>
      <c r="G241" s="876"/>
      <c r="H241" s="876"/>
    </row>
    <row r="242" spans="2:8" ht="15" customHeight="1">
      <c r="B242" s="888"/>
      <c r="C242" s="876"/>
      <c r="D242" s="876"/>
      <c r="E242" s="876"/>
      <c r="F242" s="876"/>
      <c r="G242" s="876"/>
      <c r="H242" s="876"/>
    </row>
    <row r="243" spans="2:8" ht="15" customHeight="1">
      <c r="B243" s="888"/>
      <c r="C243" s="876"/>
      <c r="D243" s="876"/>
      <c r="E243" s="876"/>
      <c r="F243" s="876"/>
      <c r="G243" s="876"/>
      <c r="H243" s="876"/>
    </row>
    <row r="244" spans="2:8" ht="15" customHeight="1">
      <c r="B244" s="888"/>
      <c r="C244" s="876"/>
      <c r="D244" s="876"/>
      <c r="E244" s="876"/>
      <c r="F244" s="876"/>
      <c r="G244" s="876"/>
      <c r="H244" s="876"/>
    </row>
    <row r="245" spans="2:8" ht="15" customHeight="1">
      <c r="B245" s="888"/>
      <c r="C245" s="876"/>
      <c r="D245" s="876"/>
      <c r="E245" s="876"/>
      <c r="F245" s="876"/>
      <c r="G245" s="876"/>
      <c r="H245" s="876"/>
    </row>
    <row r="246" spans="2:8" ht="15" customHeight="1">
      <c r="B246" s="888"/>
      <c r="C246" s="876"/>
      <c r="D246" s="876"/>
      <c r="E246" s="876"/>
      <c r="F246" s="876"/>
      <c r="G246" s="876"/>
      <c r="H246" s="876"/>
    </row>
    <row r="247" spans="2:8" ht="15" customHeight="1">
      <c r="B247" s="888"/>
      <c r="C247" s="876"/>
      <c r="D247" s="876"/>
      <c r="E247" s="876"/>
      <c r="F247" s="876"/>
      <c r="G247" s="876"/>
      <c r="H247" s="876"/>
    </row>
    <row r="248" spans="2:8" ht="15" customHeight="1">
      <c r="B248" s="888"/>
      <c r="C248" s="876"/>
      <c r="D248" s="876"/>
      <c r="E248" s="876"/>
      <c r="F248" s="876"/>
      <c r="G248" s="876"/>
      <c r="H248" s="876"/>
    </row>
    <row r="249" spans="2:8" ht="15" customHeight="1">
      <c r="B249" s="888"/>
      <c r="C249" s="876"/>
      <c r="D249" s="876"/>
      <c r="E249" s="876"/>
      <c r="F249" s="876"/>
      <c r="G249" s="876"/>
      <c r="H249" s="876"/>
    </row>
    <row r="250" spans="2:8" ht="15" customHeight="1">
      <c r="B250" s="888"/>
      <c r="C250" s="876"/>
      <c r="D250" s="876"/>
      <c r="E250" s="876"/>
      <c r="F250" s="876"/>
      <c r="G250" s="876"/>
      <c r="H250" s="876"/>
    </row>
    <row r="251" spans="2:8" ht="15" customHeight="1">
      <c r="B251" s="888"/>
      <c r="C251" s="876"/>
      <c r="D251" s="876"/>
      <c r="E251" s="876"/>
      <c r="F251" s="876"/>
      <c r="G251" s="876"/>
      <c r="H251" s="876"/>
    </row>
    <row r="252" spans="2:8" ht="15" customHeight="1">
      <c r="B252" s="888"/>
      <c r="C252" s="876"/>
      <c r="D252" s="876"/>
      <c r="E252" s="876"/>
      <c r="F252" s="876"/>
      <c r="G252" s="876"/>
      <c r="H252" s="876"/>
    </row>
    <row r="253" spans="2:8" ht="15" customHeight="1">
      <c r="B253" s="888"/>
      <c r="C253" s="876"/>
      <c r="D253" s="876"/>
      <c r="E253" s="876"/>
      <c r="F253" s="876"/>
      <c r="G253" s="876"/>
      <c r="H253" s="876"/>
    </row>
    <row r="254" spans="2:8" ht="15" customHeight="1">
      <c r="B254" s="888"/>
      <c r="C254" s="876"/>
      <c r="D254" s="876"/>
      <c r="E254" s="876"/>
      <c r="F254" s="876"/>
      <c r="G254" s="876"/>
      <c r="H254" s="876"/>
    </row>
    <row r="255" spans="2:8" ht="15" customHeight="1">
      <c r="B255" s="888"/>
      <c r="C255" s="876"/>
      <c r="D255" s="876"/>
      <c r="E255" s="876"/>
      <c r="F255" s="876"/>
      <c r="G255" s="876"/>
      <c r="H255" s="876"/>
    </row>
    <row r="256" spans="2:8" ht="15" customHeight="1">
      <c r="B256" s="888"/>
      <c r="C256" s="876"/>
      <c r="D256" s="876"/>
      <c r="E256" s="876"/>
      <c r="F256" s="876"/>
      <c r="G256" s="876"/>
      <c r="H256" s="876"/>
    </row>
    <row r="257" spans="2:8" ht="15" customHeight="1">
      <c r="B257" s="888"/>
      <c r="C257" s="876"/>
      <c r="D257" s="876"/>
      <c r="E257" s="876"/>
      <c r="F257" s="876"/>
      <c r="G257" s="876"/>
      <c r="H257" s="876"/>
    </row>
    <row r="258" spans="2:8" ht="15" customHeight="1">
      <c r="B258" s="888"/>
      <c r="C258" s="876"/>
      <c r="D258" s="876"/>
      <c r="E258" s="876"/>
      <c r="F258" s="876"/>
      <c r="G258" s="876"/>
      <c r="H258" s="876"/>
    </row>
    <row r="259" spans="2:8" ht="15" customHeight="1">
      <c r="B259" s="888"/>
      <c r="C259" s="876"/>
      <c r="D259" s="876"/>
      <c r="E259" s="876"/>
      <c r="F259" s="876"/>
      <c r="G259" s="876"/>
      <c r="H259" s="876"/>
    </row>
    <row r="260" spans="2:8" ht="15" customHeight="1">
      <c r="B260" s="888"/>
      <c r="C260" s="876"/>
      <c r="D260" s="876"/>
      <c r="E260" s="876"/>
      <c r="F260" s="876"/>
      <c r="G260" s="876"/>
      <c r="H260" s="876"/>
    </row>
    <row r="261" spans="2:8" ht="15" customHeight="1">
      <c r="B261" s="888"/>
      <c r="C261" s="876"/>
      <c r="D261" s="876"/>
      <c r="E261" s="876"/>
      <c r="F261" s="876"/>
      <c r="G261" s="876"/>
      <c r="H261" s="876"/>
    </row>
    <row r="262" spans="2:8" ht="15" customHeight="1">
      <c r="B262" s="888"/>
      <c r="C262" s="876"/>
      <c r="D262" s="876"/>
      <c r="E262" s="876"/>
      <c r="F262" s="876"/>
      <c r="G262" s="876"/>
      <c r="H262" s="876"/>
    </row>
    <row r="263" spans="2:8" ht="15" customHeight="1">
      <c r="B263" s="888"/>
      <c r="C263" s="876"/>
      <c r="D263" s="876"/>
      <c r="E263" s="876"/>
      <c r="F263" s="876"/>
      <c r="G263" s="876"/>
      <c r="H263" s="876"/>
    </row>
    <row r="264" spans="2:8" ht="15" customHeight="1">
      <c r="B264" s="888"/>
      <c r="C264" s="876"/>
      <c r="D264" s="876"/>
      <c r="E264" s="876"/>
      <c r="F264" s="876"/>
      <c r="G264" s="876"/>
      <c r="H264" s="876"/>
    </row>
    <row r="265" spans="2:8" ht="15" customHeight="1">
      <c r="B265" s="888"/>
      <c r="C265" s="876"/>
      <c r="D265" s="876"/>
      <c r="E265" s="876"/>
      <c r="F265" s="876"/>
      <c r="G265" s="876"/>
      <c r="H265" s="876"/>
    </row>
    <row r="266" spans="2:8" ht="15" customHeight="1">
      <c r="B266" s="888"/>
      <c r="C266" s="876"/>
      <c r="D266" s="876"/>
      <c r="E266" s="876"/>
      <c r="F266" s="876"/>
      <c r="G266" s="876"/>
      <c r="H266" s="876"/>
    </row>
    <row r="267" spans="2:8" ht="15" customHeight="1">
      <c r="B267" s="888"/>
      <c r="C267" s="876"/>
      <c r="D267" s="876"/>
      <c r="E267" s="876"/>
      <c r="F267" s="876"/>
      <c r="G267" s="876"/>
      <c r="H267" s="876"/>
    </row>
    <row r="268" spans="2:8" ht="15" customHeight="1">
      <c r="B268" s="888"/>
      <c r="C268" s="876"/>
      <c r="D268" s="876"/>
      <c r="E268" s="876"/>
      <c r="F268" s="876"/>
      <c r="G268" s="876"/>
      <c r="H268" s="876"/>
    </row>
    <row r="269" spans="2:8" ht="15" customHeight="1">
      <c r="B269" s="888"/>
      <c r="C269" s="876"/>
      <c r="D269" s="876"/>
      <c r="E269" s="876"/>
      <c r="F269" s="876"/>
      <c r="G269" s="876"/>
      <c r="H269" s="876"/>
    </row>
    <row r="270" spans="2:8" ht="15" customHeight="1">
      <c r="B270" s="888"/>
      <c r="C270" s="876"/>
      <c r="D270" s="876"/>
      <c r="E270" s="876"/>
      <c r="F270" s="876"/>
      <c r="G270" s="876"/>
      <c r="H270" s="876"/>
    </row>
    <row r="271" spans="2:8" ht="15" customHeight="1">
      <c r="B271" s="888"/>
      <c r="C271" s="876"/>
      <c r="D271" s="876"/>
      <c r="E271" s="876"/>
      <c r="F271" s="876"/>
      <c r="G271" s="876"/>
      <c r="H271" s="876"/>
    </row>
    <row r="272" spans="2:8" ht="15" customHeight="1">
      <c r="B272" s="888"/>
      <c r="C272" s="876"/>
      <c r="D272" s="876"/>
      <c r="E272" s="876"/>
      <c r="F272" s="876"/>
      <c r="G272" s="876"/>
      <c r="H272" s="876"/>
    </row>
    <row r="273" spans="2:8" ht="15" customHeight="1">
      <c r="B273" s="888"/>
      <c r="C273" s="876"/>
      <c r="D273" s="876"/>
      <c r="E273" s="876"/>
      <c r="F273" s="876"/>
      <c r="G273" s="876"/>
      <c r="H273" s="876"/>
    </row>
    <row r="274" spans="2:8" ht="15" customHeight="1">
      <c r="B274" s="888"/>
      <c r="C274" s="876"/>
      <c r="D274" s="876"/>
      <c r="E274" s="876"/>
      <c r="F274" s="876"/>
      <c r="G274" s="876"/>
      <c r="H274" s="876"/>
    </row>
    <row r="275" spans="2:8" ht="15" customHeight="1">
      <c r="B275" s="888"/>
      <c r="C275" s="876"/>
      <c r="D275" s="876"/>
      <c r="E275" s="876"/>
      <c r="F275" s="876"/>
      <c r="G275" s="876"/>
      <c r="H275" s="876"/>
    </row>
    <row r="276" spans="2:8" ht="15" customHeight="1">
      <c r="B276" s="888"/>
      <c r="C276" s="876"/>
      <c r="D276" s="876"/>
      <c r="E276" s="876"/>
      <c r="F276" s="876"/>
      <c r="G276" s="876"/>
      <c r="H276" s="876"/>
    </row>
    <row r="277" spans="2:8" ht="15" customHeight="1">
      <c r="B277" s="888"/>
      <c r="C277" s="876"/>
      <c r="D277" s="876"/>
      <c r="E277" s="876"/>
      <c r="F277" s="876"/>
      <c r="G277" s="876"/>
      <c r="H277" s="876"/>
    </row>
    <row r="278" spans="2:8" ht="15" customHeight="1">
      <c r="B278" s="888"/>
      <c r="C278" s="876"/>
      <c r="D278" s="876"/>
      <c r="E278" s="876"/>
      <c r="F278" s="876"/>
      <c r="G278" s="876"/>
      <c r="H278" s="876"/>
    </row>
    <row r="279" spans="2:8" ht="15" customHeight="1">
      <c r="B279" s="888"/>
      <c r="C279" s="876"/>
      <c r="D279" s="876"/>
      <c r="E279" s="876"/>
      <c r="F279" s="876"/>
      <c r="G279" s="876"/>
      <c r="H279" s="876"/>
    </row>
    <row r="280" spans="2:8" ht="15" customHeight="1">
      <c r="B280" s="888"/>
      <c r="C280" s="876"/>
      <c r="D280" s="876"/>
      <c r="E280" s="876"/>
      <c r="F280" s="876"/>
      <c r="G280" s="876"/>
      <c r="H280" s="876"/>
    </row>
    <row r="281" spans="2:8" ht="15" customHeight="1">
      <c r="B281" s="888"/>
      <c r="C281" s="876"/>
      <c r="D281" s="876"/>
      <c r="E281" s="876"/>
      <c r="F281" s="876"/>
      <c r="G281" s="876"/>
      <c r="H281" s="876"/>
    </row>
    <row r="282" spans="2:8" ht="15" customHeight="1">
      <c r="B282" s="888"/>
      <c r="C282" s="876"/>
      <c r="D282" s="876"/>
      <c r="E282" s="876"/>
      <c r="F282" s="876"/>
      <c r="G282" s="876"/>
      <c r="H282" s="876"/>
    </row>
    <row r="283" spans="2:8" ht="15" customHeight="1">
      <c r="B283" s="888"/>
      <c r="C283" s="876"/>
      <c r="D283" s="876"/>
      <c r="E283" s="876"/>
      <c r="F283" s="876"/>
      <c r="G283" s="876"/>
      <c r="H283" s="876"/>
    </row>
    <row r="284" spans="2:8" ht="15" customHeight="1">
      <c r="B284" s="888"/>
      <c r="C284" s="876"/>
      <c r="D284" s="876"/>
      <c r="E284" s="876"/>
      <c r="F284" s="876"/>
      <c r="G284" s="876"/>
      <c r="H284" s="876"/>
    </row>
    <row r="285" spans="2:8" ht="15" customHeight="1">
      <c r="B285" s="888"/>
      <c r="C285" s="876"/>
      <c r="D285" s="876"/>
      <c r="E285" s="876"/>
      <c r="F285" s="876"/>
      <c r="G285" s="876"/>
      <c r="H285" s="876"/>
    </row>
    <row r="286" spans="2:8" ht="15" customHeight="1">
      <c r="B286" s="888"/>
      <c r="C286" s="876"/>
      <c r="D286" s="876"/>
      <c r="E286" s="876"/>
      <c r="F286" s="876"/>
      <c r="G286" s="876"/>
      <c r="H286" s="876"/>
    </row>
    <row r="287" spans="2:8" ht="15" customHeight="1">
      <c r="B287" s="888"/>
      <c r="C287" s="876"/>
      <c r="D287" s="876"/>
      <c r="E287" s="876"/>
      <c r="F287" s="876"/>
      <c r="G287" s="876"/>
      <c r="H287" s="876"/>
    </row>
    <row r="288" spans="2:8" ht="15" customHeight="1">
      <c r="B288" s="888"/>
      <c r="C288" s="876"/>
      <c r="D288" s="876"/>
      <c r="E288" s="876"/>
      <c r="F288" s="876"/>
      <c r="G288" s="876"/>
      <c r="H288" s="876"/>
    </row>
    <row r="289" spans="2:8" ht="15" customHeight="1">
      <c r="B289" s="888"/>
      <c r="C289" s="876"/>
      <c r="D289" s="876"/>
      <c r="E289" s="876"/>
      <c r="F289" s="876"/>
      <c r="G289" s="876"/>
      <c r="H289" s="876"/>
    </row>
    <row r="290" spans="2:8" ht="15" customHeight="1">
      <c r="B290" s="888"/>
      <c r="C290" s="876"/>
      <c r="D290" s="876"/>
      <c r="E290" s="876"/>
      <c r="F290" s="876"/>
      <c r="G290" s="876"/>
      <c r="H290" s="876"/>
    </row>
    <row r="291" spans="2:8" ht="15" customHeight="1">
      <c r="B291" s="888"/>
      <c r="C291" s="876"/>
      <c r="D291" s="876"/>
      <c r="E291" s="876"/>
      <c r="F291" s="876"/>
      <c r="G291" s="876"/>
      <c r="H291" s="876"/>
    </row>
    <row r="292" spans="2:8" ht="15" customHeight="1">
      <c r="B292" s="888"/>
      <c r="C292" s="876"/>
      <c r="D292" s="876"/>
      <c r="E292" s="876"/>
      <c r="F292" s="876"/>
      <c r="G292" s="876"/>
      <c r="H292" s="876"/>
    </row>
    <row r="293" spans="2:8" ht="15" customHeight="1">
      <c r="B293" s="888"/>
      <c r="C293" s="876"/>
      <c r="D293" s="876"/>
      <c r="E293" s="876"/>
      <c r="F293" s="876"/>
      <c r="G293" s="876"/>
      <c r="H293" s="876"/>
    </row>
    <row r="294" spans="2:8" ht="15" customHeight="1">
      <c r="B294" s="888"/>
      <c r="C294" s="876"/>
      <c r="D294" s="876"/>
      <c r="E294" s="876"/>
      <c r="F294" s="876"/>
      <c r="G294" s="876"/>
      <c r="H294" s="876"/>
    </row>
    <row r="295" spans="2:8" ht="15" customHeight="1">
      <c r="B295" s="888"/>
      <c r="C295" s="876"/>
      <c r="D295" s="876"/>
      <c r="E295" s="876"/>
      <c r="F295" s="876"/>
      <c r="G295" s="876"/>
      <c r="H295" s="876"/>
    </row>
    <row r="296" spans="2:8" ht="15" customHeight="1">
      <c r="B296" s="888"/>
      <c r="C296" s="876"/>
      <c r="D296" s="876"/>
      <c r="E296" s="876"/>
      <c r="F296" s="876"/>
      <c r="G296" s="876"/>
      <c r="H296" s="876"/>
    </row>
    <row r="297" spans="2:8" ht="15" customHeight="1">
      <c r="B297" s="888"/>
      <c r="C297" s="876"/>
      <c r="D297" s="876"/>
      <c r="E297" s="876"/>
      <c r="F297" s="876"/>
      <c r="G297" s="876"/>
      <c r="H297" s="876"/>
    </row>
    <row r="298" spans="2:8" ht="15" customHeight="1">
      <c r="B298" s="888"/>
      <c r="C298" s="876"/>
      <c r="D298" s="876"/>
      <c r="E298" s="876"/>
      <c r="F298" s="876"/>
      <c r="G298" s="876"/>
      <c r="H298" s="876"/>
    </row>
    <row r="299" spans="2:8" ht="15" customHeight="1">
      <c r="B299" s="888"/>
      <c r="C299" s="876"/>
      <c r="D299" s="876"/>
      <c r="E299" s="876"/>
      <c r="F299" s="876"/>
      <c r="G299" s="876"/>
      <c r="H299" s="876"/>
    </row>
    <row r="300" spans="2:8" ht="15" customHeight="1">
      <c r="B300" s="888"/>
      <c r="C300" s="876"/>
      <c r="D300" s="876"/>
      <c r="E300" s="876"/>
      <c r="F300" s="876"/>
      <c r="G300" s="876"/>
      <c r="H300" s="876"/>
    </row>
    <row r="301" spans="2:8" ht="15" customHeight="1">
      <c r="B301" s="888"/>
      <c r="C301" s="876"/>
      <c r="D301" s="876"/>
      <c r="E301" s="876"/>
      <c r="F301" s="876"/>
      <c r="G301" s="876"/>
      <c r="H301" s="876"/>
    </row>
    <row r="302" spans="2:8" ht="15" customHeight="1">
      <c r="B302" s="888"/>
      <c r="C302" s="876"/>
      <c r="D302" s="876"/>
      <c r="E302" s="876"/>
      <c r="F302" s="876"/>
      <c r="G302" s="876"/>
      <c r="H302" s="876"/>
    </row>
    <row r="303" spans="2:8" ht="15" customHeight="1">
      <c r="B303" s="888"/>
      <c r="C303" s="876"/>
      <c r="D303" s="876"/>
      <c r="E303" s="876"/>
      <c r="F303" s="876"/>
      <c r="G303" s="876"/>
      <c r="H303" s="876"/>
    </row>
    <row r="304" spans="2:8" ht="15" customHeight="1">
      <c r="B304" s="888"/>
      <c r="C304" s="876"/>
      <c r="D304" s="876"/>
      <c r="E304" s="876"/>
      <c r="F304" s="876"/>
      <c r="G304" s="876"/>
      <c r="H304" s="876"/>
    </row>
    <row r="305" spans="2:8" ht="15" customHeight="1">
      <c r="B305" s="888"/>
      <c r="C305" s="876"/>
      <c r="D305" s="876"/>
      <c r="E305" s="876"/>
      <c r="F305" s="876"/>
      <c r="G305" s="876"/>
      <c r="H305" s="876"/>
    </row>
    <row r="306" spans="2:8" ht="15" customHeight="1">
      <c r="B306" s="888"/>
      <c r="C306" s="876"/>
      <c r="D306" s="876"/>
      <c r="E306" s="876"/>
      <c r="F306" s="876"/>
      <c r="G306" s="876"/>
      <c r="H306" s="876"/>
    </row>
    <row r="307" spans="2:8" ht="15" customHeight="1">
      <c r="B307" s="888"/>
      <c r="C307" s="876"/>
      <c r="D307" s="876"/>
      <c r="E307" s="876"/>
      <c r="F307" s="876"/>
      <c r="G307" s="876"/>
      <c r="H307" s="876"/>
    </row>
    <row r="308" spans="2:8" ht="15" customHeight="1">
      <c r="B308" s="888"/>
      <c r="C308" s="876"/>
      <c r="D308" s="876"/>
      <c r="E308" s="876"/>
      <c r="F308" s="876"/>
      <c r="G308" s="876"/>
      <c r="H308" s="876"/>
    </row>
    <row r="309" spans="2:8" ht="15" customHeight="1">
      <c r="B309" s="888"/>
      <c r="C309" s="876"/>
      <c r="D309" s="876"/>
      <c r="E309" s="876"/>
      <c r="F309" s="876"/>
      <c r="G309" s="876"/>
      <c r="H309" s="876"/>
    </row>
    <row r="310" spans="2:8" ht="15" customHeight="1">
      <c r="B310" s="888"/>
      <c r="C310" s="876"/>
      <c r="D310" s="876"/>
      <c r="E310" s="876"/>
      <c r="F310" s="876"/>
      <c r="G310" s="876"/>
      <c r="H310" s="876"/>
    </row>
    <row r="311" spans="2:8" ht="15" customHeight="1">
      <c r="B311" s="888"/>
      <c r="C311" s="876"/>
      <c r="D311" s="876"/>
      <c r="E311" s="876"/>
      <c r="F311" s="876"/>
      <c r="G311" s="876"/>
      <c r="H311" s="876"/>
    </row>
    <row r="312" spans="2:8" ht="15" customHeight="1">
      <c r="B312" s="888"/>
      <c r="C312" s="876"/>
      <c r="D312" s="876"/>
      <c r="E312" s="876"/>
      <c r="F312" s="876"/>
      <c r="G312" s="876"/>
      <c r="H312" s="876"/>
    </row>
    <row r="313" spans="2:8" ht="15" customHeight="1">
      <c r="B313" s="888"/>
      <c r="C313" s="876"/>
      <c r="D313" s="876"/>
      <c r="E313" s="876"/>
      <c r="F313" s="876"/>
      <c r="G313" s="876"/>
      <c r="H313" s="876"/>
    </row>
    <row r="314" spans="2:8" ht="15" customHeight="1">
      <c r="B314" s="888"/>
      <c r="C314" s="876"/>
      <c r="D314" s="876"/>
      <c r="E314" s="876"/>
      <c r="F314" s="876"/>
      <c r="G314" s="876"/>
      <c r="H314" s="876"/>
    </row>
    <row r="315" spans="2:8" ht="15" customHeight="1">
      <c r="B315" s="888"/>
      <c r="C315" s="876"/>
      <c r="D315" s="876"/>
      <c r="E315" s="876"/>
      <c r="F315" s="876"/>
      <c r="G315" s="876"/>
      <c r="H315" s="876"/>
    </row>
    <row r="316" spans="2:8" ht="15" customHeight="1">
      <c r="B316" s="888"/>
      <c r="C316" s="876"/>
      <c r="D316" s="876"/>
      <c r="E316" s="876"/>
      <c r="F316" s="876"/>
      <c r="G316" s="876"/>
      <c r="H316" s="876"/>
    </row>
    <row r="317" spans="2:8" ht="15" customHeight="1">
      <c r="B317" s="888"/>
      <c r="C317" s="876"/>
      <c r="D317" s="876"/>
      <c r="E317" s="876"/>
      <c r="F317" s="876"/>
      <c r="G317" s="876"/>
      <c r="H317" s="876"/>
    </row>
    <row r="318" spans="2:8" ht="15" customHeight="1">
      <c r="B318" s="888"/>
      <c r="C318" s="876"/>
      <c r="D318" s="876"/>
      <c r="E318" s="876"/>
      <c r="F318" s="876"/>
      <c r="G318" s="876"/>
      <c r="H318" s="876"/>
    </row>
    <row r="319" spans="2:8" ht="15" customHeight="1">
      <c r="B319" s="888"/>
      <c r="C319" s="876"/>
      <c r="D319" s="876"/>
      <c r="E319" s="876"/>
      <c r="F319" s="876"/>
      <c r="G319" s="876"/>
      <c r="H319" s="876"/>
    </row>
    <row r="320" spans="2:8" ht="15" customHeight="1">
      <c r="B320" s="888"/>
      <c r="C320" s="876"/>
      <c r="D320" s="876"/>
      <c r="E320" s="876"/>
      <c r="F320" s="876"/>
      <c r="G320" s="876"/>
      <c r="H320" s="876"/>
    </row>
    <row r="321" spans="2:8" ht="15" customHeight="1">
      <c r="B321" s="888"/>
      <c r="C321" s="876"/>
      <c r="D321" s="876"/>
      <c r="E321" s="876"/>
      <c r="F321" s="876"/>
      <c r="G321" s="876"/>
      <c r="H321" s="876"/>
    </row>
    <row r="322" spans="2:8" ht="15" customHeight="1">
      <c r="B322" s="888"/>
      <c r="C322" s="876"/>
      <c r="D322" s="876"/>
      <c r="E322" s="876"/>
      <c r="F322" s="876"/>
      <c r="G322" s="876"/>
      <c r="H322" s="876"/>
    </row>
    <row r="323" spans="2:8" ht="15" customHeight="1">
      <c r="B323" s="888"/>
      <c r="C323" s="876"/>
      <c r="D323" s="876"/>
      <c r="E323" s="876"/>
      <c r="F323" s="876"/>
      <c r="G323" s="876"/>
      <c r="H323" s="876"/>
    </row>
    <row r="324" spans="2:8" ht="15" customHeight="1">
      <c r="B324" s="888"/>
      <c r="C324" s="876"/>
      <c r="D324" s="876"/>
      <c r="E324" s="876"/>
      <c r="F324" s="876"/>
      <c r="G324" s="876"/>
      <c r="H324" s="876"/>
    </row>
    <row r="325" spans="2:8" ht="15" customHeight="1">
      <c r="B325" s="888"/>
      <c r="C325" s="876"/>
      <c r="D325" s="876"/>
      <c r="E325" s="876"/>
      <c r="F325" s="876"/>
      <c r="G325" s="876"/>
      <c r="H325" s="876"/>
    </row>
    <row r="326" spans="2:8" ht="15" customHeight="1">
      <c r="B326" s="888"/>
      <c r="C326" s="876"/>
      <c r="D326" s="876"/>
      <c r="E326" s="876"/>
      <c r="F326" s="876"/>
      <c r="G326" s="876"/>
      <c r="H326" s="876"/>
    </row>
    <row r="327" spans="2:8" ht="15" customHeight="1">
      <c r="B327" s="888"/>
      <c r="C327" s="876"/>
      <c r="D327" s="876"/>
      <c r="E327" s="876"/>
      <c r="F327" s="876"/>
      <c r="G327" s="876"/>
      <c r="H327" s="876"/>
    </row>
    <row r="328" spans="2:8" ht="15" customHeight="1">
      <c r="B328" s="888"/>
      <c r="C328" s="876"/>
      <c r="D328" s="876"/>
      <c r="E328" s="876"/>
      <c r="F328" s="876"/>
      <c r="G328" s="876"/>
      <c r="H328" s="876"/>
    </row>
    <row r="329" spans="2:8" ht="15" customHeight="1">
      <c r="B329" s="888"/>
      <c r="C329" s="876"/>
      <c r="D329" s="876"/>
      <c r="E329" s="876"/>
      <c r="F329" s="876"/>
      <c r="G329" s="876"/>
      <c r="H329" s="876"/>
    </row>
    <row r="330" spans="2:8" ht="15" customHeight="1">
      <c r="B330" s="888"/>
      <c r="C330" s="876"/>
      <c r="D330" s="876"/>
      <c r="E330" s="876"/>
      <c r="F330" s="876"/>
      <c r="G330" s="876"/>
      <c r="H330" s="876"/>
    </row>
    <row r="331" spans="2:8" ht="15" customHeight="1">
      <c r="B331" s="888"/>
      <c r="C331" s="876"/>
      <c r="D331" s="876"/>
      <c r="E331" s="876"/>
      <c r="F331" s="876"/>
      <c r="G331" s="876"/>
      <c r="H331" s="876"/>
    </row>
    <row r="332" spans="2:8" ht="15" customHeight="1">
      <c r="B332" s="888"/>
      <c r="C332" s="876"/>
      <c r="D332" s="876"/>
      <c r="E332" s="876"/>
      <c r="F332" s="876"/>
      <c r="G332" s="876"/>
      <c r="H332" s="876"/>
    </row>
    <row r="333" spans="2:8" ht="15" customHeight="1">
      <c r="B333" s="888"/>
      <c r="C333" s="876"/>
      <c r="D333" s="876"/>
      <c r="E333" s="876"/>
      <c r="F333" s="876"/>
      <c r="G333" s="876"/>
      <c r="H333" s="876"/>
    </row>
    <row r="334" spans="2:8" ht="15" customHeight="1">
      <c r="B334" s="888"/>
      <c r="C334" s="876"/>
      <c r="D334" s="876"/>
      <c r="E334" s="876"/>
      <c r="F334" s="876"/>
      <c r="G334" s="876"/>
      <c r="H334" s="876"/>
    </row>
    <row r="335" spans="2:8" ht="15" customHeight="1">
      <c r="B335" s="888"/>
      <c r="C335" s="876"/>
      <c r="D335" s="876"/>
      <c r="E335" s="876"/>
      <c r="F335" s="876"/>
      <c r="G335" s="876"/>
      <c r="H335" s="876"/>
    </row>
    <row r="336" spans="2:8" ht="15" customHeight="1">
      <c r="B336" s="888"/>
      <c r="C336" s="876"/>
      <c r="D336" s="876"/>
      <c r="E336" s="876"/>
      <c r="F336" s="876"/>
      <c r="G336" s="876"/>
      <c r="H336" s="876"/>
    </row>
    <row r="337" spans="2:8" ht="15" customHeight="1">
      <c r="B337" s="888"/>
      <c r="C337" s="876"/>
      <c r="D337" s="876"/>
      <c r="E337" s="876"/>
      <c r="F337" s="876"/>
      <c r="G337" s="876"/>
      <c r="H337" s="876"/>
    </row>
    <row r="338" spans="2:8" ht="15" customHeight="1">
      <c r="B338" s="888"/>
      <c r="C338" s="876"/>
      <c r="D338" s="876"/>
      <c r="E338" s="876"/>
      <c r="F338" s="876"/>
      <c r="G338" s="876"/>
      <c r="H338" s="876"/>
    </row>
    <row r="339" spans="2:8" ht="15" customHeight="1">
      <c r="B339" s="888"/>
      <c r="C339" s="876"/>
      <c r="D339" s="876"/>
      <c r="E339" s="876"/>
      <c r="F339" s="876"/>
      <c r="G339" s="876"/>
      <c r="H339" s="876"/>
    </row>
    <row r="340" spans="2:8" ht="15" customHeight="1">
      <c r="B340" s="888"/>
      <c r="C340" s="876"/>
      <c r="D340" s="876"/>
      <c r="E340" s="876"/>
      <c r="F340" s="876"/>
      <c r="G340" s="876"/>
      <c r="H340" s="876"/>
    </row>
    <row r="341" spans="2:8" ht="15" customHeight="1">
      <c r="B341" s="888"/>
      <c r="C341" s="876"/>
      <c r="D341" s="876"/>
      <c r="E341" s="876"/>
      <c r="F341" s="876"/>
      <c r="G341" s="876"/>
      <c r="H341" s="876"/>
    </row>
    <row r="342" spans="2:8" ht="15" customHeight="1">
      <c r="B342" s="888"/>
      <c r="C342" s="876"/>
      <c r="D342" s="876"/>
      <c r="E342" s="876"/>
      <c r="F342" s="876"/>
      <c r="G342" s="876"/>
      <c r="H342" s="876"/>
    </row>
    <row r="343" spans="2:8" ht="15" customHeight="1">
      <c r="B343" s="888"/>
      <c r="C343" s="876"/>
      <c r="D343" s="876"/>
      <c r="E343" s="876"/>
      <c r="F343" s="876"/>
      <c r="G343" s="876"/>
      <c r="H343" s="876"/>
    </row>
    <row r="344" spans="2:8" ht="15" customHeight="1">
      <c r="B344" s="888"/>
      <c r="C344" s="876"/>
      <c r="D344" s="876"/>
      <c r="E344" s="876"/>
      <c r="F344" s="876"/>
      <c r="G344" s="876"/>
      <c r="H344" s="876"/>
    </row>
    <row r="345" spans="2:8" ht="15" customHeight="1">
      <c r="B345" s="888"/>
      <c r="C345" s="876"/>
      <c r="D345" s="876"/>
      <c r="E345" s="876"/>
      <c r="F345" s="876"/>
      <c r="G345" s="876"/>
      <c r="H345" s="876"/>
    </row>
    <row r="346" spans="2:8" ht="15" customHeight="1">
      <c r="B346" s="888"/>
      <c r="C346" s="876"/>
      <c r="D346" s="876"/>
      <c r="E346" s="876"/>
      <c r="F346" s="876"/>
      <c r="G346" s="876"/>
      <c r="H346" s="876"/>
    </row>
    <row r="347" spans="2:8" ht="15" customHeight="1">
      <c r="B347" s="888"/>
      <c r="C347" s="876"/>
      <c r="D347" s="876"/>
      <c r="E347" s="876"/>
      <c r="F347" s="876"/>
      <c r="G347" s="876"/>
      <c r="H347" s="876"/>
    </row>
    <row r="348" spans="2:8" ht="15" customHeight="1">
      <c r="B348" s="888"/>
      <c r="C348" s="876"/>
      <c r="D348" s="876"/>
      <c r="E348" s="876"/>
      <c r="F348" s="876"/>
      <c r="G348" s="876"/>
      <c r="H348" s="876"/>
    </row>
    <row r="349" spans="2:8" ht="15" customHeight="1">
      <c r="B349" s="888"/>
      <c r="C349" s="876"/>
      <c r="D349" s="876"/>
      <c r="E349" s="876"/>
      <c r="F349" s="876"/>
      <c r="G349" s="876"/>
      <c r="H349" s="876"/>
    </row>
    <row r="350" spans="2:8" ht="15" customHeight="1">
      <c r="B350" s="888"/>
      <c r="C350" s="876"/>
      <c r="D350" s="876"/>
      <c r="E350" s="876"/>
      <c r="F350" s="876"/>
      <c r="G350" s="876"/>
      <c r="H350" s="876"/>
    </row>
    <row r="351" spans="2:8" ht="15" customHeight="1">
      <c r="B351" s="888"/>
      <c r="C351" s="876"/>
      <c r="D351" s="876"/>
      <c r="E351" s="876"/>
      <c r="F351" s="876"/>
      <c r="G351" s="876"/>
      <c r="H351" s="876"/>
    </row>
    <row r="352" spans="2:8" ht="15" customHeight="1">
      <c r="B352" s="888"/>
      <c r="C352" s="876"/>
      <c r="D352" s="876"/>
      <c r="E352" s="876"/>
      <c r="F352" s="876"/>
      <c r="G352" s="876"/>
      <c r="H352" s="876"/>
    </row>
    <row r="353" spans="2:8" ht="15" customHeight="1">
      <c r="B353" s="888"/>
      <c r="C353" s="876"/>
      <c r="D353" s="876"/>
      <c r="E353" s="876"/>
      <c r="F353" s="876"/>
      <c r="G353" s="876"/>
      <c r="H353" s="876"/>
    </row>
    <row r="354" spans="2:8" ht="15" customHeight="1">
      <c r="B354" s="888"/>
      <c r="C354" s="876"/>
      <c r="D354" s="876"/>
      <c r="E354" s="876"/>
      <c r="F354" s="876"/>
      <c r="G354" s="876"/>
      <c r="H354" s="876"/>
    </row>
    <row r="355" spans="2:8" ht="15" customHeight="1">
      <c r="B355" s="888"/>
      <c r="C355" s="876"/>
      <c r="D355" s="876"/>
      <c r="E355" s="876"/>
      <c r="F355" s="876"/>
      <c r="G355" s="876"/>
      <c r="H355" s="876"/>
    </row>
    <row r="356" spans="2:8" ht="15" customHeight="1">
      <c r="B356" s="888"/>
      <c r="C356" s="876"/>
      <c r="D356" s="876"/>
      <c r="E356" s="876"/>
      <c r="F356" s="876"/>
      <c r="G356" s="876"/>
      <c r="H356" s="876"/>
    </row>
    <row r="357" spans="2:8" ht="15" customHeight="1">
      <c r="B357" s="888"/>
      <c r="C357" s="876"/>
      <c r="D357" s="876"/>
      <c r="E357" s="876"/>
      <c r="F357" s="876"/>
      <c r="G357" s="876"/>
      <c r="H357" s="876"/>
    </row>
    <row r="358" spans="2:8" ht="15" customHeight="1">
      <c r="B358" s="888"/>
      <c r="C358" s="876"/>
      <c r="D358" s="876"/>
      <c r="E358" s="876"/>
      <c r="F358" s="876"/>
      <c r="G358" s="876"/>
      <c r="H358" s="876"/>
    </row>
    <row r="359" spans="2:8" ht="15" customHeight="1">
      <c r="B359" s="888"/>
      <c r="C359" s="876"/>
      <c r="D359" s="876"/>
      <c r="E359" s="876"/>
      <c r="F359" s="876"/>
      <c r="G359" s="876"/>
      <c r="H359" s="876"/>
    </row>
    <row r="360" spans="2:8" ht="15" customHeight="1">
      <c r="B360" s="888"/>
      <c r="C360" s="876"/>
      <c r="D360" s="876"/>
      <c r="E360" s="876"/>
      <c r="F360" s="876"/>
      <c r="G360" s="876"/>
      <c r="H360" s="876"/>
    </row>
    <row r="361" spans="2:8" ht="15" customHeight="1">
      <c r="B361" s="888"/>
      <c r="C361" s="876"/>
      <c r="D361" s="876"/>
      <c r="E361" s="876"/>
      <c r="F361" s="876"/>
      <c r="G361" s="876"/>
      <c r="H361" s="876"/>
    </row>
    <row r="362" spans="2:8" ht="15" customHeight="1">
      <c r="B362" s="888"/>
      <c r="C362" s="876"/>
      <c r="D362" s="876"/>
      <c r="E362" s="876"/>
      <c r="F362" s="876"/>
      <c r="G362" s="876"/>
      <c r="H362" s="876"/>
    </row>
    <row r="363" spans="2:8" ht="15" customHeight="1">
      <c r="B363" s="888"/>
      <c r="C363" s="876"/>
      <c r="D363" s="876"/>
      <c r="E363" s="876"/>
      <c r="F363" s="876"/>
      <c r="G363" s="876"/>
      <c r="H363" s="876"/>
    </row>
    <row r="364" spans="2:8" ht="15" customHeight="1">
      <c r="B364" s="888"/>
      <c r="C364" s="876"/>
      <c r="D364" s="876"/>
      <c r="E364" s="876"/>
      <c r="F364" s="876"/>
      <c r="G364" s="876"/>
      <c r="H364" s="876"/>
    </row>
    <row r="365" spans="2:8" ht="15" customHeight="1">
      <c r="B365" s="888"/>
      <c r="C365" s="876"/>
      <c r="D365" s="876"/>
      <c r="E365" s="876"/>
      <c r="F365" s="876"/>
      <c r="G365" s="876"/>
      <c r="H365" s="876"/>
    </row>
    <row r="366" spans="2:8" ht="15" customHeight="1">
      <c r="B366" s="888"/>
      <c r="C366" s="876"/>
      <c r="D366" s="876"/>
      <c r="E366" s="876"/>
      <c r="F366" s="876"/>
      <c r="G366" s="876"/>
      <c r="H366" s="876"/>
    </row>
    <row r="367" spans="2:8" ht="15" customHeight="1">
      <c r="B367" s="888"/>
      <c r="C367" s="876"/>
      <c r="D367" s="876"/>
      <c r="E367" s="876"/>
      <c r="F367" s="876"/>
      <c r="G367" s="876"/>
      <c r="H367" s="876"/>
    </row>
    <row r="368" spans="2:8" ht="15" customHeight="1">
      <c r="B368" s="888"/>
      <c r="C368" s="876"/>
      <c r="D368" s="876"/>
      <c r="E368" s="876"/>
      <c r="F368" s="876"/>
      <c r="G368" s="876"/>
      <c r="H368" s="876"/>
    </row>
    <row r="369" spans="2:8" ht="15" customHeight="1">
      <c r="B369" s="888"/>
      <c r="C369" s="876"/>
      <c r="D369" s="876"/>
      <c r="E369" s="876"/>
      <c r="F369" s="876"/>
      <c r="G369" s="876"/>
      <c r="H369" s="876"/>
    </row>
    <row r="370" spans="2:8" ht="15" customHeight="1">
      <c r="B370" s="888"/>
      <c r="C370" s="876"/>
      <c r="D370" s="876"/>
      <c r="E370" s="876"/>
      <c r="F370" s="876"/>
      <c r="G370" s="876"/>
      <c r="H370" s="876"/>
    </row>
    <row r="371" spans="2:8" ht="15" customHeight="1">
      <c r="B371" s="888"/>
      <c r="C371" s="876"/>
      <c r="D371" s="876"/>
      <c r="E371" s="876"/>
      <c r="F371" s="876"/>
      <c r="G371" s="876"/>
      <c r="H371" s="876"/>
    </row>
    <row r="372" spans="2:8" ht="15" customHeight="1">
      <c r="B372" s="888"/>
      <c r="C372" s="876"/>
      <c r="D372" s="876"/>
      <c r="E372" s="876"/>
      <c r="F372" s="876"/>
      <c r="G372" s="876"/>
      <c r="H372" s="876"/>
    </row>
    <row r="373" spans="2:8" ht="15" customHeight="1">
      <c r="B373" s="888"/>
      <c r="C373" s="876"/>
      <c r="D373" s="876"/>
      <c r="E373" s="876"/>
      <c r="F373" s="876"/>
      <c r="G373" s="876"/>
      <c r="H373" s="876"/>
    </row>
    <row r="374" spans="2:8" ht="15" customHeight="1">
      <c r="B374" s="888"/>
      <c r="C374" s="876"/>
      <c r="D374" s="876"/>
      <c r="E374" s="876"/>
      <c r="F374" s="876"/>
      <c r="G374" s="876"/>
      <c r="H374" s="876"/>
    </row>
    <row r="375" spans="2:8" ht="15" customHeight="1">
      <c r="B375" s="888"/>
      <c r="C375" s="876"/>
      <c r="D375" s="876"/>
      <c r="E375" s="876"/>
      <c r="F375" s="876"/>
      <c r="G375" s="876"/>
      <c r="H375" s="876"/>
    </row>
    <row r="376" spans="2:8" ht="15" customHeight="1">
      <c r="B376" s="888"/>
      <c r="C376" s="876"/>
      <c r="D376" s="876"/>
      <c r="E376" s="876"/>
      <c r="F376" s="876"/>
      <c r="G376" s="876"/>
      <c r="H376" s="876"/>
    </row>
    <row r="377" spans="2:8" ht="15" customHeight="1">
      <c r="B377" s="888"/>
      <c r="C377" s="876"/>
      <c r="D377" s="876"/>
      <c r="E377" s="876"/>
      <c r="F377" s="876"/>
      <c r="G377" s="876"/>
      <c r="H377" s="876"/>
    </row>
    <row r="378" spans="2:8" ht="15" customHeight="1">
      <c r="B378" s="888"/>
      <c r="C378" s="876"/>
      <c r="D378" s="876"/>
      <c r="E378" s="876"/>
      <c r="F378" s="876"/>
      <c r="G378" s="876"/>
      <c r="H378" s="876"/>
    </row>
    <row r="379" spans="2:8" ht="15" customHeight="1">
      <c r="B379" s="888"/>
      <c r="C379" s="876"/>
      <c r="D379" s="876"/>
      <c r="E379" s="876"/>
      <c r="F379" s="876"/>
      <c r="G379" s="876"/>
      <c r="H379" s="876"/>
    </row>
    <row r="380" spans="2:8" ht="15" customHeight="1">
      <c r="B380" s="888"/>
      <c r="C380" s="876"/>
      <c r="D380" s="876"/>
      <c r="E380" s="876"/>
      <c r="F380" s="876"/>
      <c r="G380" s="876"/>
      <c r="H380" s="876"/>
    </row>
    <row r="381" spans="2:8" ht="15" customHeight="1">
      <c r="B381" s="888"/>
      <c r="C381" s="876"/>
      <c r="D381" s="876"/>
      <c r="E381" s="876"/>
      <c r="F381" s="876"/>
      <c r="G381" s="876"/>
      <c r="H381" s="876"/>
    </row>
    <row r="382" spans="2:8" ht="15" customHeight="1">
      <c r="B382" s="888"/>
      <c r="C382" s="876"/>
      <c r="D382" s="876"/>
      <c r="E382" s="876"/>
      <c r="F382" s="876"/>
      <c r="G382" s="876"/>
      <c r="H382" s="876"/>
    </row>
    <row r="383" spans="2:8" ht="15" customHeight="1">
      <c r="B383" s="888"/>
      <c r="C383" s="876"/>
      <c r="D383" s="876"/>
      <c r="E383" s="876"/>
      <c r="F383" s="876"/>
      <c r="G383" s="876"/>
      <c r="H383" s="876"/>
    </row>
    <row r="384" spans="2:8" ht="15" customHeight="1">
      <c r="B384" s="888"/>
      <c r="C384" s="876"/>
      <c r="D384" s="876"/>
      <c r="E384" s="876"/>
      <c r="F384" s="876"/>
      <c r="G384" s="876"/>
      <c r="H384" s="876"/>
    </row>
    <row r="385" spans="2:8" ht="15" customHeight="1">
      <c r="B385" s="888"/>
      <c r="C385" s="876"/>
      <c r="D385" s="876"/>
      <c r="E385" s="876"/>
      <c r="F385" s="876"/>
      <c r="G385" s="876"/>
      <c r="H385" s="876"/>
    </row>
    <row r="386" spans="2:8" ht="15" customHeight="1">
      <c r="B386" s="888"/>
      <c r="C386" s="876"/>
      <c r="D386" s="876"/>
      <c r="E386" s="876"/>
      <c r="F386" s="876"/>
      <c r="G386" s="876"/>
      <c r="H386" s="876"/>
    </row>
    <row r="387" spans="2:8" ht="15" customHeight="1">
      <c r="B387" s="888"/>
      <c r="C387" s="876"/>
      <c r="D387" s="876"/>
      <c r="E387" s="876"/>
      <c r="F387" s="876"/>
      <c r="G387" s="876"/>
      <c r="H387" s="876"/>
    </row>
    <row r="388" spans="2:8" ht="15" customHeight="1">
      <c r="B388" s="888"/>
      <c r="C388" s="876"/>
      <c r="D388" s="876"/>
      <c r="E388" s="876"/>
      <c r="F388" s="876"/>
      <c r="G388" s="876"/>
      <c r="H388" s="876"/>
    </row>
    <row r="389" spans="2:8" ht="15" customHeight="1">
      <c r="B389" s="888"/>
      <c r="C389" s="876"/>
      <c r="D389" s="876"/>
      <c r="E389" s="876"/>
      <c r="F389" s="876"/>
      <c r="G389" s="876"/>
      <c r="H389" s="876"/>
    </row>
    <row r="390" spans="2:8" ht="15" customHeight="1">
      <c r="B390" s="888"/>
      <c r="C390" s="876"/>
      <c r="D390" s="876"/>
      <c r="E390" s="876"/>
      <c r="F390" s="876"/>
      <c r="G390" s="876"/>
      <c r="H390" s="876"/>
    </row>
    <row r="391" spans="2:8" ht="15" customHeight="1">
      <c r="B391" s="888"/>
      <c r="C391" s="876"/>
      <c r="D391" s="876"/>
      <c r="E391" s="876"/>
      <c r="F391" s="876"/>
      <c r="G391" s="876"/>
      <c r="H391" s="876"/>
    </row>
    <row r="392" spans="2:8" ht="15" customHeight="1">
      <c r="B392" s="888"/>
      <c r="C392" s="876"/>
      <c r="D392" s="876"/>
      <c r="E392" s="876"/>
      <c r="F392" s="876"/>
      <c r="G392" s="876"/>
      <c r="H392" s="876"/>
    </row>
    <row r="393" spans="2:8" ht="15" customHeight="1">
      <c r="B393" s="888"/>
      <c r="C393" s="876"/>
      <c r="D393" s="876"/>
      <c r="E393" s="876"/>
      <c r="F393" s="876"/>
      <c r="G393" s="876"/>
      <c r="H393" s="876"/>
    </row>
    <row r="394" spans="2:8" ht="15" customHeight="1">
      <c r="B394" s="888"/>
      <c r="C394" s="876"/>
      <c r="D394" s="876"/>
      <c r="E394" s="876"/>
      <c r="F394" s="876"/>
      <c r="G394" s="876"/>
      <c r="H394" s="876"/>
    </row>
    <row r="395" spans="2:8" ht="15" customHeight="1">
      <c r="B395" s="888"/>
      <c r="C395" s="876"/>
      <c r="D395" s="876"/>
      <c r="E395" s="876"/>
      <c r="F395" s="876"/>
      <c r="G395" s="876"/>
      <c r="H395" s="876"/>
    </row>
    <row r="396" spans="2:8" ht="15" customHeight="1">
      <c r="B396" s="888"/>
      <c r="C396" s="876"/>
      <c r="D396" s="876"/>
      <c r="E396" s="876"/>
      <c r="F396" s="876"/>
      <c r="G396" s="876"/>
      <c r="H396" s="876"/>
    </row>
    <row r="397" spans="2:8" ht="15" customHeight="1">
      <c r="B397" s="888"/>
      <c r="C397" s="876"/>
      <c r="D397" s="876"/>
      <c r="E397" s="876"/>
      <c r="F397" s="876"/>
      <c r="G397" s="876"/>
      <c r="H397" s="876"/>
    </row>
    <row r="398" spans="2:8" ht="15" customHeight="1">
      <c r="B398" s="888"/>
      <c r="C398" s="876"/>
      <c r="D398" s="876"/>
      <c r="E398" s="876"/>
      <c r="F398" s="876"/>
      <c r="G398" s="876"/>
      <c r="H398" s="876"/>
    </row>
    <row r="399" spans="2:8" ht="15" customHeight="1">
      <c r="B399" s="888"/>
      <c r="C399" s="876"/>
      <c r="D399" s="876"/>
      <c r="E399" s="876"/>
      <c r="F399" s="876"/>
      <c r="G399" s="876"/>
      <c r="H399" s="876"/>
    </row>
    <row r="400" spans="2:8" ht="15" customHeight="1">
      <c r="B400" s="888"/>
      <c r="C400" s="876"/>
      <c r="D400" s="876"/>
      <c r="E400" s="876"/>
      <c r="F400" s="876"/>
      <c r="G400" s="876"/>
      <c r="H400" s="876"/>
    </row>
    <row r="401" spans="2:8" ht="15" customHeight="1">
      <c r="B401" s="888"/>
      <c r="C401" s="876"/>
      <c r="D401" s="876"/>
      <c r="E401" s="876"/>
      <c r="F401" s="876"/>
      <c r="G401" s="876"/>
      <c r="H401" s="876"/>
    </row>
    <row r="402" spans="2:8" ht="15" customHeight="1">
      <c r="B402" s="888"/>
      <c r="C402" s="876"/>
      <c r="D402" s="876"/>
      <c r="E402" s="876"/>
      <c r="F402" s="876"/>
      <c r="G402" s="876"/>
      <c r="H402" s="876"/>
    </row>
    <row r="403" spans="2:8" ht="15" customHeight="1">
      <c r="B403" s="888"/>
      <c r="C403" s="876"/>
      <c r="D403" s="876"/>
      <c r="E403" s="876"/>
      <c r="F403" s="876"/>
      <c r="G403" s="876"/>
      <c r="H403" s="876"/>
    </row>
    <row r="404" spans="2:8" ht="15" customHeight="1">
      <c r="B404" s="888"/>
      <c r="C404" s="876"/>
      <c r="D404" s="876"/>
      <c r="E404" s="876"/>
      <c r="F404" s="876"/>
      <c r="G404" s="876"/>
      <c r="H404" s="876"/>
    </row>
    <row r="405" spans="2:8" ht="15" customHeight="1">
      <c r="B405" s="888"/>
      <c r="C405" s="876"/>
      <c r="D405" s="876"/>
      <c r="E405" s="876"/>
      <c r="F405" s="876"/>
      <c r="G405" s="876"/>
      <c r="H405" s="876"/>
    </row>
    <row r="406" spans="2:8" ht="15" customHeight="1">
      <c r="B406" s="888"/>
      <c r="C406" s="876"/>
      <c r="D406" s="876"/>
      <c r="E406" s="876"/>
      <c r="F406" s="876"/>
      <c r="G406" s="876"/>
      <c r="H406" s="876"/>
    </row>
    <row r="407" spans="2:8" ht="15" customHeight="1">
      <c r="B407" s="888"/>
      <c r="C407" s="876"/>
      <c r="D407" s="876"/>
      <c r="E407" s="876"/>
      <c r="F407" s="876"/>
      <c r="G407" s="876"/>
      <c r="H407" s="876"/>
    </row>
    <row r="408" spans="2:8" ht="15" customHeight="1">
      <c r="B408" s="888"/>
      <c r="C408" s="876"/>
      <c r="D408" s="876"/>
      <c r="E408" s="876"/>
      <c r="F408" s="876"/>
      <c r="G408" s="876"/>
      <c r="H408" s="876"/>
    </row>
    <row r="409" spans="2:8" ht="15" customHeight="1">
      <c r="B409" s="888"/>
      <c r="C409" s="876"/>
      <c r="D409" s="876"/>
      <c r="E409" s="876"/>
      <c r="F409" s="876"/>
      <c r="G409" s="876"/>
      <c r="H409" s="876"/>
    </row>
    <row r="410" spans="2:8" ht="15" customHeight="1">
      <c r="B410" s="888"/>
      <c r="C410" s="876"/>
      <c r="D410" s="876"/>
      <c r="E410" s="876"/>
      <c r="F410" s="876"/>
      <c r="G410" s="876"/>
      <c r="H410" s="876"/>
    </row>
    <row r="411" spans="2:8" ht="15" customHeight="1">
      <c r="B411" s="888"/>
      <c r="C411" s="876"/>
      <c r="D411" s="876"/>
      <c r="E411" s="876"/>
      <c r="F411" s="876"/>
      <c r="G411" s="876"/>
      <c r="H411" s="876"/>
    </row>
    <row r="412" spans="2:8" ht="15" customHeight="1">
      <c r="B412" s="888"/>
      <c r="C412" s="876"/>
      <c r="D412" s="876"/>
      <c r="E412" s="876"/>
      <c r="F412" s="876"/>
      <c r="G412" s="876"/>
      <c r="H412" s="876"/>
    </row>
    <row r="413" spans="2:8" ht="15" customHeight="1">
      <c r="B413" s="888"/>
      <c r="C413" s="876"/>
      <c r="D413" s="876"/>
      <c r="E413" s="876"/>
      <c r="F413" s="876"/>
      <c r="G413" s="876"/>
      <c r="H413" s="876"/>
    </row>
    <row r="414" spans="2:8" ht="15" customHeight="1">
      <c r="B414" s="888"/>
      <c r="C414" s="876"/>
      <c r="D414" s="876"/>
      <c r="E414" s="876"/>
      <c r="F414" s="876"/>
      <c r="G414" s="876"/>
      <c r="H414" s="876"/>
    </row>
    <row r="415" spans="2:8" ht="15" customHeight="1">
      <c r="B415" s="888"/>
      <c r="C415" s="876"/>
      <c r="D415" s="876"/>
      <c r="E415" s="876"/>
      <c r="F415" s="876"/>
      <c r="G415" s="876"/>
      <c r="H415" s="876"/>
    </row>
    <row r="416" spans="2:8" ht="15" customHeight="1">
      <c r="B416" s="888"/>
      <c r="C416" s="876"/>
      <c r="D416" s="876"/>
      <c r="E416" s="876"/>
      <c r="F416" s="876"/>
      <c r="G416" s="876"/>
      <c r="H416" s="876"/>
    </row>
    <row r="417" spans="2:8" ht="15" customHeight="1">
      <c r="B417" s="888"/>
      <c r="C417" s="876"/>
      <c r="D417" s="876"/>
      <c r="E417" s="876"/>
      <c r="F417" s="876"/>
      <c r="G417" s="876"/>
      <c r="H417" s="876"/>
    </row>
    <row r="418" spans="2:8" ht="15" customHeight="1">
      <c r="B418" s="888"/>
      <c r="C418" s="876"/>
      <c r="D418" s="876"/>
      <c r="E418" s="876"/>
      <c r="F418" s="876"/>
      <c r="G418" s="876"/>
      <c r="H418" s="876"/>
    </row>
    <row r="419" spans="2:8" ht="15" customHeight="1">
      <c r="B419" s="888"/>
      <c r="C419" s="876"/>
      <c r="D419" s="876"/>
      <c r="E419" s="876"/>
      <c r="F419" s="876"/>
      <c r="G419" s="876"/>
      <c r="H419" s="876"/>
    </row>
    <row r="420" spans="2:8" ht="15" customHeight="1">
      <c r="B420" s="888"/>
      <c r="C420" s="876"/>
      <c r="D420" s="876"/>
      <c r="E420" s="876"/>
      <c r="F420" s="876"/>
      <c r="G420" s="876"/>
      <c r="H420" s="876"/>
    </row>
    <row r="421" spans="2:8" ht="15" customHeight="1">
      <c r="B421" s="888"/>
      <c r="C421" s="876"/>
      <c r="D421" s="876"/>
      <c r="E421" s="876"/>
      <c r="F421" s="876"/>
      <c r="G421" s="876"/>
      <c r="H421" s="876"/>
    </row>
    <row r="422" spans="2:8" ht="15" customHeight="1">
      <c r="B422" s="888"/>
      <c r="C422" s="876"/>
      <c r="D422" s="876"/>
      <c r="E422" s="876"/>
      <c r="F422" s="876"/>
      <c r="G422" s="876"/>
      <c r="H422" s="876"/>
    </row>
    <row r="423" spans="2:8" ht="15" customHeight="1">
      <c r="B423" s="888"/>
      <c r="C423" s="876"/>
      <c r="D423" s="876"/>
      <c r="E423" s="876"/>
      <c r="F423" s="876"/>
      <c r="G423" s="876"/>
      <c r="H423" s="876"/>
    </row>
    <row r="424" spans="2:8" ht="15" customHeight="1">
      <c r="B424" s="888"/>
      <c r="C424" s="876"/>
      <c r="D424" s="876"/>
      <c r="E424" s="876"/>
      <c r="F424" s="876"/>
      <c r="G424" s="876"/>
      <c r="H424" s="876"/>
    </row>
    <row r="425" spans="2:8" ht="15" customHeight="1">
      <c r="B425" s="888"/>
      <c r="C425" s="876"/>
      <c r="D425" s="876"/>
      <c r="E425" s="876"/>
      <c r="F425" s="876"/>
      <c r="G425" s="876"/>
      <c r="H425" s="876"/>
    </row>
    <row r="426" spans="2:8" ht="15" customHeight="1">
      <c r="B426" s="888"/>
      <c r="C426" s="876"/>
      <c r="D426" s="876"/>
      <c r="E426" s="876"/>
      <c r="F426" s="876"/>
      <c r="G426" s="876"/>
      <c r="H426" s="876"/>
    </row>
    <row r="427" spans="2:8" ht="15" customHeight="1">
      <c r="B427" s="888"/>
      <c r="C427" s="876"/>
      <c r="D427" s="876"/>
      <c r="E427" s="876"/>
      <c r="F427" s="876"/>
      <c r="G427" s="876"/>
      <c r="H427" s="876"/>
    </row>
    <row r="428" spans="2:8" ht="15" customHeight="1">
      <c r="B428" s="888"/>
      <c r="C428" s="876"/>
      <c r="D428" s="876"/>
      <c r="E428" s="876"/>
      <c r="F428" s="876"/>
      <c r="G428" s="876"/>
      <c r="H428" s="876"/>
    </row>
    <row r="429" spans="2:8" ht="15" customHeight="1">
      <c r="B429" s="888"/>
      <c r="C429" s="876"/>
      <c r="D429" s="876"/>
      <c r="E429" s="876"/>
      <c r="F429" s="876"/>
      <c r="G429" s="876"/>
      <c r="H429" s="876"/>
    </row>
    <row r="430" spans="2:8" ht="15" customHeight="1">
      <c r="B430" s="888"/>
      <c r="C430" s="876"/>
      <c r="D430" s="876"/>
      <c r="E430" s="876"/>
      <c r="F430" s="876"/>
      <c r="G430" s="876"/>
      <c r="H430" s="876"/>
    </row>
    <row r="431" spans="2:8" ht="15" customHeight="1">
      <c r="B431" s="888"/>
      <c r="C431" s="876"/>
      <c r="D431" s="876"/>
      <c r="E431" s="876"/>
      <c r="F431" s="876"/>
      <c r="G431" s="876"/>
      <c r="H431" s="876"/>
    </row>
    <row r="432" spans="2:8" ht="15" customHeight="1">
      <c r="B432" s="888"/>
      <c r="C432" s="876"/>
      <c r="D432" s="876"/>
      <c r="E432" s="876"/>
      <c r="F432" s="876"/>
      <c r="G432" s="876"/>
      <c r="H432" s="876"/>
    </row>
    <row r="433" spans="2:8" ht="15" customHeight="1">
      <c r="B433" s="888"/>
      <c r="C433" s="876"/>
      <c r="D433" s="876"/>
      <c r="E433" s="876"/>
      <c r="F433" s="876"/>
      <c r="G433" s="876"/>
      <c r="H433" s="876"/>
    </row>
    <row r="434" spans="2:8" ht="15" customHeight="1">
      <c r="B434" s="888"/>
      <c r="C434" s="876"/>
      <c r="D434" s="876"/>
      <c r="E434" s="876"/>
      <c r="F434" s="876"/>
      <c r="G434" s="876"/>
      <c r="H434" s="876"/>
    </row>
    <row r="435" spans="2:8" ht="15" customHeight="1">
      <c r="B435" s="888"/>
      <c r="C435" s="876"/>
      <c r="D435" s="876"/>
      <c r="E435" s="876"/>
      <c r="F435" s="876"/>
      <c r="G435" s="876"/>
      <c r="H435" s="876"/>
    </row>
    <row r="436" spans="2:8" ht="15" customHeight="1">
      <c r="B436" s="888"/>
      <c r="C436" s="876"/>
      <c r="D436" s="876"/>
      <c r="E436" s="876"/>
      <c r="F436" s="876"/>
      <c r="G436" s="876"/>
      <c r="H436" s="876"/>
    </row>
    <row r="437" spans="2:8" ht="15" customHeight="1">
      <c r="B437" s="888"/>
      <c r="C437" s="876"/>
      <c r="D437" s="876"/>
      <c r="E437" s="876"/>
      <c r="F437" s="876"/>
      <c r="G437" s="876"/>
      <c r="H437" s="876"/>
    </row>
    <row r="438" spans="2:8" ht="15" customHeight="1">
      <c r="B438" s="888"/>
      <c r="C438" s="876"/>
      <c r="D438" s="876"/>
      <c r="E438" s="876"/>
      <c r="F438" s="876"/>
      <c r="G438" s="876"/>
      <c r="H438" s="876"/>
    </row>
    <row r="439" spans="2:8" ht="15" customHeight="1">
      <c r="B439" s="888"/>
      <c r="C439" s="876"/>
      <c r="D439" s="876"/>
      <c r="E439" s="876"/>
      <c r="F439" s="876"/>
      <c r="G439" s="876"/>
      <c r="H439" s="876"/>
    </row>
    <row r="440" spans="2:8" ht="15" customHeight="1">
      <c r="B440" s="888"/>
      <c r="C440" s="876"/>
      <c r="D440" s="876"/>
      <c r="E440" s="876"/>
      <c r="F440" s="876"/>
      <c r="G440" s="876"/>
      <c r="H440" s="876"/>
    </row>
    <row r="441" spans="2:8" ht="15" customHeight="1">
      <c r="B441" s="888"/>
      <c r="C441" s="876"/>
      <c r="D441" s="876"/>
      <c r="E441" s="876"/>
      <c r="F441" s="876"/>
      <c r="G441" s="876"/>
      <c r="H441" s="876"/>
    </row>
    <row r="442" spans="2:8" ht="15" customHeight="1">
      <c r="B442" s="888"/>
      <c r="C442" s="876"/>
      <c r="D442" s="876"/>
      <c r="E442" s="876"/>
      <c r="F442" s="876"/>
      <c r="G442" s="876"/>
      <c r="H442" s="876"/>
    </row>
    <row r="443" spans="2:8" ht="15" customHeight="1">
      <c r="B443" s="888"/>
      <c r="C443" s="876"/>
      <c r="D443" s="876"/>
      <c r="E443" s="876"/>
      <c r="F443" s="876"/>
      <c r="G443" s="876"/>
      <c r="H443" s="876"/>
    </row>
    <row r="444" spans="2:8" ht="15" customHeight="1">
      <c r="B444" s="888"/>
      <c r="C444" s="876"/>
      <c r="D444" s="876"/>
      <c r="E444" s="876"/>
      <c r="F444" s="876"/>
      <c r="G444" s="876"/>
      <c r="H444" s="876"/>
    </row>
    <row r="445" spans="2:8" ht="15" customHeight="1">
      <c r="B445" s="888"/>
      <c r="C445" s="876"/>
      <c r="D445" s="876"/>
      <c r="E445" s="876"/>
      <c r="F445" s="876"/>
      <c r="G445" s="876"/>
      <c r="H445" s="876"/>
    </row>
    <row r="446" spans="2:8" ht="15" customHeight="1">
      <c r="B446" s="888"/>
      <c r="C446" s="876"/>
      <c r="D446" s="876"/>
      <c r="E446" s="876"/>
      <c r="F446" s="876"/>
      <c r="G446" s="876"/>
      <c r="H446" s="876"/>
    </row>
    <row r="447" spans="2:8" ht="15" customHeight="1">
      <c r="B447" s="888"/>
      <c r="C447" s="876"/>
      <c r="D447" s="876"/>
      <c r="E447" s="876"/>
      <c r="F447" s="876"/>
      <c r="G447" s="876"/>
      <c r="H447" s="876"/>
    </row>
    <row r="448" spans="2:8" ht="15" customHeight="1">
      <c r="B448" s="888"/>
      <c r="C448" s="876"/>
      <c r="D448" s="876"/>
      <c r="E448" s="876"/>
      <c r="F448" s="876"/>
      <c r="G448" s="876"/>
      <c r="H448" s="876"/>
    </row>
    <row r="449" spans="2:8" ht="15" customHeight="1">
      <c r="B449" s="888"/>
      <c r="C449" s="876"/>
      <c r="D449" s="876"/>
      <c r="E449" s="876"/>
      <c r="F449" s="876"/>
      <c r="G449" s="876"/>
      <c r="H449" s="876"/>
    </row>
    <row r="450" spans="2:8" ht="15" customHeight="1">
      <c r="B450" s="888"/>
      <c r="C450" s="876"/>
      <c r="D450" s="876"/>
      <c r="E450" s="876"/>
      <c r="F450" s="876"/>
      <c r="G450" s="876"/>
      <c r="H450" s="876"/>
    </row>
    <row r="451" spans="2:8" ht="15" customHeight="1">
      <c r="B451" s="888"/>
      <c r="C451" s="876"/>
      <c r="D451" s="876"/>
      <c r="E451" s="876"/>
      <c r="F451" s="876"/>
      <c r="G451" s="876"/>
      <c r="H451" s="876"/>
    </row>
    <row r="452" spans="2:8" ht="15" customHeight="1">
      <c r="B452" s="888"/>
      <c r="C452" s="876"/>
      <c r="D452" s="876"/>
      <c r="E452" s="876"/>
      <c r="F452" s="876"/>
      <c r="G452" s="876"/>
      <c r="H452" s="876"/>
    </row>
    <row r="453" spans="2:8" ht="15" customHeight="1">
      <c r="B453" s="888"/>
      <c r="C453" s="876"/>
      <c r="D453" s="876"/>
      <c r="E453" s="876"/>
      <c r="F453" s="876"/>
      <c r="G453" s="876"/>
      <c r="H453" s="876"/>
    </row>
    <row r="454" spans="2:8" ht="15" customHeight="1">
      <c r="B454" s="888"/>
      <c r="C454" s="876"/>
      <c r="D454" s="876"/>
      <c r="E454" s="876"/>
      <c r="F454" s="876"/>
      <c r="G454" s="876"/>
      <c r="H454" s="876"/>
    </row>
    <row r="455" spans="2:8" ht="15" customHeight="1">
      <c r="B455" s="888"/>
      <c r="C455" s="876"/>
      <c r="D455" s="876"/>
      <c r="E455" s="876"/>
      <c r="F455" s="876"/>
      <c r="G455" s="876"/>
      <c r="H455" s="876"/>
    </row>
    <row r="456" spans="2:8" ht="15" customHeight="1">
      <c r="B456" s="888"/>
      <c r="C456" s="876"/>
      <c r="D456" s="876"/>
      <c r="E456" s="876"/>
      <c r="F456" s="876"/>
      <c r="G456" s="876"/>
      <c r="H456" s="876"/>
    </row>
    <row r="457" spans="2:8" ht="15" customHeight="1">
      <c r="B457" s="888"/>
      <c r="C457" s="876"/>
      <c r="D457" s="876"/>
      <c r="E457" s="876"/>
      <c r="F457" s="876"/>
      <c r="G457" s="876"/>
      <c r="H457" s="876"/>
    </row>
    <row r="458" spans="2:8" ht="15" customHeight="1">
      <c r="B458" s="888"/>
      <c r="C458" s="876"/>
      <c r="D458" s="876"/>
      <c r="E458" s="876"/>
      <c r="F458" s="876"/>
      <c r="G458" s="876"/>
      <c r="H458" s="876"/>
    </row>
    <row r="459" spans="2:8" ht="15" customHeight="1">
      <c r="B459" s="888"/>
      <c r="C459" s="876"/>
      <c r="D459" s="876"/>
      <c r="E459" s="876"/>
      <c r="F459" s="876"/>
      <c r="G459" s="876"/>
      <c r="H459" s="876"/>
    </row>
    <row r="460" spans="2:8" ht="15" customHeight="1">
      <c r="B460" s="888"/>
      <c r="C460" s="876"/>
      <c r="D460" s="876"/>
      <c r="E460" s="876"/>
      <c r="F460" s="876"/>
      <c r="G460" s="876"/>
      <c r="H460" s="876"/>
    </row>
    <row r="461" spans="2:8" ht="15" customHeight="1">
      <c r="B461" s="888"/>
      <c r="C461" s="876"/>
      <c r="D461" s="876"/>
      <c r="E461" s="876"/>
      <c r="F461" s="876"/>
      <c r="G461" s="876"/>
      <c r="H461" s="876"/>
    </row>
    <row r="462" spans="2:8" ht="15" customHeight="1">
      <c r="B462" s="888"/>
      <c r="C462" s="876"/>
      <c r="D462" s="876"/>
      <c r="E462" s="876"/>
      <c r="F462" s="876"/>
      <c r="G462" s="876"/>
      <c r="H462" s="876"/>
    </row>
    <row r="463" spans="2:8" ht="15" customHeight="1">
      <c r="B463" s="888"/>
      <c r="C463" s="876"/>
      <c r="D463" s="876"/>
      <c r="E463" s="876"/>
      <c r="F463" s="876"/>
      <c r="G463" s="876"/>
      <c r="H463" s="876"/>
    </row>
    <row r="464" spans="2:8" ht="15" customHeight="1">
      <c r="B464" s="888"/>
      <c r="C464" s="876"/>
      <c r="D464" s="876"/>
      <c r="E464" s="876"/>
      <c r="F464" s="876"/>
      <c r="G464" s="876"/>
      <c r="H464" s="876"/>
    </row>
    <row r="465" spans="2:8" ht="15" customHeight="1">
      <c r="B465" s="888"/>
      <c r="C465" s="876"/>
      <c r="D465" s="876"/>
      <c r="E465" s="876"/>
      <c r="F465" s="876"/>
      <c r="G465" s="876"/>
      <c r="H465" s="876"/>
    </row>
    <row r="466" spans="2:8" ht="15" customHeight="1">
      <c r="B466" s="888"/>
      <c r="C466" s="876"/>
      <c r="D466" s="876"/>
      <c r="E466" s="876"/>
      <c r="F466" s="876"/>
      <c r="G466" s="876"/>
      <c r="H466" s="876"/>
    </row>
    <row r="467" spans="2:8" ht="15" customHeight="1">
      <c r="B467" s="888"/>
      <c r="C467" s="876"/>
      <c r="D467" s="876"/>
      <c r="E467" s="876"/>
      <c r="F467" s="876"/>
      <c r="G467" s="876"/>
      <c r="H467" s="876"/>
    </row>
    <row r="468" spans="2:8" ht="15" customHeight="1">
      <c r="B468" s="888"/>
      <c r="C468" s="876"/>
      <c r="D468" s="876"/>
      <c r="E468" s="876"/>
      <c r="F468" s="876"/>
      <c r="G468" s="876"/>
      <c r="H468" s="876"/>
    </row>
    <row r="469" spans="2:8" ht="15" customHeight="1">
      <c r="B469" s="888"/>
      <c r="C469" s="876"/>
      <c r="D469" s="876"/>
      <c r="E469" s="876"/>
      <c r="F469" s="876"/>
      <c r="G469" s="876"/>
      <c r="H469" s="876"/>
    </row>
    <row r="470" spans="2:8" ht="15" customHeight="1">
      <c r="B470" s="888"/>
      <c r="C470" s="876"/>
      <c r="D470" s="876"/>
      <c r="E470" s="876"/>
      <c r="F470" s="876"/>
      <c r="G470" s="876"/>
      <c r="H470" s="876"/>
    </row>
    <row r="471" spans="2:8" ht="15" customHeight="1">
      <c r="B471" s="888"/>
      <c r="C471" s="876"/>
      <c r="D471" s="876"/>
      <c r="E471" s="876"/>
      <c r="F471" s="876"/>
      <c r="G471" s="876"/>
      <c r="H471" s="876"/>
    </row>
    <row r="472" spans="2:8" ht="15" customHeight="1">
      <c r="B472" s="888"/>
      <c r="C472" s="876"/>
      <c r="D472" s="876"/>
      <c r="E472" s="876"/>
      <c r="F472" s="876"/>
      <c r="G472" s="876"/>
      <c r="H472" s="876"/>
    </row>
    <row r="473" spans="2:8" ht="15" customHeight="1">
      <c r="B473" s="888"/>
      <c r="C473" s="876"/>
      <c r="D473" s="876"/>
      <c r="E473" s="876"/>
      <c r="F473" s="876"/>
      <c r="G473" s="876"/>
      <c r="H473" s="876"/>
    </row>
    <row r="474" spans="2:8" ht="15" customHeight="1">
      <c r="B474" s="888"/>
      <c r="C474" s="876"/>
      <c r="D474" s="876"/>
      <c r="E474" s="876"/>
      <c r="F474" s="876"/>
      <c r="G474" s="876"/>
      <c r="H474" s="876"/>
    </row>
    <row r="475" spans="2:8" ht="15" customHeight="1">
      <c r="B475" s="888"/>
      <c r="C475" s="876"/>
      <c r="D475" s="876"/>
      <c r="E475" s="876"/>
      <c r="F475" s="876"/>
      <c r="G475" s="876"/>
      <c r="H475" s="876"/>
    </row>
    <row r="476" spans="2:8" ht="15" customHeight="1">
      <c r="B476" s="888"/>
      <c r="C476" s="876"/>
      <c r="D476" s="876"/>
      <c r="E476" s="876"/>
      <c r="F476" s="876"/>
      <c r="G476" s="876"/>
      <c r="H476" s="876"/>
    </row>
    <row r="477" spans="2:8" ht="15" customHeight="1">
      <c r="B477" s="888"/>
      <c r="C477" s="876"/>
      <c r="D477" s="876"/>
      <c r="E477" s="876"/>
      <c r="F477" s="876"/>
      <c r="G477" s="876"/>
      <c r="H477" s="876"/>
    </row>
    <row r="478" spans="2:8" ht="15" customHeight="1">
      <c r="B478" s="888"/>
      <c r="C478" s="876"/>
      <c r="D478" s="876"/>
      <c r="E478" s="876"/>
      <c r="F478" s="876"/>
      <c r="G478" s="876"/>
      <c r="H478" s="876"/>
    </row>
    <row r="479" spans="2:8" ht="15" customHeight="1">
      <c r="B479" s="888"/>
      <c r="C479" s="876"/>
      <c r="D479" s="876"/>
      <c r="E479" s="876"/>
      <c r="F479" s="876"/>
      <c r="G479" s="876"/>
      <c r="H479" s="876"/>
    </row>
    <row r="480" spans="2:8" ht="15" customHeight="1">
      <c r="B480" s="888"/>
      <c r="C480" s="876"/>
      <c r="D480" s="876"/>
      <c r="E480" s="876"/>
      <c r="F480" s="876"/>
      <c r="G480" s="876"/>
      <c r="H480" s="876"/>
    </row>
    <row r="481" spans="2:8" ht="15" customHeight="1">
      <c r="B481" s="888"/>
      <c r="C481" s="876"/>
      <c r="D481" s="876"/>
      <c r="E481" s="876"/>
      <c r="F481" s="876"/>
      <c r="G481" s="876"/>
      <c r="H481" s="876"/>
    </row>
    <row r="482" spans="2:8" ht="15" customHeight="1">
      <c r="B482" s="888"/>
      <c r="C482" s="876"/>
      <c r="D482" s="876"/>
      <c r="E482" s="876"/>
      <c r="F482" s="876"/>
      <c r="G482" s="876"/>
      <c r="H482" s="876"/>
    </row>
    <row r="483" spans="2:8" ht="15" customHeight="1">
      <c r="B483" s="888"/>
      <c r="C483" s="876"/>
      <c r="D483" s="876"/>
      <c r="E483" s="876"/>
      <c r="F483" s="876"/>
      <c r="G483" s="876"/>
      <c r="H483" s="876"/>
    </row>
    <row r="484" spans="2:8" ht="15" customHeight="1">
      <c r="B484" s="888"/>
      <c r="C484" s="876"/>
      <c r="D484" s="876"/>
      <c r="E484" s="876"/>
      <c r="F484" s="876"/>
      <c r="G484" s="876"/>
      <c r="H484" s="876"/>
    </row>
    <row r="485" spans="2:8" ht="15" customHeight="1">
      <c r="B485" s="888"/>
      <c r="C485" s="876"/>
      <c r="D485" s="876"/>
      <c r="E485" s="876"/>
      <c r="F485" s="876"/>
      <c r="G485" s="876"/>
      <c r="H485" s="876"/>
    </row>
    <row r="486" spans="2:8" ht="15" customHeight="1">
      <c r="B486" s="888"/>
      <c r="C486" s="876"/>
      <c r="D486" s="876"/>
      <c r="E486" s="876"/>
      <c r="F486" s="876"/>
      <c r="G486" s="876"/>
      <c r="H486" s="876"/>
    </row>
    <row r="487" spans="2:8" ht="15" customHeight="1">
      <c r="B487" s="888"/>
      <c r="C487" s="876"/>
      <c r="D487" s="876"/>
      <c r="E487" s="876"/>
      <c r="F487" s="876"/>
      <c r="G487" s="876"/>
      <c r="H487" s="876"/>
    </row>
    <row r="488" spans="2:8" ht="15" customHeight="1">
      <c r="B488" s="888"/>
      <c r="C488" s="876"/>
      <c r="D488" s="876"/>
      <c r="E488" s="876"/>
      <c r="F488" s="876"/>
      <c r="G488" s="876"/>
      <c r="H488" s="876"/>
    </row>
    <row r="489" spans="2:8" ht="15" customHeight="1">
      <c r="B489" s="888"/>
      <c r="C489" s="876"/>
      <c r="D489" s="876"/>
      <c r="E489" s="876"/>
      <c r="F489" s="876"/>
      <c r="G489" s="876"/>
      <c r="H489" s="876"/>
    </row>
    <row r="490" spans="2:8" ht="15" customHeight="1">
      <c r="B490" s="888"/>
      <c r="C490" s="876"/>
      <c r="D490" s="876"/>
      <c r="E490" s="876"/>
      <c r="F490" s="876"/>
      <c r="G490" s="876"/>
      <c r="H490" s="876"/>
    </row>
    <row r="491" spans="2:8" ht="15" customHeight="1">
      <c r="B491" s="888"/>
      <c r="C491" s="876"/>
      <c r="D491" s="876"/>
      <c r="E491" s="876"/>
      <c r="F491" s="876"/>
      <c r="G491" s="876"/>
      <c r="H491" s="876"/>
    </row>
    <row r="492" spans="2:8" ht="15" customHeight="1">
      <c r="B492" s="888"/>
      <c r="C492" s="876"/>
      <c r="D492" s="876"/>
      <c r="E492" s="876"/>
      <c r="F492" s="876"/>
      <c r="G492" s="876"/>
      <c r="H492" s="876"/>
    </row>
    <row r="493" spans="2:8" ht="15" customHeight="1">
      <c r="B493" s="888"/>
      <c r="C493" s="876"/>
      <c r="D493" s="876"/>
      <c r="E493" s="876"/>
      <c r="F493" s="876"/>
      <c r="G493" s="876"/>
      <c r="H493" s="876"/>
    </row>
    <row r="494" spans="2:8" ht="15" customHeight="1">
      <c r="B494" s="888"/>
      <c r="C494" s="876"/>
      <c r="D494" s="876"/>
      <c r="E494" s="876"/>
      <c r="F494" s="876"/>
      <c r="G494" s="876"/>
      <c r="H494" s="876"/>
    </row>
    <row r="495" spans="2:8" ht="15" customHeight="1">
      <c r="B495" s="888"/>
      <c r="C495" s="876"/>
      <c r="D495" s="876"/>
      <c r="E495" s="876"/>
      <c r="F495" s="876"/>
      <c r="G495" s="876"/>
      <c r="H495" s="876"/>
    </row>
    <row r="496" spans="2:8" ht="15" customHeight="1">
      <c r="B496" s="888"/>
      <c r="C496" s="876"/>
      <c r="D496" s="876"/>
      <c r="E496" s="876"/>
      <c r="F496" s="876"/>
      <c r="G496" s="876"/>
      <c r="H496" s="876"/>
    </row>
    <row r="497" spans="2:8" ht="15" customHeight="1">
      <c r="B497" s="888"/>
      <c r="C497" s="876"/>
      <c r="D497" s="876"/>
      <c r="E497" s="876"/>
      <c r="F497" s="876"/>
      <c r="G497" s="876"/>
      <c r="H497" s="876"/>
    </row>
    <row r="498" spans="2:8" ht="15" customHeight="1">
      <c r="B498" s="888"/>
      <c r="C498" s="876"/>
      <c r="D498" s="876"/>
      <c r="E498" s="876"/>
      <c r="F498" s="876"/>
      <c r="G498" s="876"/>
      <c r="H498" s="876"/>
    </row>
  </sheetData>
  <mergeCells count="8">
    <mergeCell ref="B36:H36"/>
    <mergeCell ref="B39:G39"/>
    <mergeCell ref="B35:H35"/>
    <mergeCell ref="B1:G1"/>
    <mergeCell ref="B2:G2"/>
    <mergeCell ref="B3:G3"/>
    <mergeCell ref="B10:G10"/>
    <mergeCell ref="B34:H34"/>
  </mergeCells>
  <printOptions horizontalCentered="1"/>
  <pageMargins left="0.5" right="0.5" top="0.71" bottom="0.5" header="0.33" footer="0.5"/>
  <pageSetup scale="62" fitToHeight="0" orientation="landscape" r:id="rId1"/>
  <headerFooter alignWithMargins="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6"/>
  <sheetViews>
    <sheetView view="pageBreakPreview" zoomScale="80" zoomScaleNormal="90" zoomScaleSheetLayoutView="80" workbookViewId="0">
      <selection activeCell="H79" sqref="H79"/>
    </sheetView>
  </sheetViews>
  <sheetFormatPr defaultColWidth="8.90625" defaultRowHeight="15" customHeight="1"/>
  <cols>
    <col min="1" max="1" width="6.6328125" style="856" customWidth="1"/>
    <col min="2" max="2" width="37.90625" style="889" customWidth="1"/>
    <col min="3" max="3" width="14.81640625" style="856" customWidth="1"/>
    <col min="4" max="4" width="14.08984375" style="856" customWidth="1"/>
    <col min="5" max="5" width="13" style="856" customWidth="1"/>
    <col min="6" max="6" width="13.08984375" style="856" customWidth="1"/>
    <col min="7" max="7" width="15.90625" style="856" customWidth="1"/>
    <col min="8" max="8" width="57.90625" style="856" customWidth="1"/>
    <col min="9" max="9" width="8.90625" style="856"/>
    <col min="10" max="10" width="27.90625" style="856" customWidth="1"/>
    <col min="11" max="16384" width="8.90625" style="856"/>
  </cols>
  <sheetData>
    <row r="1" spans="2:10" ht="15" customHeight="1">
      <c r="B1" s="1021" t="str">
        <f>+'Attachment H-29A'!D5</f>
        <v>Transource Pennsylvania, LLC</v>
      </c>
      <c r="C1" s="1021"/>
      <c r="D1" s="1021"/>
      <c r="E1" s="1021"/>
      <c r="F1" s="1021"/>
      <c r="G1" s="1021"/>
      <c r="H1" s="933" t="str">
        <f>+'Attachment H-29A'!J3</f>
        <v>For  the 12 months ended 12/31/2022</v>
      </c>
      <c r="I1" s="855"/>
      <c r="J1" s="855"/>
    </row>
    <row r="2" spans="2:10" ht="15" customHeight="1">
      <c r="B2" s="1021" t="s">
        <v>817</v>
      </c>
      <c r="C2" s="1021"/>
      <c r="D2" s="1021"/>
      <c r="E2" s="1021"/>
      <c r="F2" s="1021"/>
      <c r="G2" s="1021"/>
      <c r="H2" s="933" t="s">
        <v>602</v>
      </c>
      <c r="I2" s="855"/>
      <c r="J2" s="855"/>
    </row>
    <row r="3" spans="2:10" ht="15" customHeight="1">
      <c r="B3" s="1021"/>
      <c r="C3" s="1021"/>
      <c r="D3" s="1021"/>
      <c r="E3" s="1021"/>
      <c r="F3" s="1021"/>
      <c r="G3" s="1021"/>
      <c r="H3" s="1021"/>
      <c r="I3" s="855"/>
      <c r="J3" s="855"/>
    </row>
    <row r="4" spans="2:10" s="858" customFormat="1" ht="15" customHeight="1">
      <c r="B4" s="913"/>
      <c r="C4" s="913"/>
      <c r="D4" s="913"/>
      <c r="E4" s="913"/>
      <c r="F4" s="913"/>
      <c r="G4" s="913"/>
      <c r="H4" s="913"/>
      <c r="I4" s="857"/>
      <c r="J4" s="855"/>
    </row>
    <row r="5" spans="2:10" s="860" customFormat="1" ht="15" customHeight="1">
      <c r="H5" s="862"/>
      <c r="J5" s="919"/>
    </row>
    <row r="6" spans="2:10" s="860" customFormat="1" ht="15" customHeight="1">
      <c r="B6" s="859" t="s">
        <v>856</v>
      </c>
      <c r="J6" s="919"/>
    </row>
    <row r="7" spans="2:10" s="860" customFormat="1" ht="15" customHeight="1">
      <c r="B7" s="859" t="s">
        <v>818</v>
      </c>
      <c r="J7" s="919"/>
    </row>
    <row r="8" spans="2:10" s="860" customFormat="1" ht="15" customHeight="1">
      <c r="B8" s="859"/>
      <c r="J8" s="919"/>
    </row>
    <row r="9" spans="2:10" s="919" customFormat="1" ht="15" customHeight="1">
      <c r="B9" s="866" t="s">
        <v>814</v>
      </c>
      <c r="C9" s="867"/>
      <c r="D9" s="868"/>
      <c r="E9" s="892"/>
      <c r="F9" s="870"/>
      <c r="G9" s="871"/>
      <c r="H9" s="870"/>
    </row>
    <row r="10" spans="2:10" s="919" customFormat="1" ht="15" customHeight="1">
      <c r="B10" s="1019" t="s">
        <v>833</v>
      </c>
      <c r="C10" s="1020"/>
      <c r="D10" s="1020"/>
      <c r="E10" s="1020"/>
      <c r="F10" s="1020"/>
      <c r="G10" s="1020"/>
      <c r="H10" s="870"/>
    </row>
    <row r="11" spans="2:10" s="919" customFormat="1" ht="15" customHeight="1">
      <c r="B11" s="872" t="s">
        <v>857</v>
      </c>
      <c r="C11" s="870"/>
      <c r="D11" s="864"/>
      <c r="E11" s="864"/>
      <c r="F11" s="892"/>
      <c r="G11" s="892"/>
      <c r="H11" s="870"/>
    </row>
    <row r="12" spans="2:10" s="919" customFormat="1" ht="15" customHeight="1">
      <c r="B12" s="872" t="s">
        <v>815</v>
      </c>
      <c r="C12" s="870"/>
      <c r="D12" s="864"/>
      <c r="E12" s="864"/>
      <c r="F12" s="892"/>
      <c r="G12" s="892"/>
      <c r="H12" s="870"/>
    </row>
    <row r="13" spans="2:10" s="919" customFormat="1" ht="15" customHeight="1">
      <c r="B13" s="872" t="s">
        <v>844</v>
      </c>
      <c r="C13" s="870"/>
      <c r="D13" s="864"/>
      <c r="E13" s="864"/>
      <c r="F13" s="892"/>
      <c r="G13" s="892"/>
      <c r="H13" s="870"/>
    </row>
    <row r="14" spans="2:10" s="860" customFormat="1" ht="15" customHeight="1">
      <c r="B14" s="859"/>
      <c r="J14" s="919"/>
    </row>
    <row r="15" spans="2:10" s="860" customFormat="1" ht="15" customHeight="1">
      <c r="B15" s="861" t="s">
        <v>62</v>
      </c>
      <c r="C15" s="861" t="s">
        <v>63</v>
      </c>
      <c r="D15" s="861" t="s">
        <v>64</v>
      </c>
      <c r="E15" s="861" t="s">
        <v>65</v>
      </c>
      <c r="F15" s="861" t="s">
        <v>67</v>
      </c>
      <c r="G15" s="861" t="s">
        <v>68</v>
      </c>
      <c r="H15" s="861" t="s">
        <v>69</v>
      </c>
      <c r="J15" s="919"/>
    </row>
    <row r="16" spans="2:10" s="860" customFormat="1" ht="15" customHeight="1">
      <c r="B16" s="859"/>
      <c r="D16" s="861"/>
      <c r="E16" s="861"/>
      <c r="F16" s="861"/>
      <c r="G16" s="861"/>
      <c r="J16" s="919"/>
    </row>
    <row r="17" spans="1:10" s="860" customFormat="1" ht="15" customHeight="1">
      <c r="B17" s="859" t="s">
        <v>810</v>
      </c>
      <c r="C17" s="861" t="s">
        <v>13</v>
      </c>
      <c r="D17" s="861" t="s">
        <v>832</v>
      </c>
      <c r="E17" s="861" t="s">
        <v>16</v>
      </c>
      <c r="F17" s="861" t="s">
        <v>806</v>
      </c>
      <c r="G17" s="861" t="s">
        <v>807</v>
      </c>
      <c r="J17" s="919"/>
    </row>
    <row r="18" spans="1:10" s="860" customFormat="1" ht="15" customHeight="1">
      <c r="A18" s="893" t="s">
        <v>594</v>
      </c>
      <c r="B18" s="859"/>
      <c r="C18" s="861"/>
      <c r="D18" s="861" t="s">
        <v>831</v>
      </c>
      <c r="E18" s="861" t="s">
        <v>808</v>
      </c>
      <c r="F18" s="861" t="s">
        <v>808</v>
      </c>
      <c r="G18" s="861" t="s">
        <v>808</v>
      </c>
      <c r="H18" s="861" t="s">
        <v>813</v>
      </c>
      <c r="J18" s="919"/>
    </row>
    <row r="19" spans="1:10" s="919" customFormat="1" ht="15" customHeight="1">
      <c r="A19" s="861">
        <v>1</v>
      </c>
      <c r="B19" s="920" t="s">
        <v>911</v>
      </c>
      <c r="C19" s="921">
        <v>1334855.3799999999</v>
      </c>
      <c r="D19" s="922">
        <v>0</v>
      </c>
      <c r="E19" s="921">
        <v>1334855.3799999999</v>
      </c>
      <c r="F19" s="922">
        <v>0</v>
      </c>
      <c r="G19" s="922">
        <v>0</v>
      </c>
      <c r="H19" s="878" t="s">
        <v>912</v>
      </c>
      <c r="I19" s="870"/>
    </row>
    <row r="20" spans="1:10" s="919" customFormat="1" ht="13.2">
      <c r="A20" s="861">
        <f>+A19+1</f>
        <v>2</v>
      </c>
      <c r="B20" s="920" t="s">
        <v>913</v>
      </c>
      <c r="C20" s="921">
        <v>-4181.7999999999993</v>
      </c>
      <c r="D20" s="922">
        <v>0</v>
      </c>
      <c r="E20" s="921">
        <v>-4181.7999999999993</v>
      </c>
      <c r="F20" s="922">
        <v>0</v>
      </c>
      <c r="G20" s="922">
        <v>0</v>
      </c>
      <c r="H20" s="878" t="s">
        <v>914</v>
      </c>
      <c r="I20" s="870"/>
    </row>
    <row r="21" spans="1:10" s="919" customFormat="1" ht="13.2">
      <c r="A21" s="861">
        <f t="shared" ref="A21:A32" si="0">+A20+1</f>
        <v>3</v>
      </c>
      <c r="B21" s="920" t="s">
        <v>915</v>
      </c>
      <c r="C21" s="921">
        <v>-129970.72804030182</v>
      </c>
      <c r="D21" s="922">
        <v>0</v>
      </c>
      <c r="E21" s="921">
        <v>-129970.72804030182</v>
      </c>
      <c r="F21" s="922">
        <v>0</v>
      </c>
      <c r="G21" s="922">
        <v>0</v>
      </c>
      <c r="H21" s="878" t="s">
        <v>916</v>
      </c>
      <c r="I21" s="870"/>
    </row>
    <row r="22" spans="1:10" s="919" customFormat="1" ht="13.2">
      <c r="A22" s="861">
        <f t="shared" si="0"/>
        <v>4</v>
      </c>
      <c r="B22" s="920" t="s">
        <v>917</v>
      </c>
      <c r="C22" s="921">
        <v>639.66</v>
      </c>
      <c r="D22" s="922">
        <v>639.66</v>
      </c>
      <c r="E22" s="921">
        <v>0</v>
      </c>
      <c r="F22" s="922">
        <v>0</v>
      </c>
      <c r="G22" s="922">
        <v>0</v>
      </c>
      <c r="H22" s="878" t="s">
        <v>918</v>
      </c>
      <c r="I22" s="870"/>
    </row>
    <row r="23" spans="1:10" s="919" customFormat="1" ht="15" customHeight="1">
      <c r="A23" s="861">
        <f t="shared" si="0"/>
        <v>5</v>
      </c>
      <c r="B23" s="920"/>
      <c r="C23" s="921"/>
      <c r="D23" s="922"/>
      <c r="E23" s="921"/>
      <c r="F23" s="922"/>
      <c r="G23" s="922"/>
      <c r="H23" s="878"/>
      <c r="I23" s="870"/>
    </row>
    <row r="24" spans="1:10" s="919" customFormat="1" ht="15" customHeight="1">
      <c r="A24" s="861">
        <f t="shared" si="0"/>
        <v>6</v>
      </c>
      <c r="B24" s="920"/>
      <c r="C24" s="921"/>
      <c r="D24" s="922"/>
      <c r="E24" s="921"/>
      <c r="F24" s="921"/>
      <c r="G24" s="922"/>
      <c r="H24" s="878"/>
      <c r="I24" s="870"/>
    </row>
    <row r="25" spans="1:10" s="919" customFormat="1" ht="15" customHeight="1">
      <c r="A25" s="861">
        <f t="shared" si="0"/>
        <v>7</v>
      </c>
      <c r="B25" s="920"/>
      <c r="C25" s="921"/>
      <c r="D25" s="921"/>
      <c r="E25" s="921"/>
      <c r="F25" s="922"/>
      <c r="G25" s="922"/>
      <c r="H25" s="878"/>
      <c r="I25" s="870"/>
    </row>
    <row r="26" spans="1:10" s="919" customFormat="1" ht="15" customHeight="1">
      <c r="A26" s="861">
        <f t="shared" si="0"/>
        <v>8</v>
      </c>
      <c r="B26" s="920"/>
      <c r="C26" s="921"/>
      <c r="D26" s="921"/>
      <c r="E26" s="921"/>
      <c r="F26" s="922"/>
      <c r="G26" s="922"/>
      <c r="H26" s="878"/>
      <c r="I26" s="870"/>
    </row>
    <row r="27" spans="1:10" s="919" customFormat="1" ht="15" customHeight="1">
      <c r="A27" s="861">
        <f t="shared" si="0"/>
        <v>9</v>
      </c>
      <c r="B27" s="920"/>
      <c r="C27" s="921"/>
      <c r="D27" s="921"/>
      <c r="E27" s="921"/>
      <c r="F27" s="922"/>
      <c r="G27" s="922"/>
      <c r="H27" s="878"/>
      <c r="I27" s="870"/>
    </row>
    <row r="28" spans="1:10" s="919" customFormat="1" ht="15" customHeight="1">
      <c r="A28" s="861">
        <f t="shared" si="0"/>
        <v>10</v>
      </c>
      <c r="B28" s="920"/>
      <c r="C28" s="921"/>
      <c r="D28" s="921"/>
      <c r="E28" s="921"/>
      <c r="F28" s="921"/>
      <c r="G28" s="921"/>
      <c r="H28" s="878"/>
      <c r="I28" s="870"/>
    </row>
    <row r="29" spans="1:10" s="919" customFormat="1" ht="15" customHeight="1">
      <c r="A29" s="861">
        <f t="shared" si="0"/>
        <v>11</v>
      </c>
      <c r="B29" s="890" t="s">
        <v>848</v>
      </c>
      <c r="C29" s="891">
        <f>SUBTOTAL(9,C19:C28)</f>
        <v>1201342.5119596978</v>
      </c>
      <c r="D29" s="881">
        <f>SUM(D19:D28)</f>
        <v>639.66</v>
      </c>
      <c r="E29" s="881">
        <f>SUM(E19:E28)</f>
        <v>1200702.8519596979</v>
      </c>
      <c r="F29" s="881">
        <f>SUM(F19:F28)</f>
        <v>0</v>
      </c>
      <c r="G29" s="881">
        <f>SUM(G19:G28)</f>
        <v>0</v>
      </c>
      <c r="H29" s="882"/>
      <c r="I29" s="870"/>
    </row>
    <row r="30" spans="1:10" s="919" customFormat="1" ht="15" customHeight="1">
      <c r="A30" s="861">
        <f t="shared" si="0"/>
        <v>12</v>
      </c>
      <c r="B30" s="880" t="s">
        <v>811</v>
      </c>
      <c r="C30" s="944"/>
      <c r="D30" s="945"/>
      <c r="E30" s="949"/>
      <c r="F30" s="945"/>
      <c r="G30" s="947">
        <f>+'Attachment H-29A'!$I$197</f>
        <v>1</v>
      </c>
      <c r="H30" s="871"/>
      <c r="I30" s="870"/>
    </row>
    <row r="31" spans="1:10" s="919" customFormat="1" ht="15" customHeight="1">
      <c r="A31" s="861">
        <f t="shared" si="0"/>
        <v>13</v>
      </c>
      <c r="B31" s="943" t="s">
        <v>812</v>
      </c>
      <c r="C31" s="940"/>
      <c r="D31" s="928"/>
      <c r="E31" s="950"/>
      <c r="F31" s="937">
        <f>+'Attachment H-29A'!$G$83</f>
        <v>1</v>
      </c>
      <c r="G31" s="949"/>
      <c r="H31" s="871"/>
      <c r="I31" s="870"/>
    </row>
    <row r="32" spans="1:10" s="919" customFormat="1" ht="15" customHeight="1" thickBot="1">
      <c r="A32" s="861">
        <f t="shared" si="0"/>
        <v>14</v>
      </c>
      <c r="B32" s="948" t="s">
        <v>873</v>
      </c>
      <c r="C32" s="941">
        <f>+SUM(E32:G32)</f>
        <v>1200702.8519596979</v>
      </c>
      <c r="D32" s="951"/>
      <c r="E32" s="936">
        <f>+E29</f>
        <v>1200702.8519596979</v>
      </c>
      <c r="F32" s="942">
        <f>+F29*F31</f>
        <v>0</v>
      </c>
      <c r="G32" s="942">
        <f>+G29*G30</f>
        <v>0</v>
      </c>
      <c r="H32" s="871"/>
      <c r="I32" s="870"/>
    </row>
    <row r="33" spans="1:10" s="919" customFormat="1" ht="15" customHeight="1" thickTop="1">
      <c r="B33" s="864"/>
      <c r="C33" s="865"/>
      <c r="D33" s="865"/>
      <c r="E33" s="865"/>
      <c r="F33" s="865"/>
      <c r="G33" s="865"/>
      <c r="H33" s="885"/>
      <c r="I33" s="870"/>
    </row>
    <row r="34" spans="1:10" s="919" customFormat="1" ht="15" customHeight="1">
      <c r="B34" s="873"/>
      <c r="C34" s="873"/>
      <c r="D34" s="873"/>
      <c r="E34" s="873"/>
      <c r="F34" s="873"/>
      <c r="G34" s="873"/>
      <c r="H34" s="885"/>
    </row>
    <row r="35" spans="1:10" s="860" customFormat="1" ht="15" customHeight="1">
      <c r="B35" s="1017" t="str">
        <f>+B1</f>
        <v>Transource Pennsylvania, LLC</v>
      </c>
      <c r="C35" s="1018"/>
      <c r="D35" s="1018"/>
      <c r="E35" s="1018"/>
      <c r="F35" s="1018"/>
      <c r="G35" s="1018"/>
      <c r="H35" s="1018"/>
      <c r="I35" s="864"/>
      <c r="J35" s="919"/>
    </row>
    <row r="36" spans="1:10" s="860" customFormat="1" ht="15" customHeight="1">
      <c r="B36" s="1017" t="str">
        <f>+B2</f>
        <v>Attachment 4b - Accumulated Deferred Income Taxes (ADIT) Worksheet (End of Year)</v>
      </c>
      <c r="C36" s="1018"/>
      <c r="D36" s="1018"/>
      <c r="E36" s="1018"/>
      <c r="F36" s="1018"/>
      <c r="G36" s="1018"/>
      <c r="H36" s="1018"/>
      <c r="I36" s="864"/>
      <c r="J36" s="919"/>
    </row>
    <row r="37" spans="1:10" s="860" customFormat="1" ht="15" customHeight="1">
      <c r="B37" s="1017"/>
      <c r="C37" s="1018"/>
      <c r="D37" s="1018"/>
      <c r="E37" s="1018"/>
      <c r="F37" s="1018"/>
      <c r="G37" s="1018"/>
      <c r="H37" s="1018"/>
      <c r="I37" s="864"/>
      <c r="J37" s="919"/>
    </row>
    <row r="38" spans="1:10" s="860" customFormat="1" ht="15" customHeight="1">
      <c r="B38" s="875"/>
      <c r="C38" s="875"/>
      <c r="D38" s="875"/>
      <c r="E38" s="875"/>
      <c r="F38" s="875"/>
      <c r="G38" s="875"/>
      <c r="H38" s="933" t="s">
        <v>147</v>
      </c>
      <c r="I38" s="864"/>
      <c r="J38" s="919"/>
    </row>
    <row r="39" spans="1:10" s="919" customFormat="1" ht="15" customHeight="1">
      <c r="B39" s="866" t="s">
        <v>874</v>
      </c>
      <c r="C39" s="864"/>
      <c r="D39" s="892"/>
      <c r="E39" s="868"/>
      <c r="F39" s="870"/>
      <c r="G39" s="885"/>
      <c r="H39" s="870"/>
    </row>
    <row r="40" spans="1:10" s="919" customFormat="1" ht="15" customHeight="1">
      <c r="B40" s="1019" t="s">
        <v>833</v>
      </c>
      <c r="C40" s="1020"/>
      <c r="D40" s="1020"/>
      <c r="E40" s="1020"/>
      <c r="F40" s="1020"/>
      <c r="G40" s="1020"/>
      <c r="H40" s="870"/>
    </row>
    <row r="41" spans="1:10" s="919" customFormat="1" ht="15" customHeight="1">
      <c r="B41" s="872" t="s">
        <v>857</v>
      </c>
      <c r="C41" s="870"/>
      <c r="D41" s="864"/>
      <c r="E41" s="864"/>
      <c r="F41" s="892"/>
      <c r="G41" s="892"/>
      <c r="H41" s="870"/>
    </row>
    <row r="42" spans="1:10" s="919" customFormat="1" ht="15" customHeight="1">
      <c r="B42" s="872" t="s">
        <v>815</v>
      </c>
      <c r="C42" s="870"/>
      <c r="D42" s="864"/>
      <c r="E42" s="864"/>
      <c r="F42" s="892"/>
      <c r="G42" s="892"/>
      <c r="H42" s="870"/>
    </row>
    <row r="43" spans="1:10" s="919" customFormat="1" ht="15" customHeight="1">
      <c r="B43" s="872" t="s">
        <v>844</v>
      </c>
      <c r="C43" s="870"/>
      <c r="D43" s="864"/>
      <c r="E43" s="864"/>
      <c r="F43" s="892"/>
      <c r="G43" s="892"/>
      <c r="H43" s="870"/>
    </row>
    <row r="44" spans="1:10" s="919" customFormat="1" ht="15" customHeight="1">
      <c r="B44" s="873"/>
      <c r="C44" s="873"/>
      <c r="D44" s="873"/>
      <c r="E44" s="873"/>
      <c r="F44" s="873"/>
      <c r="G44" s="873"/>
      <c r="H44" s="885"/>
    </row>
    <row r="45" spans="1:10" s="860" customFormat="1" ht="15" customHeight="1">
      <c r="B45" s="861" t="s">
        <v>62</v>
      </c>
      <c r="C45" s="861" t="s">
        <v>63</v>
      </c>
      <c r="D45" s="861" t="s">
        <v>64</v>
      </c>
      <c r="E45" s="861" t="s">
        <v>65</v>
      </c>
      <c r="F45" s="861" t="s">
        <v>67</v>
      </c>
      <c r="G45" s="861" t="s">
        <v>68</v>
      </c>
      <c r="H45" s="861" t="s">
        <v>69</v>
      </c>
      <c r="I45" s="864"/>
      <c r="J45" s="919"/>
    </row>
    <row r="46" spans="1:10" s="860" customFormat="1" ht="15" customHeight="1">
      <c r="B46" s="864" t="s">
        <v>875</v>
      </c>
      <c r="C46" s="861" t="s">
        <v>13</v>
      </c>
      <c r="D46" s="861" t="s">
        <v>832</v>
      </c>
      <c r="E46" s="861" t="s">
        <v>16</v>
      </c>
      <c r="F46" s="861" t="s">
        <v>806</v>
      </c>
      <c r="G46" s="861" t="s">
        <v>807</v>
      </c>
      <c r="I46" s="864"/>
      <c r="J46" s="919"/>
    </row>
    <row r="47" spans="1:10" s="860" customFormat="1" ht="15" customHeight="1">
      <c r="A47" s="893" t="s">
        <v>594</v>
      </c>
      <c r="B47" s="872"/>
      <c r="C47" s="861"/>
      <c r="D47" s="861" t="s">
        <v>831</v>
      </c>
      <c r="E47" s="861" t="s">
        <v>808</v>
      </c>
      <c r="F47" s="861" t="s">
        <v>808</v>
      </c>
      <c r="G47" s="861" t="s">
        <v>808</v>
      </c>
      <c r="H47" s="861" t="s">
        <v>813</v>
      </c>
      <c r="I47" s="864"/>
      <c r="J47" s="919"/>
    </row>
    <row r="48" spans="1:10" s="919" customFormat="1" ht="15" customHeight="1">
      <c r="A48" s="861">
        <f>+A32+1</f>
        <v>15</v>
      </c>
      <c r="B48" s="920"/>
      <c r="C48" s="921"/>
      <c r="D48" s="922"/>
      <c r="E48" s="921"/>
      <c r="F48" s="921"/>
      <c r="G48" s="922"/>
      <c r="H48" s="878"/>
      <c r="I48" s="870"/>
    </row>
    <row r="49" spans="1:10" s="919" customFormat="1" ht="15" customHeight="1">
      <c r="A49" s="861">
        <f>+A48+1</f>
        <v>16</v>
      </c>
      <c r="B49" s="879"/>
      <c r="C49" s="921"/>
      <c r="D49" s="877"/>
      <c r="E49" s="877"/>
      <c r="F49" s="877"/>
      <c r="G49" s="877"/>
      <c r="H49" s="878"/>
      <c r="I49" s="870"/>
    </row>
    <row r="50" spans="1:10" s="919" customFormat="1" ht="15" customHeight="1">
      <c r="A50" s="861">
        <f t="shared" ref="A50:A56" si="1">+A49+1</f>
        <v>17</v>
      </c>
      <c r="B50" s="880" t="s">
        <v>876</v>
      </c>
      <c r="C50" s="881">
        <f>SUBTOTAL(9,C48:C49)</f>
        <v>0</v>
      </c>
      <c r="D50" s="881">
        <f>SUM(D48:D49)</f>
        <v>0</v>
      </c>
      <c r="E50" s="881">
        <f>SUM(E48:E49)</f>
        <v>0</v>
      </c>
      <c r="F50" s="881">
        <f>SUM(F48:F49)</f>
        <v>0</v>
      </c>
      <c r="G50" s="881">
        <f>SUM(G48:G49)</f>
        <v>0</v>
      </c>
      <c r="H50" s="882"/>
      <c r="I50" s="870"/>
    </row>
    <row r="51" spans="1:10" s="919" customFormat="1" ht="15" customHeight="1">
      <c r="A51" s="861">
        <f t="shared" si="1"/>
        <v>18</v>
      </c>
      <c r="B51" s="880" t="s">
        <v>811</v>
      </c>
      <c r="C51" s="944"/>
      <c r="D51" s="945"/>
      <c r="E51" s="944"/>
      <c r="F51" s="946"/>
      <c r="G51" s="947">
        <f>+'Attachment H-29A'!$I$197</f>
        <v>1</v>
      </c>
      <c r="H51" s="871"/>
      <c r="I51" s="870"/>
    </row>
    <row r="52" spans="1:10" s="919" customFormat="1" ht="15" customHeight="1">
      <c r="A52" s="861">
        <f t="shared" si="1"/>
        <v>19</v>
      </c>
      <c r="B52" s="943" t="s">
        <v>812</v>
      </c>
      <c r="C52" s="940"/>
      <c r="D52" s="928"/>
      <c r="E52" s="939"/>
      <c r="F52" s="938">
        <f>+'Attachment H-29A'!$G$83</f>
        <v>1</v>
      </c>
      <c r="G52" s="939"/>
      <c r="H52" s="871"/>
      <c r="I52" s="870"/>
    </row>
    <row r="53" spans="1:10" s="919" customFormat="1" ht="15" customHeight="1" thickBot="1">
      <c r="A53" s="861">
        <f t="shared" si="1"/>
        <v>20</v>
      </c>
      <c r="B53" s="948" t="s">
        <v>873</v>
      </c>
      <c r="C53" s="941">
        <f>+SUM(E53:G53)</f>
        <v>0</v>
      </c>
      <c r="D53" s="942"/>
      <c r="E53" s="936">
        <f>+E50</f>
        <v>0</v>
      </c>
      <c r="F53" s="942">
        <f>+F50*F52</f>
        <v>0</v>
      </c>
      <c r="G53" s="942">
        <f>+G50*G51</f>
        <v>0</v>
      </c>
      <c r="H53" s="871"/>
      <c r="I53" s="870"/>
    </row>
    <row r="54" spans="1:10" s="919" customFormat="1" ht="15" customHeight="1" thickTop="1">
      <c r="A54" s="861">
        <f t="shared" si="1"/>
        <v>21</v>
      </c>
      <c r="B54" s="880" t="s">
        <v>811</v>
      </c>
      <c r="C54" s="944"/>
      <c r="D54" s="945"/>
      <c r="E54" s="949"/>
      <c r="F54" s="945"/>
      <c r="G54" s="947">
        <f>+'Attachment H-29A'!$I$197</f>
        <v>1</v>
      </c>
      <c r="H54" s="871"/>
      <c r="I54" s="870"/>
    </row>
    <row r="55" spans="1:10" s="919" customFormat="1" ht="15" customHeight="1">
      <c r="A55" s="861">
        <f t="shared" si="1"/>
        <v>22</v>
      </c>
      <c r="B55" s="943" t="s">
        <v>812</v>
      </c>
      <c r="C55" s="940"/>
      <c r="D55" s="928"/>
      <c r="E55" s="950"/>
      <c r="F55" s="937">
        <f>+'Attachment H-29A'!$G$83</f>
        <v>1</v>
      </c>
      <c r="G55" s="949"/>
      <c r="H55" s="871"/>
      <c r="I55" s="870"/>
    </row>
    <row r="56" spans="1:10" s="919" customFormat="1" ht="15" customHeight="1" thickBot="1">
      <c r="A56" s="861">
        <f t="shared" si="1"/>
        <v>23</v>
      </c>
      <c r="B56" s="948" t="s">
        <v>873</v>
      </c>
      <c r="C56" s="941">
        <f>+SUM(E56:G56)</f>
        <v>0</v>
      </c>
      <c r="D56" s="951"/>
      <c r="E56" s="936">
        <f>+E53</f>
        <v>0</v>
      </c>
      <c r="F56" s="942">
        <f>+F53*F55</f>
        <v>0</v>
      </c>
      <c r="G56" s="942">
        <f>+G53*G54</f>
        <v>0</v>
      </c>
      <c r="H56" s="871"/>
      <c r="I56" s="870"/>
    </row>
    <row r="57" spans="1:10" s="919" customFormat="1" ht="15" customHeight="1" thickTop="1">
      <c r="A57" s="861"/>
      <c r="B57" s="870"/>
      <c r="C57" s="935"/>
      <c r="D57" s="865"/>
      <c r="E57" s="865"/>
      <c r="F57" s="865"/>
      <c r="G57" s="865"/>
      <c r="H57" s="871"/>
      <c r="I57" s="870"/>
    </row>
    <row r="58" spans="1:10" s="860" customFormat="1" ht="15" customHeight="1">
      <c r="B58" s="861" t="s">
        <v>62</v>
      </c>
      <c r="C58" s="861" t="s">
        <v>63</v>
      </c>
      <c r="D58" s="861" t="s">
        <v>64</v>
      </c>
      <c r="E58" s="861" t="s">
        <v>65</v>
      </c>
      <c r="F58" s="861" t="s">
        <v>67</v>
      </c>
      <c r="G58" s="861" t="s">
        <v>68</v>
      </c>
      <c r="H58" s="861" t="s">
        <v>69</v>
      </c>
      <c r="I58" s="864"/>
      <c r="J58" s="919"/>
    </row>
    <row r="59" spans="1:10" s="860" customFormat="1" ht="15" customHeight="1">
      <c r="B59" s="864" t="s">
        <v>809</v>
      </c>
      <c r="C59" s="861" t="s">
        <v>13</v>
      </c>
      <c r="D59" s="861" t="s">
        <v>832</v>
      </c>
      <c r="E59" s="861" t="s">
        <v>16</v>
      </c>
      <c r="F59" s="861" t="s">
        <v>806</v>
      </c>
      <c r="G59" s="861" t="s">
        <v>807</v>
      </c>
      <c r="I59" s="864"/>
      <c r="J59" s="919"/>
    </row>
    <row r="60" spans="1:10" s="860" customFormat="1" ht="15" customHeight="1">
      <c r="A60" s="893" t="s">
        <v>594</v>
      </c>
      <c r="B60" s="872"/>
      <c r="C60" s="861"/>
      <c r="D60" s="861" t="s">
        <v>831</v>
      </c>
      <c r="E60" s="861" t="s">
        <v>808</v>
      </c>
      <c r="F60" s="861" t="s">
        <v>808</v>
      </c>
      <c r="G60" s="861" t="s">
        <v>808</v>
      </c>
      <c r="H60" s="861" t="s">
        <v>813</v>
      </c>
      <c r="I60" s="864"/>
      <c r="J60" s="919"/>
    </row>
    <row r="61" spans="1:10" s="919" customFormat="1" ht="15" customHeight="1">
      <c r="A61" s="861">
        <f>+A56+1</f>
        <v>24</v>
      </c>
      <c r="B61" s="920" t="s">
        <v>919</v>
      </c>
      <c r="C61" s="921">
        <v>7376.6110249452604</v>
      </c>
      <c r="D61" s="922">
        <v>0</v>
      </c>
      <c r="E61" s="921">
        <v>0</v>
      </c>
      <c r="F61" s="921">
        <v>7376.6110249452604</v>
      </c>
      <c r="G61" s="922">
        <v>0</v>
      </c>
      <c r="H61" s="878" t="s">
        <v>920</v>
      </c>
      <c r="I61" s="870"/>
    </row>
    <row r="62" spans="1:10" s="919" customFormat="1" ht="15" customHeight="1">
      <c r="A62" s="861">
        <f>+A61+1</f>
        <v>25</v>
      </c>
      <c r="B62" s="920" t="s">
        <v>921</v>
      </c>
      <c r="C62" s="921">
        <v>30765.227848101262</v>
      </c>
      <c r="D62" s="922">
        <v>0</v>
      </c>
      <c r="E62" s="921">
        <v>0</v>
      </c>
      <c r="F62" s="922">
        <v>30765.227848101262</v>
      </c>
      <c r="G62" s="922">
        <v>0</v>
      </c>
      <c r="H62" s="878" t="s">
        <v>922</v>
      </c>
      <c r="I62" s="870"/>
    </row>
    <row r="63" spans="1:10" s="919" customFormat="1" ht="15" customHeight="1">
      <c r="A63" s="861">
        <f t="shared" ref="A63:A74" si="2">+A62+1</f>
        <v>26</v>
      </c>
      <c r="B63" s="920" t="s">
        <v>923</v>
      </c>
      <c r="C63" s="921">
        <v>48152.81</v>
      </c>
      <c r="D63" s="922">
        <v>0</v>
      </c>
      <c r="E63" s="922">
        <v>0</v>
      </c>
      <c r="F63" s="922">
        <v>48152.81</v>
      </c>
      <c r="G63" s="922">
        <v>0</v>
      </c>
      <c r="H63" s="878" t="s">
        <v>924</v>
      </c>
      <c r="I63" s="870"/>
    </row>
    <row r="64" spans="1:10" s="919" customFormat="1" ht="15" customHeight="1">
      <c r="A64" s="861">
        <f t="shared" si="2"/>
        <v>27</v>
      </c>
      <c r="B64" s="920" t="s">
        <v>925</v>
      </c>
      <c r="C64" s="921">
        <v>16507.538002168621</v>
      </c>
      <c r="D64" s="922">
        <v>0</v>
      </c>
      <c r="E64" s="922">
        <v>0</v>
      </c>
      <c r="F64" s="922">
        <v>16507.538002168621</v>
      </c>
      <c r="G64" s="922">
        <v>0</v>
      </c>
      <c r="H64" s="878" t="s">
        <v>926</v>
      </c>
      <c r="I64" s="870"/>
    </row>
    <row r="65" spans="1:10" s="919" customFormat="1" ht="15" customHeight="1">
      <c r="A65" s="861">
        <f t="shared" si="2"/>
        <v>28</v>
      </c>
      <c r="B65" s="920" t="s">
        <v>927</v>
      </c>
      <c r="C65" s="921">
        <v>-1565.6503837510766</v>
      </c>
      <c r="D65" s="922">
        <v>0</v>
      </c>
      <c r="E65" s="922">
        <v>0</v>
      </c>
      <c r="F65" s="922">
        <v>-1565.6503837510766</v>
      </c>
      <c r="G65" s="922">
        <v>0</v>
      </c>
      <c r="H65" s="878" t="s">
        <v>922</v>
      </c>
      <c r="I65" s="870"/>
    </row>
    <row r="66" spans="1:10" s="919" customFormat="1" ht="15" customHeight="1">
      <c r="A66" s="861">
        <f t="shared" si="2"/>
        <v>29</v>
      </c>
      <c r="B66" s="920" t="s">
        <v>928</v>
      </c>
      <c r="C66" s="921">
        <v>2382</v>
      </c>
      <c r="D66" s="922">
        <v>0</v>
      </c>
      <c r="E66" s="922">
        <v>0</v>
      </c>
      <c r="F66" s="922">
        <v>2382</v>
      </c>
      <c r="G66" s="922">
        <v>0</v>
      </c>
      <c r="H66" s="878" t="s">
        <v>929</v>
      </c>
      <c r="I66" s="870"/>
    </row>
    <row r="67" spans="1:10" s="919" customFormat="1" ht="15" customHeight="1">
      <c r="A67" s="861">
        <f t="shared" si="2"/>
        <v>30</v>
      </c>
      <c r="B67" s="920" t="s">
        <v>930</v>
      </c>
      <c r="C67" s="921">
        <v>-2382</v>
      </c>
      <c r="D67" s="922">
        <v>-2382</v>
      </c>
      <c r="E67" s="922">
        <v>0</v>
      </c>
      <c r="F67" s="922">
        <v>0</v>
      </c>
      <c r="G67" s="922">
        <v>0</v>
      </c>
      <c r="H67" s="878" t="s">
        <v>929</v>
      </c>
      <c r="I67" s="870"/>
    </row>
    <row r="68" spans="1:10" s="919" customFormat="1" ht="15" customHeight="1">
      <c r="A68" s="861">
        <f t="shared" si="2"/>
        <v>31</v>
      </c>
      <c r="B68" s="920"/>
      <c r="C68" s="921"/>
      <c r="D68" s="922"/>
      <c r="E68" s="922"/>
      <c r="F68" s="922"/>
      <c r="G68" s="922"/>
      <c r="H68" s="878"/>
      <c r="I68" s="870"/>
    </row>
    <row r="69" spans="1:10" s="919" customFormat="1" ht="15" customHeight="1">
      <c r="A69" s="861">
        <f t="shared" si="2"/>
        <v>32</v>
      </c>
      <c r="B69" s="880" t="s">
        <v>849</v>
      </c>
      <c r="C69" s="881">
        <f>SUBTOTAL(9,C61:C68)</f>
        <v>101236.53649146407</v>
      </c>
      <c r="D69" s="881">
        <f>SUM(D61:D68)</f>
        <v>-2382</v>
      </c>
      <c r="E69" s="881">
        <f>SUM(E61:E68)</f>
        <v>0</v>
      </c>
      <c r="F69" s="881">
        <f>SUM(F61:F68)</f>
        <v>103618.53649146407</v>
      </c>
      <c r="G69" s="881">
        <f>SUM(G61:G68)</f>
        <v>0</v>
      </c>
      <c r="H69" s="882"/>
      <c r="I69" s="870"/>
    </row>
    <row r="70" spans="1:10" s="919" customFormat="1" ht="15" customHeight="1">
      <c r="A70" s="861">
        <f t="shared" si="2"/>
        <v>33</v>
      </c>
      <c r="B70" s="880" t="s">
        <v>811</v>
      </c>
      <c r="C70" s="944"/>
      <c r="D70" s="945"/>
      <c r="E70" s="949"/>
      <c r="F70" s="945"/>
      <c r="G70" s="947">
        <f>+'Attachment H-29A'!$I$197</f>
        <v>1</v>
      </c>
      <c r="H70" s="871"/>
      <c r="I70" s="870"/>
    </row>
    <row r="71" spans="1:10" s="919" customFormat="1" ht="15" customHeight="1">
      <c r="A71" s="861">
        <f t="shared" si="2"/>
        <v>34</v>
      </c>
      <c r="B71" s="943" t="s">
        <v>812</v>
      </c>
      <c r="C71" s="940"/>
      <c r="D71" s="928"/>
      <c r="E71" s="950"/>
      <c r="F71" s="937">
        <f>+'Attachment H-29A'!$G$83</f>
        <v>1</v>
      </c>
      <c r="G71" s="949"/>
      <c r="H71" s="871"/>
      <c r="I71" s="870"/>
    </row>
    <row r="72" spans="1:10" s="919" customFormat="1" ht="15" customHeight="1">
      <c r="A72" s="861">
        <f t="shared" si="2"/>
        <v>35</v>
      </c>
      <c r="B72" s="880" t="s">
        <v>892</v>
      </c>
      <c r="C72" s="891">
        <f>+SUM(E72:G72)</f>
        <v>103618.53649146407</v>
      </c>
      <c r="D72" s="954"/>
      <c r="E72" s="953">
        <f>+E69</f>
        <v>0</v>
      </c>
      <c r="F72" s="881">
        <f>+F69*F71</f>
        <v>103618.53649146407</v>
      </c>
      <c r="G72" s="881">
        <f>+G69*G70</f>
        <v>0</v>
      </c>
      <c r="H72" s="871"/>
      <c r="I72" s="870"/>
    </row>
    <row r="73" spans="1:10" s="919" customFormat="1" ht="15" customHeight="1">
      <c r="A73" s="861">
        <f t="shared" si="2"/>
        <v>36</v>
      </c>
      <c r="B73" s="880" t="s">
        <v>896</v>
      </c>
      <c r="C73" s="881">
        <f t="shared" ref="C73" si="3">+SUM(E73:G73)</f>
        <v>3947.2812419283791</v>
      </c>
      <c r="D73" s="881"/>
      <c r="E73" s="881"/>
      <c r="F73" s="881">
        <f>-'4c-ADIT Proration'!I35</f>
        <v>3947.2812419283791</v>
      </c>
      <c r="G73" s="881"/>
      <c r="H73" s="871"/>
      <c r="I73" s="870"/>
    </row>
    <row r="74" spans="1:10" s="919" customFormat="1" ht="15" customHeight="1" thickBot="1">
      <c r="A74" s="861">
        <f t="shared" si="2"/>
        <v>37</v>
      </c>
      <c r="B74" s="948" t="s">
        <v>873</v>
      </c>
      <c r="C74" s="942">
        <f>+SUM(E74:G74)</f>
        <v>99671.255249535694</v>
      </c>
      <c r="D74" s="942">
        <f t="shared" ref="D74:G74" si="4">+D72-D73</f>
        <v>0</v>
      </c>
      <c r="E74" s="942">
        <f t="shared" si="4"/>
        <v>0</v>
      </c>
      <c r="F74" s="942">
        <f t="shared" si="4"/>
        <v>99671.255249535694</v>
      </c>
      <c r="G74" s="942">
        <f t="shared" si="4"/>
        <v>0</v>
      </c>
      <c r="H74" s="871"/>
      <c r="I74" s="870"/>
    </row>
    <row r="75" spans="1:10" s="919" customFormat="1" ht="15" customHeight="1" thickTop="1">
      <c r="A75" s="861"/>
      <c r="B75" s="884"/>
      <c r="C75" s="870"/>
      <c r="D75" s="864"/>
      <c r="E75" s="867"/>
      <c r="F75" s="892"/>
      <c r="G75" s="868"/>
      <c r="H75" s="885"/>
      <c r="I75" s="870"/>
    </row>
    <row r="76" spans="1:10" s="860" customFormat="1" ht="15" customHeight="1">
      <c r="B76" s="861" t="s">
        <v>62</v>
      </c>
      <c r="C76" s="861" t="s">
        <v>63</v>
      </c>
      <c r="D76" s="861" t="s">
        <v>64</v>
      </c>
      <c r="E76" s="861" t="s">
        <v>65</v>
      </c>
      <c r="F76" s="861" t="s">
        <v>67</v>
      </c>
      <c r="G76" s="861" t="s">
        <v>68</v>
      </c>
      <c r="H76" s="861" t="s">
        <v>69</v>
      </c>
      <c r="I76" s="864"/>
      <c r="J76" s="919"/>
    </row>
    <row r="77" spans="1:10" s="860" customFormat="1" ht="15" customHeight="1">
      <c r="B77" s="864" t="s">
        <v>816</v>
      </c>
      <c r="C77" s="861" t="s">
        <v>13</v>
      </c>
      <c r="D77" s="861" t="s">
        <v>832</v>
      </c>
      <c r="E77" s="861" t="s">
        <v>16</v>
      </c>
      <c r="F77" s="861" t="s">
        <v>806</v>
      </c>
      <c r="G77" s="861" t="s">
        <v>807</v>
      </c>
      <c r="H77" s="861"/>
      <c r="I77" s="864"/>
      <c r="J77" s="919"/>
    </row>
    <row r="78" spans="1:10" s="860" customFormat="1" ht="15" customHeight="1">
      <c r="A78" s="893" t="s">
        <v>594</v>
      </c>
      <c r="B78" s="864"/>
      <c r="C78" s="861"/>
      <c r="D78" s="861" t="s">
        <v>831</v>
      </c>
      <c r="E78" s="861" t="s">
        <v>808</v>
      </c>
      <c r="F78" s="861" t="s">
        <v>808</v>
      </c>
      <c r="G78" s="861" t="s">
        <v>808</v>
      </c>
      <c r="H78" s="861" t="s">
        <v>813</v>
      </c>
      <c r="I78" s="864"/>
      <c r="J78" s="919"/>
    </row>
    <row r="79" spans="1:10" s="919" customFormat="1" ht="15" customHeight="1">
      <c r="A79" s="861">
        <f>+A74+1</f>
        <v>38</v>
      </c>
      <c r="B79" s="920" t="s">
        <v>915</v>
      </c>
      <c r="C79" s="921">
        <v>-618908.22352524672</v>
      </c>
      <c r="D79" s="921">
        <v>0</v>
      </c>
      <c r="E79" s="921">
        <v>-618908.22352524672</v>
      </c>
      <c r="F79" s="922">
        <v>0</v>
      </c>
      <c r="G79" s="922">
        <v>0</v>
      </c>
      <c r="H79" s="923" t="s">
        <v>916</v>
      </c>
      <c r="I79" s="870"/>
    </row>
    <row r="80" spans="1:10" s="919" customFormat="1" ht="15" customHeight="1">
      <c r="A80" s="861">
        <f>+A79+1</f>
        <v>39</v>
      </c>
      <c r="B80" s="920" t="s">
        <v>931</v>
      </c>
      <c r="C80" s="921">
        <v>9967.4400000000605</v>
      </c>
      <c r="D80" s="921">
        <v>0</v>
      </c>
      <c r="E80" s="921">
        <v>9967.4400000000605</v>
      </c>
      <c r="F80" s="922">
        <v>0</v>
      </c>
      <c r="G80" s="922">
        <v>0</v>
      </c>
      <c r="H80" s="878" t="s">
        <v>932</v>
      </c>
      <c r="I80" s="870"/>
    </row>
    <row r="81" spans="1:9" s="919" customFormat="1" ht="15" customHeight="1">
      <c r="A81" s="861">
        <f t="shared" ref="A81:A88" si="5">+A80+1</f>
        <v>40</v>
      </c>
      <c r="B81" s="920"/>
      <c r="C81" s="921"/>
      <c r="D81" s="922"/>
      <c r="E81" s="921"/>
      <c r="F81" s="922"/>
      <c r="G81" s="922"/>
      <c r="H81" s="878"/>
      <c r="I81" s="870"/>
    </row>
    <row r="82" spans="1:9" s="919" customFormat="1" ht="15" customHeight="1">
      <c r="A82" s="861">
        <f t="shared" si="5"/>
        <v>41</v>
      </c>
      <c r="B82" s="920"/>
      <c r="C82" s="921"/>
      <c r="D82" s="922"/>
      <c r="E82" s="922"/>
      <c r="F82" s="922"/>
      <c r="G82" s="922"/>
      <c r="H82" s="878"/>
      <c r="I82" s="870"/>
    </row>
    <row r="83" spans="1:9" s="919" customFormat="1" ht="15" customHeight="1">
      <c r="A83" s="861">
        <f t="shared" si="5"/>
        <v>42</v>
      </c>
      <c r="B83" s="920"/>
      <c r="C83" s="921"/>
      <c r="D83" s="922"/>
      <c r="E83" s="922"/>
      <c r="F83" s="922"/>
      <c r="G83" s="922"/>
      <c r="H83" s="878"/>
      <c r="I83" s="870"/>
    </row>
    <row r="84" spans="1:9" s="919" customFormat="1" ht="15" customHeight="1">
      <c r="A84" s="861">
        <f t="shared" si="5"/>
        <v>43</v>
      </c>
      <c r="B84" s="879"/>
      <c r="C84" s="921"/>
      <c r="D84" s="877"/>
      <c r="E84" s="877"/>
      <c r="F84" s="877"/>
      <c r="G84" s="877"/>
      <c r="H84" s="878"/>
      <c r="I84" s="870"/>
    </row>
    <row r="85" spans="1:9" s="919" customFormat="1" ht="15" customHeight="1">
      <c r="A85" s="861">
        <f t="shared" si="5"/>
        <v>44</v>
      </c>
      <c r="B85" s="883" t="s">
        <v>850</v>
      </c>
      <c r="C85" s="881">
        <f>SUBTOTAL(9,C79:C84)</f>
        <v>-608940.78352524666</v>
      </c>
      <c r="D85" s="881">
        <f>SUM(D79:D84)</f>
        <v>0</v>
      </c>
      <c r="E85" s="881">
        <f>SUM(E79:E84)</f>
        <v>-608940.78352524666</v>
      </c>
      <c r="F85" s="881">
        <f>SUM(F79:F84)</f>
        <v>0</v>
      </c>
      <c r="G85" s="881">
        <f>SUM(G79:G84)</f>
        <v>0</v>
      </c>
      <c r="H85" s="926"/>
      <c r="I85" s="870"/>
    </row>
    <row r="86" spans="1:9" s="919" customFormat="1" ht="15" customHeight="1">
      <c r="A86" s="861">
        <f t="shared" si="5"/>
        <v>45</v>
      </c>
      <c r="B86" s="880" t="s">
        <v>811</v>
      </c>
      <c r="C86" s="944"/>
      <c r="D86" s="945"/>
      <c r="E86" s="949"/>
      <c r="F86" s="945"/>
      <c r="G86" s="947">
        <f>+'Attachment H-29A'!$I$197</f>
        <v>1</v>
      </c>
      <c r="H86" s="871"/>
      <c r="I86" s="870"/>
    </row>
    <row r="87" spans="1:9" s="919" customFormat="1" ht="15" customHeight="1">
      <c r="A87" s="861">
        <f t="shared" si="5"/>
        <v>46</v>
      </c>
      <c r="B87" s="943" t="s">
        <v>812</v>
      </c>
      <c r="C87" s="940"/>
      <c r="D87" s="928"/>
      <c r="E87" s="950"/>
      <c r="F87" s="937">
        <f>+'Attachment H-29A'!$G$83</f>
        <v>1</v>
      </c>
      <c r="G87" s="949"/>
      <c r="H87" s="871"/>
      <c r="I87" s="870"/>
    </row>
    <row r="88" spans="1:9" s="919" customFormat="1" ht="15" customHeight="1" thickBot="1">
      <c r="A88" s="861">
        <f t="shared" si="5"/>
        <v>47</v>
      </c>
      <c r="B88" s="948" t="s">
        <v>873</v>
      </c>
      <c r="C88" s="941">
        <f>+SUM(E88:G88)</f>
        <v>-608940.78352524666</v>
      </c>
      <c r="D88" s="951"/>
      <c r="E88" s="936">
        <f>+E85</f>
        <v>-608940.78352524666</v>
      </c>
      <c r="F88" s="942">
        <f>+F85*F87</f>
        <v>0</v>
      </c>
      <c r="G88" s="942">
        <f>+G85*G86</f>
        <v>0</v>
      </c>
      <c r="H88" s="871"/>
      <c r="I88" s="870"/>
    </row>
    <row r="89" spans="1:9" ht="15" customHeight="1" thickTop="1">
      <c r="B89" s="914"/>
      <c r="C89" s="914"/>
      <c r="D89" s="914"/>
      <c r="E89" s="914"/>
      <c r="F89" s="914"/>
      <c r="G89" s="914"/>
      <c r="H89" s="914"/>
      <c r="I89" s="863"/>
    </row>
    <row r="90" spans="1:9" ht="15" customHeight="1">
      <c r="B90" s="1023"/>
      <c r="C90" s="1023"/>
      <c r="D90" s="1023"/>
      <c r="E90" s="1023"/>
      <c r="F90" s="1023"/>
      <c r="G90" s="1023"/>
      <c r="H90" s="1023"/>
      <c r="I90" s="886"/>
    </row>
    <row r="91" spans="1:9" ht="15" customHeight="1">
      <c r="B91" s="874"/>
      <c r="C91" s="874"/>
      <c r="D91" s="874"/>
      <c r="E91" s="874"/>
      <c r="F91" s="874"/>
      <c r="G91" s="874"/>
      <c r="H91" s="874"/>
      <c r="I91" s="863"/>
    </row>
    <row r="92" spans="1:9" ht="15" customHeight="1">
      <c r="B92" s="874"/>
      <c r="C92" s="874"/>
      <c r="D92" s="874"/>
      <c r="E92" s="874"/>
      <c r="F92" s="874"/>
      <c r="G92" s="874"/>
      <c r="H92" s="874"/>
      <c r="I92" s="863"/>
    </row>
    <row r="93" spans="1:9" ht="15" customHeight="1">
      <c r="B93" s="874"/>
      <c r="C93" s="874"/>
      <c r="D93" s="874"/>
      <c r="E93" s="874"/>
      <c r="F93" s="874"/>
      <c r="G93" s="874"/>
      <c r="H93" s="874"/>
      <c r="I93" s="863"/>
    </row>
    <row r="94" spans="1:9" ht="15" customHeight="1">
      <c r="B94" s="874"/>
      <c r="C94" s="874"/>
      <c r="D94" s="915"/>
      <c r="E94" s="915"/>
      <c r="F94" s="915"/>
      <c r="G94" s="915"/>
      <c r="H94" s="915"/>
      <c r="I94" s="887"/>
    </row>
    <row r="95" spans="1:9" ht="15" customHeight="1">
      <c r="B95" s="874"/>
      <c r="C95" s="874"/>
      <c r="D95" s="915"/>
      <c r="E95" s="915"/>
      <c r="F95" s="915"/>
      <c r="G95" s="915"/>
      <c r="H95" s="915"/>
      <c r="I95" s="887"/>
    </row>
    <row r="96" spans="1:9" ht="15" customHeight="1">
      <c r="B96" s="916"/>
      <c r="C96" s="874"/>
      <c r="D96" s="917"/>
      <c r="E96" s="917"/>
      <c r="F96" s="874"/>
      <c r="G96" s="874"/>
      <c r="H96" s="874"/>
      <c r="I96" s="863"/>
    </row>
    <row r="97" spans="2:9" ht="15" customHeight="1">
      <c r="B97" s="916"/>
      <c r="C97" s="874"/>
      <c r="D97" s="918"/>
      <c r="E97" s="918"/>
      <c r="F97" s="874"/>
      <c r="G97" s="874"/>
      <c r="H97" s="874"/>
      <c r="I97" s="863"/>
    </row>
    <row r="98" spans="2:9" ht="15" customHeight="1">
      <c r="B98" s="916"/>
      <c r="C98" s="874"/>
      <c r="D98" s="918"/>
      <c r="E98" s="918"/>
      <c r="F98" s="874"/>
      <c r="G98" s="874"/>
      <c r="H98" s="874"/>
      <c r="I98" s="863"/>
    </row>
    <row r="99" spans="2:9" ht="15" customHeight="1">
      <c r="B99" s="916"/>
      <c r="C99" s="874"/>
      <c r="D99" s="918"/>
      <c r="E99" s="918"/>
      <c r="F99" s="874"/>
      <c r="G99" s="874"/>
      <c r="H99" s="874"/>
      <c r="I99" s="863"/>
    </row>
    <row r="100" spans="2:9" ht="15" customHeight="1">
      <c r="B100" s="916"/>
      <c r="C100" s="874"/>
      <c r="D100" s="918"/>
      <c r="E100" s="918"/>
      <c r="F100" s="874"/>
      <c r="G100" s="874"/>
      <c r="H100" s="874"/>
      <c r="I100" s="863"/>
    </row>
    <row r="101" spans="2:9" ht="15" customHeight="1">
      <c r="B101" s="916"/>
      <c r="C101" s="874"/>
      <c r="D101" s="918"/>
      <c r="E101" s="918"/>
      <c r="F101" s="874"/>
      <c r="G101" s="874"/>
      <c r="H101" s="874"/>
      <c r="I101" s="863"/>
    </row>
    <row r="102" spans="2:9" ht="15" customHeight="1">
      <c r="B102" s="916"/>
      <c r="C102" s="874"/>
      <c r="D102" s="918"/>
      <c r="E102" s="918"/>
      <c r="F102" s="874"/>
      <c r="G102" s="874"/>
      <c r="H102" s="874"/>
      <c r="I102" s="863"/>
    </row>
    <row r="103" spans="2:9" ht="15" customHeight="1">
      <c r="B103" s="916"/>
      <c r="C103" s="874"/>
      <c r="D103" s="918"/>
      <c r="E103" s="918"/>
      <c r="F103" s="874"/>
      <c r="G103" s="874"/>
      <c r="H103" s="874"/>
      <c r="I103" s="863"/>
    </row>
    <row r="104" spans="2:9" ht="15" customHeight="1">
      <c r="B104" s="916"/>
      <c r="C104" s="874"/>
      <c r="D104" s="918"/>
      <c r="E104" s="918"/>
      <c r="F104" s="874"/>
      <c r="G104" s="874"/>
      <c r="H104" s="874"/>
      <c r="I104" s="863"/>
    </row>
    <row r="105" spans="2:9" ht="15" customHeight="1">
      <c r="B105" s="916"/>
      <c r="C105" s="874"/>
      <c r="D105" s="918"/>
      <c r="E105" s="918"/>
      <c r="F105" s="874"/>
      <c r="G105" s="874"/>
      <c r="H105" s="874"/>
      <c r="I105" s="863"/>
    </row>
    <row r="106" spans="2:9" ht="15" customHeight="1">
      <c r="B106" s="916"/>
      <c r="C106" s="874"/>
      <c r="D106" s="918"/>
      <c r="E106" s="918"/>
      <c r="F106" s="874"/>
      <c r="G106" s="874"/>
      <c r="H106" s="874"/>
      <c r="I106" s="863"/>
    </row>
    <row r="107" spans="2:9" ht="15" customHeight="1">
      <c r="B107" s="874"/>
      <c r="C107" s="874"/>
      <c r="D107" s="918"/>
      <c r="E107" s="918"/>
      <c r="F107" s="874"/>
      <c r="G107" s="874"/>
      <c r="H107" s="874"/>
      <c r="I107" s="863"/>
    </row>
    <row r="108" spans="2:9" ht="15" customHeight="1">
      <c r="B108" s="916"/>
      <c r="C108" s="874"/>
      <c r="D108" s="918"/>
      <c r="E108" s="918"/>
      <c r="F108" s="874"/>
      <c r="G108" s="874"/>
      <c r="H108" s="874"/>
      <c r="I108" s="863"/>
    </row>
    <row r="109" spans="2:9" ht="15" customHeight="1">
      <c r="B109" s="874"/>
      <c r="C109" s="874"/>
      <c r="D109" s="918"/>
      <c r="E109" s="918"/>
      <c r="F109" s="874"/>
      <c r="G109" s="874"/>
      <c r="H109" s="874"/>
      <c r="I109" s="863"/>
    </row>
    <row r="110" spans="2:9" ht="15" customHeight="1">
      <c r="B110" s="916"/>
      <c r="C110" s="874"/>
      <c r="D110" s="874"/>
      <c r="E110" s="874"/>
      <c r="F110" s="874"/>
      <c r="G110" s="874"/>
      <c r="H110" s="874"/>
      <c r="I110" s="863"/>
    </row>
    <row r="111" spans="2:9" ht="15" customHeight="1">
      <c r="B111" s="916"/>
      <c r="C111" s="874"/>
      <c r="D111" s="874"/>
      <c r="E111" s="874"/>
      <c r="F111" s="874"/>
      <c r="G111" s="874"/>
      <c r="H111" s="874"/>
    </row>
    <row r="112" spans="2:9" ht="15" customHeight="1">
      <c r="B112" s="916"/>
      <c r="C112" s="874"/>
      <c r="D112" s="874"/>
      <c r="E112" s="874"/>
      <c r="F112" s="874"/>
      <c r="G112" s="874"/>
      <c r="H112" s="874"/>
    </row>
    <row r="113" spans="2:8" ht="15" customHeight="1">
      <c r="B113" s="916"/>
      <c r="C113" s="874"/>
      <c r="D113" s="874"/>
      <c r="E113" s="874"/>
      <c r="F113" s="874"/>
      <c r="G113" s="874"/>
      <c r="H113" s="874"/>
    </row>
    <row r="114" spans="2:8" ht="15" customHeight="1">
      <c r="B114" s="916"/>
      <c r="C114" s="874"/>
      <c r="D114" s="874"/>
      <c r="E114" s="874"/>
      <c r="F114" s="874"/>
      <c r="G114" s="874"/>
      <c r="H114" s="874"/>
    </row>
    <row r="115" spans="2:8" ht="15" customHeight="1">
      <c r="B115" s="916"/>
      <c r="C115" s="874"/>
      <c r="D115" s="874"/>
      <c r="E115" s="874"/>
      <c r="F115" s="874"/>
      <c r="G115" s="874"/>
      <c r="H115" s="874"/>
    </row>
    <row r="116" spans="2:8" ht="15" customHeight="1">
      <c r="B116" s="916"/>
      <c r="C116" s="874"/>
      <c r="D116" s="874"/>
      <c r="E116" s="874"/>
      <c r="F116" s="874"/>
      <c r="G116" s="874"/>
      <c r="H116" s="874"/>
    </row>
    <row r="117" spans="2:8" ht="15" customHeight="1">
      <c r="B117" s="916"/>
      <c r="C117" s="874"/>
      <c r="D117" s="874"/>
      <c r="E117" s="874"/>
      <c r="F117" s="874"/>
      <c r="G117" s="874"/>
      <c r="H117" s="874"/>
    </row>
    <row r="118" spans="2:8" ht="15" customHeight="1">
      <c r="B118" s="916"/>
      <c r="C118" s="874"/>
      <c r="D118" s="874"/>
      <c r="E118" s="874"/>
      <c r="F118" s="874"/>
      <c r="G118" s="874"/>
      <c r="H118" s="874"/>
    </row>
    <row r="119" spans="2:8" ht="15" customHeight="1">
      <c r="B119" s="916"/>
      <c r="C119" s="874"/>
      <c r="D119" s="874"/>
      <c r="E119" s="874"/>
      <c r="F119" s="874"/>
      <c r="G119" s="874"/>
      <c r="H119" s="874"/>
    </row>
    <row r="120" spans="2:8" ht="15" customHeight="1">
      <c r="B120" s="916"/>
      <c r="C120" s="874"/>
      <c r="D120" s="874"/>
      <c r="E120" s="874"/>
      <c r="F120" s="874"/>
      <c r="G120" s="874"/>
      <c r="H120" s="874"/>
    </row>
    <row r="121" spans="2:8" ht="15" customHeight="1">
      <c r="B121" s="916"/>
      <c r="C121" s="874"/>
      <c r="D121" s="874"/>
      <c r="E121" s="874"/>
      <c r="F121" s="874"/>
      <c r="G121" s="874"/>
      <c r="H121" s="874"/>
    </row>
    <row r="122" spans="2:8" ht="15" customHeight="1">
      <c r="B122" s="916"/>
      <c r="C122" s="874"/>
      <c r="D122" s="874"/>
      <c r="E122" s="874"/>
      <c r="F122" s="874"/>
      <c r="G122" s="874"/>
      <c r="H122" s="874"/>
    </row>
    <row r="123" spans="2:8" ht="15" customHeight="1">
      <c r="B123" s="916"/>
      <c r="C123" s="874"/>
      <c r="D123" s="874"/>
      <c r="E123" s="874"/>
      <c r="F123" s="874"/>
      <c r="G123" s="874"/>
      <c r="H123" s="874"/>
    </row>
    <row r="124" spans="2:8" ht="15" customHeight="1">
      <c r="B124" s="916"/>
      <c r="C124" s="874"/>
      <c r="D124" s="874"/>
      <c r="E124" s="874"/>
      <c r="F124" s="874"/>
      <c r="G124" s="874"/>
      <c r="H124" s="874"/>
    </row>
    <row r="125" spans="2:8" ht="15" customHeight="1">
      <c r="B125" s="916"/>
      <c r="C125" s="874"/>
      <c r="D125" s="874"/>
      <c r="E125" s="874"/>
      <c r="F125" s="874"/>
      <c r="G125" s="874"/>
      <c r="H125" s="874"/>
    </row>
    <row r="126" spans="2:8" ht="15" customHeight="1">
      <c r="B126" s="916"/>
      <c r="C126" s="874"/>
      <c r="D126" s="874"/>
      <c r="E126" s="874"/>
      <c r="F126" s="874"/>
      <c r="G126" s="874"/>
      <c r="H126" s="874"/>
    </row>
    <row r="127" spans="2:8" ht="15" customHeight="1">
      <c r="B127" s="916"/>
      <c r="C127" s="874"/>
      <c r="D127" s="874"/>
      <c r="E127" s="874"/>
      <c r="F127" s="874"/>
      <c r="G127" s="874"/>
      <c r="H127" s="874"/>
    </row>
    <row r="128" spans="2:8" ht="15" customHeight="1">
      <c r="B128" s="916"/>
      <c r="C128" s="874"/>
      <c r="D128" s="874"/>
      <c r="E128" s="874"/>
      <c r="F128" s="874"/>
      <c r="G128" s="874"/>
      <c r="H128" s="874"/>
    </row>
    <row r="129" spans="2:8" ht="15" customHeight="1">
      <c r="B129" s="916"/>
      <c r="C129" s="874"/>
      <c r="D129" s="874"/>
      <c r="E129" s="874"/>
      <c r="F129" s="874"/>
      <c r="G129" s="874"/>
      <c r="H129" s="874"/>
    </row>
    <row r="130" spans="2:8" ht="15" customHeight="1">
      <c r="B130" s="916"/>
      <c r="C130" s="874"/>
      <c r="D130" s="874"/>
      <c r="E130" s="874"/>
      <c r="F130" s="874"/>
      <c r="G130" s="874"/>
      <c r="H130" s="874"/>
    </row>
    <row r="131" spans="2:8" ht="15" customHeight="1">
      <c r="B131" s="916"/>
      <c r="C131" s="874"/>
      <c r="D131" s="874"/>
      <c r="E131" s="874"/>
      <c r="F131" s="874"/>
      <c r="G131" s="874"/>
      <c r="H131" s="874"/>
    </row>
    <row r="132" spans="2:8" ht="15" customHeight="1">
      <c r="B132" s="916"/>
      <c r="C132" s="874"/>
      <c r="D132" s="874"/>
      <c r="E132" s="874"/>
      <c r="F132" s="874"/>
      <c r="G132" s="874"/>
      <c r="H132" s="874"/>
    </row>
    <row r="133" spans="2:8" ht="15" customHeight="1">
      <c r="B133" s="916"/>
      <c r="C133" s="874"/>
      <c r="D133" s="874"/>
      <c r="E133" s="874"/>
      <c r="F133" s="874"/>
      <c r="G133" s="874"/>
      <c r="H133" s="874"/>
    </row>
    <row r="134" spans="2:8" ht="15" customHeight="1">
      <c r="B134" s="916"/>
      <c r="C134" s="874"/>
      <c r="D134" s="874"/>
      <c r="E134" s="874"/>
      <c r="F134" s="874"/>
      <c r="G134" s="874"/>
      <c r="H134" s="874"/>
    </row>
    <row r="135" spans="2:8" ht="15" customHeight="1">
      <c r="B135" s="916"/>
      <c r="C135" s="874"/>
      <c r="D135" s="874"/>
      <c r="E135" s="874"/>
      <c r="F135" s="874"/>
      <c r="G135" s="874"/>
      <c r="H135" s="874"/>
    </row>
    <row r="136" spans="2:8" ht="15" customHeight="1">
      <c r="B136" s="916"/>
      <c r="C136" s="874"/>
      <c r="D136" s="874"/>
      <c r="E136" s="874"/>
      <c r="F136" s="874"/>
      <c r="G136" s="874"/>
      <c r="H136" s="874"/>
    </row>
    <row r="137" spans="2:8" ht="15" customHeight="1">
      <c r="B137" s="916"/>
      <c r="C137" s="874"/>
      <c r="D137" s="874"/>
      <c r="E137" s="874"/>
      <c r="F137" s="874"/>
      <c r="G137" s="874"/>
      <c r="H137" s="874"/>
    </row>
    <row r="138" spans="2:8" ht="15" customHeight="1">
      <c r="B138" s="916"/>
      <c r="C138" s="874"/>
      <c r="D138" s="874"/>
      <c r="E138" s="874"/>
      <c r="F138" s="874"/>
      <c r="G138" s="874"/>
      <c r="H138" s="874"/>
    </row>
    <row r="139" spans="2:8" ht="15" customHeight="1">
      <c r="B139" s="916"/>
      <c r="C139" s="874"/>
      <c r="D139" s="874"/>
      <c r="E139" s="874"/>
      <c r="F139" s="874"/>
      <c r="G139" s="874"/>
      <c r="H139" s="874"/>
    </row>
    <row r="140" spans="2:8" ht="15" customHeight="1">
      <c r="B140" s="916"/>
      <c r="C140" s="874"/>
      <c r="D140" s="874"/>
      <c r="E140" s="874"/>
      <c r="F140" s="874"/>
      <c r="G140" s="874"/>
      <c r="H140" s="874"/>
    </row>
    <row r="141" spans="2:8" ht="15" customHeight="1">
      <c r="B141" s="916"/>
      <c r="C141" s="874"/>
      <c r="D141" s="874"/>
      <c r="E141" s="874"/>
      <c r="F141" s="874"/>
      <c r="G141" s="874"/>
      <c r="H141" s="874"/>
    </row>
    <row r="142" spans="2:8" ht="15" customHeight="1">
      <c r="B142" s="916"/>
      <c r="C142" s="874"/>
      <c r="D142" s="874"/>
      <c r="E142" s="874"/>
      <c r="F142" s="874"/>
      <c r="G142" s="874"/>
      <c r="H142" s="874"/>
    </row>
    <row r="143" spans="2:8" ht="15" customHeight="1">
      <c r="B143" s="916"/>
      <c r="C143" s="874"/>
      <c r="D143" s="874"/>
      <c r="E143" s="874"/>
      <c r="F143" s="874"/>
      <c r="G143" s="874"/>
      <c r="H143" s="874"/>
    </row>
    <row r="144" spans="2:8" ht="15" customHeight="1">
      <c r="B144" s="916"/>
      <c r="C144" s="874"/>
      <c r="D144" s="874"/>
      <c r="E144" s="874"/>
      <c r="F144" s="874"/>
      <c r="G144" s="874"/>
      <c r="H144" s="874"/>
    </row>
    <row r="145" spans="2:8" ht="15" customHeight="1">
      <c r="B145" s="916"/>
      <c r="C145" s="874"/>
      <c r="D145" s="874"/>
      <c r="E145" s="874"/>
      <c r="F145" s="874"/>
      <c r="G145" s="874"/>
      <c r="H145" s="874"/>
    </row>
    <row r="146" spans="2:8" ht="15" customHeight="1">
      <c r="B146" s="916"/>
      <c r="C146" s="874"/>
      <c r="D146" s="874"/>
      <c r="E146" s="874"/>
      <c r="F146" s="874"/>
      <c r="G146" s="874"/>
      <c r="H146" s="874"/>
    </row>
    <row r="147" spans="2:8" ht="15" customHeight="1">
      <c r="B147" s="916"/>
      <c r="C147" s="874"/>
      <c r="D147" s="874"/>
      <c r="E147" s="874"/>
      <c r="F147" s="874"/>
      <c r="G147" s="874"/>
      <c r="H147" s="874"/>
    </row>
    <row r="148" spans="2:8" ht="15" customHeight="1">
      <c r="B148" s="916"/>
      <c r="C148" s="874"/>
      <c r="D148" s="874"/>
      <c r="E148" s="874"/>
      <c r="F148" s="874"/>
      <c r="G148" s="874"/>
      <c r="H148" s="874"/>
    </row>
    <row r="149" spans="2:8" ht="15" customHeight="1">
      <c r="B149" s="916"/>
      <c r="C149" s="874"/>
      <c r="D149" s="874"/>
      <c r="E149" s="874"/>
      <c r="F149" s="874"/>
      <c r="G149" s="874"/>
      <c r="H149" s="874"/>
    </row>
    <row r="150" spans="2:8" ht="15" customHeight="1">
      <c r="B150" s="916"/>
      <c r="C150" s="874"/>
      <c r="D150" s="874"/>
      <c r="E150" s="874"/>
      <c r="F150" s="874"/>
      <c r="G150" s="874"/>
      <c r="H150" s="874"/>
    </row>
    <row r="151" spans="2:8" ht="15" customHeight="1">
      <c r="B151" s="916"/>
      <c r="C151" s="874"/>
      <c r="D151" s="874"/>
      <c r="E151" s="874"/>
      <c r="F151" s="874"/>
      <c r="G151" s="874"/>
      <c r="H151" s="874"/>
    </row>
    <row r="152" spans="2:8" ht="15" customHeight="1">
      <c r="B152" s="916"/>
      <c r="C152" s="874"/>
      <c r="D152" s="874"/>
      <c r="E152" s="874"/>
      <c r="F152" s="874"/>
      <c r="G152" s="874"/>
      <c r="H152" s="874"/>
    </row>
    <row r="153" spans="2:8" ht="15" customHeight="1">
      <c r="B153" s="916"/>
      <c r="C153" s="874"/>
      <c r="D153" s="874"/>
      <c r="E153" s="874"/>
      <c r="F153" s="874"/>
      <c r="G153" s="874"/>
      <c r="H153" s="874"/>
    </row>
    <row r="154" spans="2:8" ht="15" customHeight="1">
      <c r="B154" s="916"/>
      <c r="C154" s="874"/>
      <c r="D154" s="874"/>
      <c r="E154" s="874"/>
      <c r="F154" s="874"/>
      <c r="G154" s="874"/>
      <c r="H154" s="874"/>
    </row>
    <row r="155" spans="2:8" ht="15" customHeight="1">
      <c r="B155" s="916"/>
      <c r="C155" s="874"/>
      <c r="D155" s="874"/>
      <c r="E155" s="874"/>
      <c r="F155" s="874"/>
      <c r="G155" s="874"/>
      <c r="H155" s="874"/>
    </row>
    <row r="156" spans="2:8" ht="15" customHeight="1">
      <c r="B156" s="916"/>
      <c r="C156" s="874"/>
      <c r="D156" s="874"/>
      <c r="E156" s="874"/>
      <c r="F156" s="874"/>
      <c r="G156" s="874"/>
      <c r="H156" s="874"/>
    </row>
    <row r="157" spans="2:8" ht="15" customHeight="1">
      <c r="B157" s="916"/>
      <c r="C157" s="874"/>
      <c r="D157" s="874"/>
      <c r="E157" s="874"/>
      <c r="F157" s="874"/>
      <c r="G157" s="874"/>
      <c r="H157" s="874"/>
    </row>
    <row r="158" spans="2:8" ht="15" customHeight="1">
      <c r="B158" s="916"/>
      <c r="C158" s="874"/>
      <c r="D158" s="874"/>
      <c r="E158" s="874"/>
      <c r="F158" s="874"/>
      <c r="G158" s="874"/>
      <c r="H158" s="874"/>
    </row>
    <row r="159" spans="2:8" ht="15" customHeight="1">
      <c r="B159" s="916"/>
      <c r="C159" s="874"/>
      <c r="D159" s="874"/>
      <c r="E159" s="874"/>
      <c r="F159" s="874"/>
      <c r="G159" s="874"/>
      <c r="H159" s="874"/>
    </row>
    <row r="160" spans="2:8" ht="15" customHeight="1">
      <c r="B160" s="916"/>
      <c r="C160" s="874"/>
      <c r="D160" s="874"/>
      <c r="E160" s="874"/>
      <c r="F160" s="874"/>
      <c r="G160" s="874"/>
      <c r="H160" s="874"/>
    </row>
    <row r="161" spans="2:8" ht="15" customHeight="1">
      <c r="B161" s="916"/>
      <c r="C161" s="874"/>
      <c r="D161" s="874"/>
      <c r="E161" s="874"/>
      <c r="F161" s="874"/>
      <c r="G161" s="874"/>
      <c r="H161" s="874"/>
    </row>
    <row r="162" spans="2:8" ht="15" customHeight="1">
      <c r="B162" s="916"/>
      <c r="C162" s="874"/>
      <c r="D162" s="874"/>
      <c r="E162" s="874"/>
      <c r="F162" s="874"/>
      <c r="G162" s="874"/>
      <c r="H162" s="874"/>
    </row>
    <row r="163" spans="2:8" ht="15" customHeight="1">
      <c r="B163" s="916"/>
      <c r="C163" s="874"/>
      <c r="D163" s="874"/>
      <c r="E163" s="874"/>
      <c r="F163" s="874"/>
      <c r="G163" s="874"/>
      <c r="H163" s="874"/>
    </row>
    <row r="164" spans="2:8" ht="15" customHeight="1">
      <c r="B164" s="916"/>
      <c r="C164" s="874"/>
      <c r="D164" s="874"/>
      <c r="E164" s="874"/>
      <c r="F164" s="874"/>
      <c r="G164" s="874"/>
      <c r="H164" s="874"/>
    </row>
    <row r="165" spans="2:8" ht="15" customHeight="1">
      <c r="B165" s="916"/>
      <c r="C165" s="874"/>
      <c r="D165" s="874"/>
      <c r="E165" s="874"/>
      <c r="F165" s="874"/>
      <c r="G165" s="874"/>
      <c r="H165" s="874"/>
    </row>
    <row r="166" spans="2:8" ht="15" customHeight="1">
      <c r="B166" s="916"/>
      <c r="C166" s="874"/>
      <c r="D166" s="874"/>
      <c r="E166" s="874"/>
      <c r="F166" s="874"/>
      <c r="G166" s="874"/>
      <c r="H166" s="874"/>
    </row>
    <row r="167" spans="2:8" ht="15" customHeight="1">
      <c r="B167" s="916"/>
      <c r="C167" s="874"/>
      <c r="D167" s="874"/>
      <c r="E167" s="874"/>
      <c r="F167" s="874"/>
      <c r="G167" s="874"/>
      <c r="H167" s="874"/>
    </row>
    <row r="168" spans="2:8" ht="15" customHeight="1">
      <c r="B168" s="916"/>
      <c r="C168" s="874"/>
      <c r="D168" s="874"/>
      <c r="E168" s="874"/>
      <c r="F168" s="874"/>
      <c r="G168" s="874"/>
      <c r="H168" s="874"/>
    </row>
    <row r="169" spans="2:8" ht="15" customHeight="1">
      <c r="B169" s="916"/>
      <c r="C169" s="874"/>
      <c r="D169" s="874"/>
      <c r="E169" s="874"/>
      <c r="F169" s="874"/>
      <c r="G169" s="874"/>
      <c r="H169" s="874"/>
    </row>
    <row r="170" spans="2:8" ht="15" customHeight="1">
      <c r="B170" s="916"/>
      <c r="C170" s="874"/>
      <c r="D170" s="874"/>
      <c r="E170" s="874"/>
      <c r="F170" s="874"/>
      <c r="G170" s="874"/>
      <c r="H170" s="874"/>
    </row>
    <row r="171" spans="2:8" ht="15" customHeight="1">
      <c r="B171" s="916"/>
      <c r="C171" s="874"/>
      <c r="D171" s="874"/>
      <c r="E171" s="874"/>
      <c r="F171" s="874"/>
      <c r="G171" s="874"/>
      <c r="H171" s="874"/>
    </row>
    <row r="172" spans="2:8" ht="15" customHeight="1">
      <c r="B172" s="916"/>
      <c r="C172" s="874"/>
      <c r="D172" s="874"/>
      <c r="E172" s="874"/>
      <c r="F172" s="874"/>
      <c r="G172" s="874"/>
      <c r="H172" s="874"/>
    </row>
    <row r="173" spans="2:8" ht="15" customHeight="1">
      <c r="B173" s="916"/>
      <c r="C173" s="874"/>
      <c r="D173" s="874"/>
      <c r="E173" s="874"/>
      <c r="F173" s="874"/>
      <c r="G173" s="874"/>
      <c r="H173" s="874"/>
    </row>
    <row r="174" spans="2:8" ht="15" customHeight="1">
      <c r="B174" s="916"/>
      <c r="C174" s="874"/>
      <c r="D174" s="874"/>
      <c r="E174" s="874"/>
      <c r="F174" s="874"/>
      <c r="G174" s="874"/>
      <c r="H174" s="874"/>
    </row>
    <row r="175" spans="2:8" ht="15" customHeight="1">
      <c r="B175" s="916"/>
      <c r="C175" s="874"/>
      <c r="D175" s="874"/>
      <c r="E175" s="874"/>
      <c r="F175" s="874"/>
      <c r="G175" s="874"/>
      <c r="H175" s="874"/>
    </row>
    <row r="176" spans="2:8" ht="15" customHeight="1">
      <c r="B176" s="916"/>
      <c r="C176" s="874"/>
      <c r="D176" s="874"/>
      <c r="E176" s="874"/>
      <c r="F176" s="874"/>
      <c r="G176" s="874"/>
      <c r="H176" s="874"/>
    </row>
    <row r="177" spans="2:8" ht="15" customHeight="1">
      <c r="B177" s="916"/>
      <c r="C177" s="874"/>
      <c r="D177" s="874"/>
      <c r="E177" s="874"/>
      <c r="F177" s="874"/>
      <c r="G177" s="874"/>
      <c r="H177" s="874"/>
    </row>
    <row r="178" spans="2:8" ht="15" customHeight="1">
      <c r="B178" s="916"/>
      <c r="C178" s="874"/>
      <c r="D178" s="874"/>
      <c r="E178" s="874"/>
      <c r="F178" s="874"/>
      <c r="G178" s="874"/>
      <c r="H178" s="874"/>
    </row>
    <row r="179" spans="2:8" ht="15" customHeight="1">
      <c r="B179" s="916"/>
      <c r="C179" s="874"/>
      <c r="D179" s="874"/>
      <c r="E179" s="874"/>
      <c r="F179" s="874"/>
      <c r="G179" s="874"/>
      <c r="H179" s="874"/>
    </row>
    <row r="180" spans="2:8" ht="15" customHeight="1">
      <c r="B180" s="916"/>
      <c r="C180" s="874"/>
      <c r="D180" s="874"/>
      <c r="E180" s="874"/>
      <c r="F180" s="874"/>
      <c r="G180" s="874"/>
      <c r="H180" s="874"/>
    </row>
    <row r="181" spans="2:8" ht="15" customHeight="1">
      <c r="B181" s="916"/>
      <c r="C181" s="874"/>
      <c r="D181" s="874"/>
      <c r="E181" s="874"/>
      <c r="F181" s="874"/>
      <c r="G181" s="874"/>
      <c r="H181" s="874"/>
    </row>
    <row r="182" spans="2:8" ht="15" customHeight="1">
      <c r="B182" s="916"/>
      <c r="C182" s="874"/>
      <c r="D182" s="874"/>
      <c r="E182" s="874"/>
      <c r="F182" s="874"/>
      <c r="G182" s="874"/>
      <c r="H182" s="874"/>
    </row>
    <row r="183" spans="2:8" ht="15" customHeight="1">
      <c r="B183" s="916"/>
      <c r="C183" s="874"/>
      <c r="D183" s="874"/>
      <c r="E183" s="874"/>
      <c r="F183" s="874"/>
      <c r="G183" s="874"/>
      <c r="H183" s="874"/>
    </row>
    <row r="184" spans="2:8" ht="15" customHeight="1">
      <c r="B184" s="916"/>
      <c r="C184" s="874"/>
      <c r="D184" s="874"/>
      <c r="E184" s="874"/>
      <c r="F184" s="874"/>
      <c r="G184" s="874"/>
      <c r="H184" s="874"/>
    </row>
    <row r="185" spans="2:8" ht="15" customHeight="1">
      <c r="B185" s="916"/>
      <c r="C185" s="874"/>
      <c r="D185" s="874"/>
      <c r="E185" s="874"/>
      <c r="F185" s="874"/>
      <c r="G185" s="874"/>
      <c r="H185" s="874"/>
    </row>
    <row r="186" spans="2:8" ht="15" customHeight="1">
      <c r="B186" s="916"/>
      <c r="C186" s="874"/>
      <c r="D186" s="874"/>
      <c r="E186" s="874"/>
      <c r="F186" s="874"/>
      <c r="G186" s="874"/>
      <c r="H186" s="874"/>
    </row>
    <row r="187" spans="2:8" ht="15" customHeight="1">
      <c r="B187" s="916"/>
      <c r="C187" s="874"/>
      <c r="D187" s="874"/>
      <c r="E187" s="874"/>
      <c r="F187" s="874"/>
      <c r="G187" s="874"/>
      <c r="H187" s="874"/>
    </row>
    <row r="188" spans="2:8" ht="15" customHeight="1">
      <c r="B188" s="916"/>
      <c r="C188" s="874"/>
      <c r="D188" s="874"/>
      <c r="E188" s="874"/>
      <c r="F188" s="874"/>
      <c r="G188" s="874"/>
      <c r="H188" s="874"/>
    </row>
    <row r="189" spans="2:8" ht="15" customHeight="1">
      <c r="B189" s="916"/>
      <c r="C189" s="874"/>
      <c r="D189" s="874"/>
      <c r="E189" s="874"/>
      <c r="F189" s="874"/>
      <c r="G189" s="874"/>
      <c r="H189" s="874"/>
    </row>
    <row r="190" spans="2:8" ht="15" customHeight="1">
      <c r="B190" s="916"/>
      <c r="C190" s="874"/>
      <c r="D190" s="874"/>
      <c r="E190" s="874"/>
      <c r="F190" s="874"/>
      <c r="G190" s="874"/>
      <c r="H190" s="874"/>
    </row>
    <row r="191" spans="2:8" ht="15" customHeight="1">
      <c r="B191" s="916"/>
      <c r="C191" s="874"/>
      <c r="D191" s="874"/>
      <c r="E191" s="874"/>
      <c r="F191" s="874"/>
      <c r="G191" s="874"/>
      <c r="H191" s="874"/>
    </row>
    <row r="192" spans="2:8" ht="15" customHeight="1">
      <c r="B192" s="916"/>
      <c r="C192" s="874"/>
      <c r="D192" s="874"/>
      <c r="E192" s="874"/>
      <c r="F192" s="874"/>
      <c r="G192" s="874"/>
      <c r="H192" s="874"/>
    </row>
    <row r="193" spans="2:8" ht="15" customHeight="1">
      <c r="B193" s="916"/>
      <c r="C193" s="874"/>
      <c r="D193" s="874"/>
      <c r="E193" s="874"/>
      <c r="F193" s="874"/>
      <c r="G193" s="874"/>
      <c r="H193" s="874"/>
    </row>
    <row r="194" spans="2:8" ht="15" customHeight="1">
      <c r="B194" s="916"/>
      <c r="C194" s="874"/>
      <c r="D194" s="874"/>
      <c r="E194" s="874"/>
      <c r="F194" s="874"/>
      <c r="G194" s="874"/>
      <c r="H194" s="874"/>
    </row>
    <row r="195" spans="2:8" ht="15" customHeight="1">
      <c r="B195" s="916"/>
      <c r="C195" s="874"/>
      <c r="D195" s="874"/>
      <c r="E195" s="874"/>
      <c r="F195" s="874"/>
      <c r="G195" s="874"/>
      <c r="H195" s="874"/>
    </row>
    <row r="196" spans="2:8" ht="15" customHeight="1">
      <c r="B196" s="916"/>
      <c r="C196" s="874"/>
      <c r="D196" s="874"/>
      <c r="E196" s="874"/>
      <c r="F196" s="874"/>
      <c r="G196" s="874"/>
      <c r="H196" s="874"/>
    </row>
    <row r="197" spans="2:8" ht="15" customHeight="1">
      <c r="B197" s="916"/>
      <c r="C197" s="874"/>
      <c r="D197" s="874"/>
      <c r="E197" s="874"/>
      <c r="F197" s="874"/>
      <c r="G197" s="874"/>
      <c r="H197" s="874"/>
    </row>
    <row r="198" spans="2:8" ht="15" customHeight="1">
      <c r="B198" s="916"/>
      <c r="C198" s="874"/>
      <c r="D198" s="874"/>
      <c r="E198" s="874"/>
      <c r="F198" s="874"/>
      <c r="G198" s="874"/>
      <c r="H198" s="874"/>
    </row>
    <row r="199" spans="2:8" ht="15" customHeight="1">
      <c r="B199" s="916"/>
      <c r="C199" s="874"/>
      <c r="D199" s="874"/>
      <c r="E199" s="874"/>
      <c r="F199" s="874"/>
      <c r="G199" s="874"/>
      <c r="H199" s="874"/>
    </row>
    <row r="200" spans="2:8" ht="15" customHeight="1">
      <c r="B200" s="916"/>
      <c r="C200" s="874"/>
      <c r="D200" s="874"/>
      <c r="E200" s="874"/>
      <c r="F200" s="874"/>
      <c r="G200" s="874"/>
      <c r="H200" s="874"/>
    </row>
    <row r="201" spans="2:8" ht="15" customHeight="1">
      <c r="B201" s="916"/>
      <c r="C201" s="874"/>
      <c r="D201" s="874"/>
      <c r="E201" s="874"/>
      <c r="F201" s="874"/>
      <c r="G201" s="874"/>
      <c r="H201" s="874"/>
    </row>
    <row r="202" spans="2:8" ht="15" customHeight="1">
      <c r="B202" s="916"/>
      <c r="C202" s="874"/>
      <c r="D202" s="874"/>
      <c r="E202" s="874"/>
      <c r="F202" s="874"/>
      <c r="G202" s="874"/>
      <c r="H202" s="874"/>
    </row>
    <row r="203" spans="2:8" ht="15" customHeight="1">
      <c r="B203" s="916"/>
      <c r="C203" s="874"/>
      <c r="D203" s="874"/>
      <c r="E203" s="874"/>
      <c r="F203" s="874"/>
      <c r="G203" s="874"/>
      <c r="H203" s="874"/>
    </row>
    <row r="204" spans="2:8" ht="15" customHeight="1">
      <c r="B204" s="916"/>
      <c r="C204" s="874"/>
      <c r="D204" s="874"/>
      <c r="E204" s="874"/>
      <c r="F204" s="874"/>
      <c r="G204" s="874"/>
      <c r="H204" s="874"/>
    </row>
    <row r="205" spans="2:8" ht="15" customHeight="1">
      <c r="B205" s="916"/>
      <c r="C205" s="874"/>
      <c r="D205" s="874"/>
      <c r="E205" s="874"/>
      <c r="F205" s="874"/>
      <c r="G205" s="874"/>
      <c r="H205" s="874"/>
    </row>
    <row r="206" spans="2:8" ht="15" customHeight="1">
      <c r="B206" s="916"/>
      <c r="C206" s="874"/>
      <c r="D206" s="874"/>
      <c r="E206" s="874"/>
      <c r="F206" s="874"/>
      <c r="G206" s="874"/>
      <c r="H206" s="874"/>
    </row>
    <row r="207" spans="2:8" ht="15" customHeight="1">
      <c r="B207" s="916"/>
      <c r="C207" s="874"/>
      <c r="D207" s="874"/>
      <c r="E207" s="874"/>
      <c r="F207" s="874"/>
      <c r="G207" s="874"/>
      <c r="H207" s="874"/>
    </row>
    <row r="208" spans="2:8" ht="15" customHeight="1">
      <c r="B208" s="916"/>
      <c r="C208" s="874"/>
      <c r="D208" s="874"/>
      <c r="E208" s="874"/>
      <c r="F208" s="874"/>
      <c r="G208" s="874"/>
      <c r="H208" s="874"/>
    </row>
    <row r="209" spans="2:8" ht="15" customHeight="1">
      <c r="B209" s="916"/>
      <c r="C209" s="874"/>
      <c r="D209" s="874"/>
      <c r="E209" s="874"/>
      <c r="F209" s="874"/>
      <c r="G209" s="874"/>
      <c r="H209" s="874"/>
    </row>
    <row r="210" spans="2:8" ht="15" customHeight="1">
      <c r="B210" s="916"/>
      <c r="C210" s="874"/>
      <c r="D210" s="874"/>
      <c r="E210" s="874"/>
      <c r="F210" s="874"/>
      <c r="G210" s="874"/>
      <c r="H210" s="874"/>
    </row>
    <row r="211" spans="2:8" ht="15" customHeight="1">
      <c r="B211" s="916"/>
      <c r="C211" s="874"/>
      <c r="D211" s="874"/>
      <c r="E211" s="874"/>
      <c r="F211" s="874"/>
      <c r="G211" s="874"/>
      <c r="H211" s="874"/>
    </row>
    <row r="212" spans="2:8" ht="15" customHeight="1">
      <c r="B212" s="916"/>
      <c r="C212" s="874"/>
      <c r="D212" s="874"/>
      <c r="E212" s="874"/>
      <c r="F212" s="874"/>
      <c r="G212" s="874"/>
      <c r="H212" s="874"/>
    </row>
    <row r="213" spans="2:8" ht="15" customHeight="1">
      <c r="B213" s="916"/>
      <c r="C213" s="874"/>
      <c r="D213" s="874"/>
      <c r="E213" s="874"/>
      <c r="F213" s="874"/>
      <c r="G213" s="874"/>
      <c r="H213" s="874"/>
    </row>
    <row r="214" spans="2:8" ht="15" customHeight="1">
      <c r="B214" s="916"/>
      <c r="C214" s="874"/>
      <c r="D214" s="874"/>
      <c r="E214" s="874"/>
      <c r="F214" s="874"/>
      <c r="G214" s="874"/>
      <c r="H214" s="874"/>
    </row>
    <row r="215" spans="2:8" ht="15" customHeight="1">
      <c r="B215" s="916"/>
      <c r="C215" s="874"/>
      <c r="D215" s="874"/>
      <c r="E215" s="874"/>
      <c r="F215" s="874"/>
      <c r="G215" s="874"/>
      <c r="H215" s="874"/>
    </row>
    <row r="216" spans="2:8" ht="15" customHeight="1">
      <c r="B216" s="888"/>
      <c r="C216" s="876"/>
      <c r="D216" s="876"/>
      <c r="E216" s="876"/>
      <c r="F216" s="876"/>
      <c r="G216" s="876"/>
      <c r="H216" s="876"/>
    </row>
    <row r="217" spans="2:8" ht="15" customHeight="1">
      <c r="B217" s="888"/>
      <c r="C217" s="876"/>
      <c r="D217" s="876"/>
      <c r="E217" s="876"/>
      <c r="F217" s="876"/>
      <c r="G217" s="876"/>
      <c r="H217" s="876"/>
    </row>
    <row r="218" spans="2:8" ht="15" customHeight="1">
      <c r="B218" s="888"/>
      <c r="C218" s="876"/>
      <c r="D218" s="876"/>
      <c r="E218" s="876"/>
      <c r="F218" s="876"/>
      <c r="G218" s="876"/>
      <c r="H218" s="876"/>
    </row>
    <row r="219" spans="2:8" ht="15" customHeight="1">
      <c r="B219" s="888"/>
      <c r="C219" s="876"/>
      <c r="D219" s="876"/>
      <c r="E219" s="876"/>
      <c r="F219" s="876"/>
      <c r="G219" s="876"/>
      <c r="H219" s="876"/>
    </row>
    <row r="220" spans="2:8" ht="15" customHeight="1">
      <c r="B220" s="888"/>
      <c r="C220" s="876"/>
      <c r="D220" s="876"/>
      <c r="E220" s="876"/>
      <c r="F220" s="876"/>
      <c r="G220" s="876"/>
      <c r="H220" s="876"/>
    </row>
    <row r="221" spans="2:8" ht="15" customHeight="1">
      <c r="B221" s="888"/>
      <c r="C221" s="876"/>
      <c r="D221" s="876"/>
      <c r="E221" s="876"/>
      <c r="F221" s="876"/>
      <c r="G221" s="876"/>
      <c r="H221" s="876"/>
    </row>
    <row r="222" spans="2:8" ht="15" customHeight="1">
      <c r="B222" s="888"/>
      <c r="C222" s="876"/>
      <c r="D222" s="876"/>
      <c r="E222" s="876"/>
      <c r="F222" s="876"/>
      <c r="G222" s="876"/>
      <c r="H222" s="876"/>
    </row>
    <row r="223" spans="2:8" ht="15" customHeight="1">
      <c r="B223" s="888"/>
      <c r="C223" s="876"/>
      <c r="D223" s="876"/>
      <c r="E223" s="876"/>
      <c r="F223" s="876"/>
      <c r="G223" s="876"/>
      <c r="H223" s="876"/>
    </row>
    <row r="224" spans="2:8" ht="15" customHeight="1">
      <c r="B224" s="888"/>
      <c r="C224" s="876"/>
      <c r="D224" s="876"/>
      <c r="E224" s="876"/>
      <c r="F224" s="876"/>
      <c r="G224" s="876"/>
      <c r="H224" s="876"/>
    </row>
    <row r="225" spans="2:8" ht="15" customHeight="1">
      <c r="B225" s="888"/>
      <c r="C225" s="876"/>
      <c r="D225" s="876"/>
      <c r="E225" s="876"/>
      <c r="F225" s="876"/>
      <c r="G225" s="876"/>
      <c r="H225" s="876"/>
    </row>
    <row r="226" spans="2:8" ht="15" customHeight="1">
      <c r="B226" s="888"/>
      <c r="C226" s="876"/>
      <c r="D226" s="876"/>
      <c r="E226" s="876"/>
      <c r="F226" s="876"/>
      <c r="G226" s="876"/>
      <c r="H226" s="876"/>
    </row>
    <row r="227" spans="2:8" ht="15" customHeight="1">
      <c r="B227" s="888"/>
      <c r="C227" s="876"/>
      <c r="D227" s="876"/>
      <c r="E227" s="876"/>
      <c r="F227" s="876"/>
      <c r="G227" s="876"/>
      <c r="H227" s="876"/>
    </row>
    <row r="228" spans="2:8" ht="15" customHeight="1">
      <c r="B228" s="888"/>
      <c r="C228" s="876"/>
      <c r="D228" s="876"/>
      <c r="E228" s="876"/>
      <c r="F228" s="876"/>
      <c r="G228" s="876"/>
      <c r="H228" s="876"/>
    </row>
    <row r="229" spans="2:8" ht="15" customHeight="1">
      <c r="B229" s="888"/>
      <c r="C229" s="876"/>
      <c r="D229" s="876"/>
      <c r="E229" s="876"/>
      <c r="F229" s="876"/>
      <c r="G229" s="876"/>
      <c r="H229" s="876"/>
    </row>
    <row r="230" spans="2:8" ht="15" customHeight="1">
      <c r="B230" s="888"/>
      <c r="C230" s="876"/>
      <c r="D230" s="876"/>
      <c r="E230" s="876"/>
      <c r="F230" s="876"/>
      <c r="G230" s="876"/>
      <c r="H230" s="876"/>
    </row>
    <row r="231" spans="2:8" ht="15" customHeight="1">
      <c r="B231" s="888"/>
      <c r="C231" s="876"/>
      <c r="D231" s="876"/>
      <c r="E231" s="876"/>
      <c r="F231" s="876"/>
      <c r="G231" s="876"/>
      <c r="H231" s="876"/>
    </row>
    <row r="232" spans="2:8" ht="15" customHeight="1">
      <c r="B232" s="888"/>
      <c r="C232" s="876"/>
      <c r="D232" s="876"/>
      <c r="E232" s="876"/>
      <c r="F232" s="876"/>
      <c r="G232" s="876"/>
      <c r="H232" s="876"/>
    </row>
    <row r="233" spans="2:8" ht="15" customHeight="1">
      <c r="B233" s="888"/>
      <c r="C233" s="876"/>
      <c r="D233" s="876"/>
      <c r="E233" s="876"/>
      <c r="F233" s="876"/>
      <c r="G233" s="876"/>
      <c r="H233" s="876"/>
    </row>
    <row r="234" spans="2:8" ht="15" customHeight="1">
      <c r="B234" s="888"/>
      <c r="C234" s="876"/>
      <c r="D234" s="876"/>
      <c r="E234" s="876"/>
      <c r="F234" s="876"/>
      <c r="G234" s="876"/>
      <c r="H234" s="876"/>
    </row>
    <row r="235" spans="2:8" ht="15" customHeight="1">
      <c r="B235" s="888"/>
      <c r="C235" s="876"/>
      <c r="D235" s="876"/>
      <c r="E235" s="876"/>
      <c r="F235" s="876"/>
      <c r="G235" s="876"/>
      <c r="H235" s="876"/>
    </row>
    <row r="236" spans="2:8" ht="15" customHeight="1">
      <c r="B236" s="888"/>
      <c r="C236" s="876"/>
      <c r="D236" s="876"/>
      <c r="E236" s="876"/>
      <c r="F236" s="876"/>
      <c r="G236" s="876"/>
      <c r="H236" s="876"/>
    </row>
    <row r="237" spans="2:8" ht="15" customHeight="1">
      <c r="B237" s="888"/>
      <c r="C237" s="876"/>
      <c r="D237" s="876"/>
      <c r="E237" s="876"/>
      <c r="F237" s="876"/>
      <c r="G237" s="876"/>
      <c r="H237" s="876"/>
    </row>
    <row r="238" spans="2:8" ht="15" customHeight="1">
      <c r="B238" s="888"/>
      <c r="C238" s="876"/>
      <c r="D238" s="876"/>
      <c r="E238" s="876"/>
      <c r="F238" s="876"/>
      <c r="G238" s="876"/>
      <c r="H238" s="876"/>
    </row>
    <row r="239" spans="2:8" ht="15" customHeight="1">
      <c r="B239" s="888"/>
      <c r="C239" s="876"/>
      <c r="D239" s="876"/>
      <c r="E239" s="876"/>
      <c r="F239" s="876"/>
      <c r="G239" s="876"/>
      <c r="H239" s="876"/>
    </row>
    <row r="240" spans="2:8" ht="15" customHeight="1">
      <c r="B240" s="888"/>
      <c r="C240" s="876"/>
      <c r="D240" s="876"/>
      <c r="E240" s="876"/>
      <c r="F240" s="876"/>
      <c r="G240" s="876"/>
      <c r="H240" s="876"/>
    </row>
    <row r="241" spans="2:8" ht="15" customHeight="1">
      <c r="B241" s="888"/>
      <c r="C241" s="876"/>
      <c r="D241" s="876"/>
      <c r="E241" s="876"/>
      <c r="F241" s="876"/>
      <c r="G241" s="876"/>
      <c r="H241" s="876"/>
    </row>
    <row r="242" spans="2:8" ht="15" customHeight="1">
      <c r="B242" s="888"/>
      <c r="C242" s="876"/>
      <c r="D242" s="876"/>
      <c r="E242" s="876"/>
      <c r="F242" s="876"/>
      <c r="G242" s="876"/>
      <c r="H242" s="876"/>
    </row>
    <row r="243" spans="2:8" ht="15" customHeight="1">
      <c r="B243" s="888"/>
      <c r="C243" s="876"/>
      <c r="D243" s="876"/>
      <c r="E243" s="876"/>
      <c r="F243" s="876"/>
      <c r="G243" s="876"/>
      <c r="H243" s="876"/>
    </row>
    <row r="244" spans="2:8" ht="15" customHeight="1">
      <c r="B244" s="888"/>
      <c r="C244" s="876"/>
      <c r="D244" s="876"/>
      <c r="E244" s="876"/>
      <c r="F244" s="876"/>
      <c r="G244" s="876"/>
      <c r="H244" s="876"/>
    </row>
    <row r="245" spans="2:8" ht="15" customHeight="1">
      <c r="B245" s="888"/>
      <c r="C245" s="876"/>
      <c r="D245" s="876"/>
      <c r="E245" s="876"/>
      <c r="F245" s="876"/>
      <c r="G245" s="876"/>
      <c r="H245" s="876"/>
    </row>
    <row r="246" spans="2:8" ht="15" customHeight="1">
      <c r="B246" s="888"/>
      <c r="C246" s="876"/>
      <c r="D246" s="876"/>
      <c r="E246" s="876"/>
      <c r="F246" s="876"/>
      <c r="G246" s="876"/>
      <c r="H246" s="876"/>
    </row>
    <row r="247" spans="2:8" ht="15" customHeight="1">
      <c r="B247" s="888"/>
      <c r="C247" s="876"/>
      <c r="D247" s="876"/>
      <c r="E247" s="876"/>
      <c r="F247" s="876"/>
      <c r="G247" s="876"/>
      <c r="H247" s="876"/>
    </row>
    <row r="248" spans="2:8" ht="15" customHeight="1">
      <c r="B248" s="888"/>
      <c r="C248" s="876"/>
      <c r="D248" s="876"/>
      <c r="E248" s="876"/>
      <c r="F248" s="876"/>
      <c r="G248" s="876"/>
      <c r="H248" s="876"/>
    </row>
    <row r="249" spans="2:8" ht="15" customHeight="1">
      <c r="B249" s="888"/>
      <c r="C249" s="876"/>
      <c r="D249" s="876"/>
      <c r="E249" s="876"/>
      <c r="F249" s="876"/>
      <c r="G249" s="876"/>
      <c r="H249" s="876"/>
    </row>
    <row r="250" spans="2:8" ht="15" customHeight="1">
      <c r="B250" s="888"/>
      <c r="C250" s="876"/>
      <c r="D250" s="876"/>
      <c r="E250" s="876"/>
      <c r="F250" s="876"/>
      <c r="G250" s="876"/>
      <c r="H250" s="876"/>
    </row>
    <row r="251" spans="2:8" ht="15" customHeight="1">
      <c r="B251" s="888"/>
      <c r="C251" s="876"/>
      <c r="D251" s="876"/>
      <c r="E251" s="876"/>
      <c r="F251" s="876"/>
      <c r="G251" s="876"/>
      <c r="H251" s="876"/>
    </row>
    <row r="252" spans="2:8" ht="15" customHeight="1">
      <c r="B252" s="888"/>
      <c r="C252" s="876"/>
      <c r="D252" s="876"/>
      <c r="E252" s="876"/>
      <c r="F252" s="876"/>
      <c r="G252" s="876"/>
      <c r="H252" s="876"/>
    </row>
    <row r="253" spans="2:8" ht="15" customHeight="1">
      <c r="B253" s="888"/>
      <c r="C253" s="876"/>
      <c r="D253" s="876"/>
      <c r="E253" s="876"/>
      <c r="F253" s="876"/>
      <c r="G253" s="876"/>
      <c r="H253" s="876"/>
    </row>
    <row r="254" spans="2:8" ht="15" customHeight="1">
      <c r="B254" s="888"/>
      <c r="C254" s="876"/>
      <c r="D254" s="876"/>
      <c r="E254" s="876"/>
      <c r="F254" s="876"/>
      <c r="G254" s="876"/>
      <c r="H254" s="876"/>
    </row>
    <row r="255" spans="2:8" ht="15" customHeight="1">
      <c r="B255" s="888"/>
      <c r="C255" s="876"/>
      <c r="D255" s="876"/>
      <c r="E255" s="876"/>
      <c r="F255" s="876"/>
      <c r="G255" s="876"/>
      <c r="H255" s="876"/>
    </row>
    <row r="256" spans="2:8" ht="15" customHeight="1">
      <c r="B256" s="888"/>
      <c r="C256" s="876"/>
      <c r="D256" s="876"/>
      <c r="E256" s="876"/>
      <c r="F256" s="876"/>
      <c r="G256" s="876"/>
      <c r="H256" s="876"/>
    </row>
    <row r="257" spans="2:8" ht="15" customHeight="1">
      <c r="B257" s="888"/>
      <c r="C257" s="876"/>
      <c r="D257" s="876"/>
      <c r="E257" s="876"/>
      <c r="F257" s="876"/>
      <c r="G257" s="876"/>
      <c r="H257" s="876"/>
    </row>
    <row r="258" spans="2:8" ht="15" customHeight="1">
      <c r="B258" s="888"/>
      <c r="C258" s="876"/>
      <c r="D258" s="876"/>
      <c r="E258" s="876"/>
      <c r="F258" s="876"/>
      <c r="G258" s="876"/>
      <c r="H258" s="876"/>
    </row>
    <row r="259" spans="2:8" ht="15" customHeight="1">
      <c r="B259" s="888"/>
      <c r="C259" s="876"/>
      <c r="D259" s="876"/>
      <c r="E259" s="876"/>
      <c r="F259" s="876"/>
      <c r="G259" s="876"/>
      <c r="H259" s="876"/>
    </row>
    <row r="260" spans="2:8" ht="15" customHeight="1">
      <c r="B260" s="888"/>
      <c r="C260" s="876"/>
      <c r="D260" s="876"/>
      <c r="E260" s="876"/>
      <c r="F260" s="876"/>
      <c r="G260" s="876"/>
      <c r="H260" s="876"/>
    </row>
    <row r="261" spans="2:8" ht="15" customHeight="1">
      <c r="B261" s="888"/>
      <c r="C261" s="876"/>
      <c r="D261" s="876"/>
      <c r="E261" s="876"/>
      <c r="F261" s="876"/>
      <c r="G261" s="876"/>
      <c r="H261" s="876"/>
    </row>
    <row r="262" spans="2:8" ht="15" customHeight="1">
      <c r="B262" s="888"/>
      <c r="C262" s="876"/>
      <c r="D262" s="876"/>
      <c r="E262" s="876"/>
      <c r="F262" s="876"/>
      <c r="G262" s="876"/>
      <c r="H262" s="876"/>
    </row>
    <row r="263" spans="2:8" ht="15" customHeight="1">
      <c r="B263" s="888"/>
      <c r="C263" s="876"/>
      <c r="D263" s="876"/>
      <c r="E263" s="876"/>
      <c r="F263" s="876"/>
      <c r="G263" s="876"/>
      <c r="H263" s="876"/>
    </row>
    <row r="264" spans="2:8" ht="15" customHeight="1">
      <c r="B264" s="888"/>
      <c r="C264" s="876"/>
      <c r="D264" s="876"/>
      <c r="E264" s="876"/>
      <c r="F264" s="876"/>
      <c r="G264" s="876"/>
      <c r="H264" s="876"/>
    </row>
    <row r="265" spans="2:8" ht="15" customHeight="1">
      <c r="B265" s="888"/>
      <c r="C265" s="876"/>
      <c r="D265" s="876"/>
      <c r="E265" s="876"/>
      <c r="F265" s="876"/>
      <c r="G265" s="876"/>
      <c r="H265" s="876"/>
    </row>
    <row r="266" spans="2:8" ht="15" customHeight="1">
      <c r="B266" s="888"/>
      <c r="C266" s="876"/>
      <c r="D266" s="876"/>
      <c r="E266" s="876"/>
      <c r="F266" s="876"/>
      <c r="G266" s="876"/>
      <c r="H266" s="876"/>
    </row>
    <row r="267" spans="2:8" ht="15" customHeight="1">
      <c r="B267" s="888"/>
      <c r="C267" s="876"/>
      <c r="D267" s="876"/>
      <c r="E267" s="876"/>
      <c r="F267" s="876"/>
      <c r="G267" s="876"/>
      <c r="H267" s="876"/>
    </row>
    <row r="268" spans="2:8" ht="15" customHeight="1">
      <c r="B268" s="888"/>
      <c r="C268" s="876"/>
      <c r="D268" s="876"/>
      <c r="E268" s="876"/>
      <c r="F268" s="876"/>
      <c r="G268" s="876"/>
      <c r="H268" s="876"/>
    </row>
    <row r="269" spans="2:8" ht="15" customHeight="1">
      <c r="B269" s="888"/>
      <c r="C269" s="876"/>
      <c r="D269" s="876"/>
      <c r="E269" s="876"/>
      <c r="F269" s="876"/>
      <c r="G269" s="876"/>
      <c r="H269" s="876"/>
    </row>
    <row r="270" spans="2:8" ht="15" customHeight="1">
      <c r="B270" s="888"/>
      <c r="C270" s="876"/>
      <c r="D270" s="876"/>
      <c r="E270" s="876"/>
      <c r="F270" s="876"/>
      <c r="G270" s="876"/>
      <c r="H270" s="876"/>
    </row>
    <row r="271" spans="2:8" ht="15" customHeight="1">
      <c r="B271" s="888"/>
      <c r="C271" s="876"/>
      <c r="D271" s="876"/>
      <c r="E271" s="876"/>
      <c r="F271" s="876"/>
      <c r="G271" s="876"/>
      <c r="H271" s="876"/>
    </row>
    <row r="272" spans="2:8" ht="15" customHeight="1">
      <c r="B272" s="888"/>
      <c r="C272" s="876"/>
      <c r="D272" s="876"/>
      <c r="E272" s="876"/>
      <c r="F272" s="876"/>
      <c r="G272" s="876"/>
      <c r="H272" s="876"/>
    </row>
    <row r="273" spans="2:8" ht="15" customHeight="1">
      <c r="B273" s="888"/>
      <c r="C273" s="876"/>
      <c r="D273" s="876"/>
      <c r="E273" s="876"/>
      <c r="F273" s="876"/>
      <c r="G273" s="876"/>
      <c r="H273" s="876"/>
    </row>
    <row r="274" spans="2:8" ht="15" customHeight="1">
      <c r="B274" s="888"/>
      <c r="C274" s="876"/>
      <c r="D274" s="876"/>
      <c r="E274" s="876"/>
      <c r="F274" s="876"/>
      <c r="G274" s="876"/>
      <c r="H274" s="876"/>
    </row>
    <row r="275" spans="2:8" ht="15" customHeight="1">
      <c r="B275" s="888"/>
      <c r="C275" s="876"/>
      <c r="D275" s="876"/>
      <c r="E275" s="876"/>
      <c r="F275" s="876"/>
      <c r="G275" s="876"/>
      <c r="H275" s="876"/>
    </row>
    <row r="276" spans="2:8" ht="15" customHeight="1">
      <c r="B276" s="888"/>
      <c r="C276" s="876"/>
      <c r="D276" s="876"/>
      <c r="E276" s="876"/>
      <c r="F276" s="876"/>
      <c r="G276" s="876"/>
      <c r="H276" s="876"/>
    </row>
    <row r="277" spans="2:8" ht="15" customHeight="1">
      <c r="B277" s="888"/>
      <c r="C277" s="876"/>
      <c r="D277" s="876"/>
      <c r="E277" s="876"/>
      <c r="F277" s="876"/>
      <c r="G277" s="876"/>
      <c r="H277" s="876"/>
    </row>
    <row r="278" spans="2:8" ht="15" customHeight="1">
      <c r="B278" s="888"/>
      <c r="C278" s="876"/>
      <c r="D278" s="876"/>
      <c r="E278" s="876"/>
      <c r="F278" s="876"/>
      <c r="G278" s="876"/>
      <c r="H278" s="876"/>
    </row>
    <row r="279" spans="2:8" ht="15" customHeight="1">
      <c r="B279" s="888"/>
      <c r="C279" s="876"/>
      <c r="D279" s="876"/>
      <c r="E279" s="876"/>
      <c r="F279" s="876"/>
      <c r="G279" s="876"/>
      <c r="H279" s="876"/>
    </row>
    <row r="280" spans="2:8" ht="15" customHeight="1">
      <c r="B280" s="888"/>
      <c r="C280" s="876"/>
      <c r="D280" s="876"/>
      <c r="E280" s="876"/>
      <c r="F280" s="876"/>
      <c r="G280" s="876"/>
      <c r="H280" s="876"/>
    </row>
    <row r="281" spans="2:8" ht="15" customHeight="1">
      <c r="B281" s="888"/>
      <c r="C281" s="876"/>
      <c r="D281" s="876"/>
      <c r="E281" s="876"/>
      <c r="F281" s="876"/>
      <c r="G281" s="876"/>
      <c r="H281" s="876"/>
    </row>
    <row r="282" spans="2:8" ht="15" customHeight="1">
      <c r="B282" s="888"/>
      <c r="C282" s="876"/>
      <c r="D282" s="876"/>
      <c r="E282" s="876"/>
      <c r="F282" s="876"/>
      <c r="G282" s="876"/>
      <c r="H282" s="876"/>
    </row>
    <row r="283" spans="2:8" ht="15" customHeight="1">
      <c r="B283" s="888"/>
      <c r="C283" s="876"/>
      <c r="D283" s="876"/>
      <c r="E283" s="876"/>
      <c r="F283" s="876"/>
      <c r="G283" s="876"/>
      <c r="H283" s="876"/>
    </row>
    <row r="284" spans="2:8" ht="15" customHeight="1">
      <c r="B284" s="888"/>
      <c r="C284" s="876"/>
      <c r="D284" s="876"/>
      <c r="E284" s="876"/>
      <c r="F284" s="876"/>
      <c r="G284" s="876"/>
      <c r="H284" s="876"/>
    </row>
    <row r="285" spans="2:8" ht="15" customHeight="1">
      <c r="B285" s="888"/>
      <c r="C285" s="876"/>
      <c r="D285" s="876"/>
      <c r="E285" s="876"/>
      <c r="F285" s="876"/>
      <c r="G285" s="876"/>
      <c r="H285" s="876"/>
    </row>
    <row r="286" spans="2:8" ht="15" customHeight="1">
      <c r="B286" s="888"/>
      <c r="C286" s="876"/>
      <c r="D286" s="876"/>
      <c r="E286" s="876"/>
      <c r="F286" s="876"/>
      <c r="G286" s="876"/>
      <c r="H286" s="876"/>
    </row>
    <row r="287" spans="2:8" ht="15" customHeight="1">
      <c r="B287" s="888"/>
      <c r="C287" s="876"/>
      <c r="D287" s="876"/>
      <c r="E287" s="876"/>
      <c r="F287" s="876"/>
      <c r="G287" s="876"/>
      <c r="H287" s="876"/>
    </row>
    <row r="288" spans="2:8" ht="15" customHeight="1">
      <c r="B288" s="888"/>
      <c r="C288" s="876"/>
      <c r="D288" s="876"/>
      <c r="E288" s="876"/>
      <c r="F288" s="876"/>
      <c r="G288" s="876"/>
      <c r="H288" s="876"/>
    </row>
    <row r="289" spans="2:8" ht="15" customHeight="1">
      <c r="B289" s="888"/>
      <c r="C289" s="876"/>
      <c r="D289" s="876"/>
      <c r="E289" s="876"/>
      <c r="F289" s="876"/>
      <c r="G289" s="876"/>
      <c r="H289" s="876"/>
    </row>
    <row r="290" spans="2:8" ht="15" customHeight="1">
      <c r="B290" s="888"/>
      <c r="C290" s="876"/>
      <c r="D290" s="876"/>
      <c r="E290" s="876"/>
      <c r="F290" s="876"/>
      <c r="G290" s="876"/>
      <c r="H290" s="876"/>
    </row>
    <row r="291" spans="2:8" ht="15" customHeight="1">
      <c r="B291" s="888"/>
      <c r="C291" s="876"/>
      <c r="D291" s="876"/>
      <c r="E291" s="876"/>
      <c r="F291" s="876"/>
      <c r="G291" s="876"/>
      <c r="H291" s="876"/>
    </row>
    <row r="292" spans="2:8" ht="15" customHeight="1">
      <c r="B292" s="888"/>
      <c r="C292" s="876"/>
      <c r="D292" s="876"/>
      <c r="E292" s="876"/>
      <c r="F292" s="876"/>
      <c r="G292" s="876"/>
      <c r="H292" s="876"/>
    </row>
    <row r="293" spans="2:8" ht="15" customHeight="1">
      <c r="B293" s="888"/>
      <c r="C293" s="876"/>
      <c r="D293" s="876"/>
      <c r="E293" s="876"/>
      <c r="F293" s="876"/>
      <c r="G293" s="876"/>
      <c r="H293" s="876"/>
    </row>
    <row r="294" spans="2:8" ht="15" customHeight="1">
      <c r="B294" s="888"/>
      <c r="C294" s="876"/>
      <c r="D294" s="876"/>
      <c r="E294" s="876"/>
      <c r="F294" s="876"/>
      <c r="G294" s="876"/>
      <c r="H294" s="876"/>
    </row>
    <row r="295" spans="2:8" ht="15" customHeight="1">
      <c r="B295" s="888"/>
      <c r="C295" s="876"/>
      <c r="D295" s="876"/>
      <c r="E295" s="876"/>
      <c r="F295" s="876"/>
      <c r="G295" s="876"/>
      <c r="H295" s="876"/>
    </row>
    <row r="296" spans="2:8" ht="15" customHeight="1">
      <c r="B296" s="888"/>
      <c r="C296" s="876"/>
      <c r="D296" s="876"/>
      <c r="E296" s="876"/>
      <c r="F296" s="876"/>
      <c r="G296" s="876"/>
      <c r="H296" s="876"/>
    </row>
    <row r="297" spans="2:8" ht="15" customHeight="1">
      <c r="B297" s="888"/>
      <c r="C297" s="876"/>
      <c r="D297" s="876"/>
      <c r="E297" s="876"/>
      <c r="F297" s="876"/>
      <c r="G297" s="876"/>
      <c r="H297" s="876"/>
    </row>
    <row r="298" spans="2:8" ht="15" customHeight="1">
      <c r="B298" s="888"/>
      <c r="C298" s="876"/>
      <c r="D298" s="876"/>
      <c r="E298" s="876"/>
      <c r="F298" s="876"/>
      <c r="G298" s="876"/>
      <c r="H298" s="876"/>
    </row>
    <row r="299" spans="2:8" ht="15" customHeight="1">
      <c r="B299" s="888"/>
      <c r="C299" s="876"/>
      <c r="D299" s="876"/>
      <c r="E299" s="876"/>
      <c r="F299" s="876"/>
      <c r="G299" s="876"/>
      <c r="H299" s="876"/>
    </row>
    <row r="300" spans="2:8" ht="15" customHeight="1">
      <c r="B300" s="888"/>
      <c r="C300" s="876"/>
      <c r="D300" s="876"/>
      <c r="E300" s="876"/>
      <c r="F300" s="876"/>
      <c r="G300" s="876"/>
      <c r="H300" s="876"/>
    </row>
    <row r="301" spans="2:8" ht="15" customHeight="1">
      <c r="B301" s="888"/>
      <c r="C301" s="876"/>
      <c r="D301" s="876"/>
      <c r="E301" s="876"/>
      <c r="F301" s="876"/>
      <c r="G301" s="876"/>
      <c r="H301" s="876"/>
    </row>
    <row r="302" spans="2:8" ht="15" customHeight="1">
      <c r="B302" s="888"/>
      <c r="C302" s="876"/>
      <c r="D302" s="876"/>
      <c r="E302" s="876"/>
      <c r="F302" s="876"/>
      <c r="G302" s="876"/>
      <c r="H302" s="876"/>
    </row>
    <row r="303" spans="2:8" ht="15" customHeight="1">
      <c r="B303" s="888"/>
      <c r="C303" s="876"/>
      <c r="D303" s="876"/>
      <c r="E303" s="876"/>
      <c r="F303" s="876"/>
      <c r="G303" s="876"/>
      <c r="H303" s="876"/>
    </row>
    <row r="304" spans="2:8" ht="15" customHeight="1">
      <c r="B304" s="888"/>
      <c r="C304" s="876"/>
      <c r="D304" s="876"/>
      <c r="E304" s="876"/>
      <c r="F304" s="876"/>
      <c r="G304" s="876"/>
      <c r="H304" s="876"/>
    </row>
    <row r="305" spans="2:8" ht="15" customHeight="1">
      <c r="B305" s="888"/>
      <c r="C305" s="876"/>
      <c r="D305" s="876"/>
      <c r="E305" s="876"/>
      <c r="F305" s="876"/>
      <c r="G305" s="876"/>
      <c r="H305" s="876"/>
    </row>
    <row r="306" spans="2:8" ht="15" customHeight="1">
      <c r="B306" s="888"/>
      <c r="C306" s="876"/>
      <c r="D306" s="876"/>
      <c r="E306" s="876"/>
      <c r="F306" s="876"/>
      <c r="G306" s="876"/>
      <c r="H306" s="876"/>
    </row>
    <row r="307" spans="2:8" ht="15" customHeight="1">
      <c r="B307" s="888"/>
      <c r="C307" s="876"/>
      <c r="D307" s="876"/>
      <c r="E307" s="876"/>
      <c r="F307" s="876"/>
      <c r="G307" s="876"/>
      <c r="H307" s="876"/>
    </row>
    <row r="308" spans="2:8" ht="15" customHeight="1">
      <c r="B308" s="888"/>
      <c r="C308" s="876"/>
      <c r="D308" s="876"/>
      <c r="E308" s="876"/>
      <c r="F308" s="876"/>
      <c r="G308" s="876"/>
      <c r="H308" s="876"/>
    </row>
    <row r="309" spans="2:8" ht="15" customHeight="1">
      <c r="B309" s="888"/>
      <c r="C309" s="876"/>
      <c r="D309" s="876"/>
      <c r="E309" s="876"/>
      <c r="F309" s="876"/>
      <c r="G309" s="876"/>
      <c r="H309" s="876"/>
    </row>
    <row r="310" spans="2:8" ht="15" customHeight="1">
      <c r="B310" s="888"/>
      <c r="C310" s="876"/>
      <c r="D310" s="876"/>
      <c r="E310" s="876"/>
      <c r="F310" s="876"/>
      <c r="G310" s="876"/>
      <c r="H310" s="876"/>
    </row>
    <row r="311" spans="2:8" ht="15" customHeight="1">
      <c r="B311" s="888"/>
      <c r="C311" s="876"/>
      <c r="D311" s="876"/>
      <c r="E311" s="876"/>
      <c r="F311" s="876"/>
      <c r="G311" s="876"/>
      <c r="H311" s="876"/>
    </row>
    <row r="312" spans="2:8" ht="15" customHeight="1">
      <c r="B312" s="888"/>
      <c r="C312" s="876"/>
      <c r="D312" s="876"/>
      <c r="E312" s="876"/>
      <c r="F312" s="876"/>
      <c r="G312" s="876"/>
      <c r="H312" s="876"/>
    </row>
    <row r="313" spans="2:8" ht="15" customHeight="1">
      <c r="B313" s="888"/>
      <c r="C313" s="876"/>
      <c r="D313" s="876"/>
      <c r="E313" s="876"/>
      <c r="F313" s="876"/>
      <c r="G313" s="876"/>
      <c r="H313" s="876"/>
    </row>
    <row r="314" spans="2:8" ht="15" customHeight="1">
      <c r="B314" s="888"/>
      <c r="C314" s="876"/>
      <c r="D314" s="876"/>
      <c r="E314" s="876"/>
      <c r="F314" s="876"/>
      <c r="G314" s="876"/>
      <c r="H314" s="876"/>
    </row>
    <row r="315" spans="2:8" ht="15" customHeight="1">
      <c r="B315" s="888"/>
      <c r="C315" s="876"/>
      <c r="D315" s="876"/>
      <c r="E315" s="876"/>
      <c r="F315" s="876"/>
      <c r="G315" s="876"/>
      <c r="H315" s="876"/>
    </row>
    <row r="316" spans="2:8" ht="15" customHeight="1">
      <c r="B316" s="888"/>
      <c r="C316" s="876"/>
      <c r="D316" s="876"/>
      <c r="E316" s="876"/>
      <c r="F316" s="876"/>
      <c r="G316" s="876"/>
      <c r="H316" s="876"/>
    </row>
    <row r="317" spans="2:8" ht="15" customHeight="1">
      <c r="B317" s="888"/>
      <c r="C317" s="876"/>
      <c r="D317" s="876"/>
      <c r="E317" s="876"/>
      <c r="F317" s="876"/>
      <c r="G317" s="876"/>
      <c r="H317" s="876"/>
    </row>
    <row r="318" spans="2:8" ht="15" customHeight="1">
      <c r="B318" s="888"/>
      <c r="C318" s="876"/>
      <c r="D318" s="876"/>
      <c r="E318" s="876"/>
      <c r="F318" s="876"/>
      <c r="G318" s="876"/>
      <c r="H318" s="876"/>
    </row>
    <row r="319" spans="2:8" ht="15" customHeight="1">
      <c r="B319" s="888"/>
      <c r="C319" s="876"/>
      <c r="D319" s="876"/>
      <c r="E319" s="876"/>
      <c r="F319" s="876"/>
      <c r="G319" s="876"/>
      <c r="H319" s="876"/>
    </row>
    <row r="320" spans="2:8" ht="15" customHeight="1">
      <c r="B320" s="888"/>
      <c r="C320" s="876"/>
      <c r="D320" s="876"/>
      <c r="E320" s="876"/>
      <c r="F320" s="876"/>
      <c r="G320" s="876"/>
      <c r="H320" s="876"/>
    </row>
    <row r="321" spans="2:8" ht="15" customHeight="1">
      <c r="B321" s="888"/>
      <c r="C321" s="876"/>
      <c r="D321" s="876"/>
      <c r="E321" s="876"/>
      <c r="F321" s="876"/>
      <c r="G321" s="876"/>
      <c r="H321" s="876"/>
    </row>
    <row r="322" spans="2:8" ht="15" customHeight="1">
      <c r="B322" s="888"/>
      <c r="C322" s="876"/>
      <c r="D322" s="876"/>
      <c r="E322" s="876"/>
      <c r="F322" s="876"/>
      <c r="G322" s="876"/>
      <c r="H322" s="876"/>
    </row>
    <row r="323" spans="2:8" ht="15" customHeight="1">
      <c r="B323" s="888"/>
      <c r="C323" s="876"/>
      <c r="D323" s="876"/>
      <c r="E323" s="876"/>
      <c r="F323" s="876"/>
      <c r="G323" s="876"/>
      <c r="H323" s="876"/>
    </row>
    <row r="324" spans="2:8" ht="15" customHeight="1">
      <c r="B324" s="888"/>
      <c r="C324" s="876"/>
      <c r="D324" s="876"/>
      <c r="E324" s="876"/>
      <c r="F324" s="876"/>
      <c r="G324" s="876"/>
      <c r="H324" s="876"/>
    </row>
    <row r="325" spans="2:8" ht="15" customHeight="1">
      <c r="B325" s="888"/>
      <c r="C325" s="876"/>
      <c r="D325" s="876"/>
      <c r="E325" s="876"/>
      <c r="F325" s="876"/>
      <c r="G325" s="876"/>
      <c r="H325" s="876"/>
    </row>
    <row r="326" spans="2:8" ht="15" customHeight="1">
      <c r="B326" s="888"/>
      <c r="C326" s="876"/>
      <c r="D326" s="876"/>
      <c r="E326" s="876"/>
      <c r="F326" s="876"/>
      <c r="G326" s="876"/>
      <c r="H326" s="876"/>
    </row>
    <row r="327" spans="2:8" ht="15" customHeight="1">
      <c r="B327" s="888"/>
      <c r="C327" s="876"/>
      <c r="D327" s="876"/>
      <c r="E327" s="876"/>
      <c r="F327" s="876"/>
      <c r="G327" s="876"/>
      <c r="H327" s="876"/>
    </row>
    <row r="328" spans="2:8" ht="15" customHeight="1">
      <c r="B328" s="888"/>
      <c r="C328" s="876"/>
      <c r="D328" s="876"/>
      <c r="E328" s="876"/>
      <c r="F328" s="876"/>
      <c r="G328" s="876"/>
      <c r="H328" s="876"/>
    </row>
    <row r="329" spans="2:8" ht="15" customHeight="1">
      <c r="B329" s="888"/>
      <c r="C329" s="876"/>
      <c r="D329" s="876"/>
      <c r="E329" s="876"/>
      <c r="F329" s="876"/>
      <c r="G329" s="876"/>
      <c r="H329" s="876"/>
    </row>
    <row r="330" spans="2:8" ht="15" customHeight="1">
      <c r="B330" s="888"/>
      <c r="C330" s="876"/>
      <c r="D330" s="876"/>
      <c r="E330" s="876"/>
      <c r="F330" s="876"/>
      <c r="G330" s="876"/>
      <c r="H330" s="876"/>
    </row>
    <row r="331" spans="2:8" ht="15" customHeight="1">
      <c r="B331" s="888"/>
      <c r="C331" s="876"/>
      <c r="D331" s="876"/>
      <c r="E331" s="876"/>
      <c r="F331" s="876"/>
      <c r="G331" s="876"/>
      <c r="H331" s="876"/>
    </row>
    <row r="332" spans="2:8" ht="15" customHeight="1">
      <c r="B332" s="888"/>
      <c r="C332" s="876"/>
      <c r="D332" s="876"/>
      <c r="E332" s="876"/>
      <c r="F332" s="876"/>
      <c r="G332" s="876"/>
      <c r="H332" s="876"/>
    </row>
    <row r="333" spans="2:8" ht="15" customHeight="1">
      <c r="B333" s="888"/>
      <c r="C333" s="876"/>
      <c r="D333" s="876"/>
      <c r="E333" s="876"/>
      <c r="F333" s="876"/>
      <c r="G333" s="876"/>
      <c r="H333" s="876"/>
    </row>
    <row r="334" spans="2:8" ht="15" customHeight="1">
      <c r="B334" s="888"/>
      <c r="C334" s="876"/>
      <c r="D334" s="876"/>
      <c r="E334" s="876"/>
      <c r="F334" s="876"/>
      <c r="G334" s="876"/>
      <c r="H334" s="876"/>
    </row>
    <row r="335" spans="2:8" ht="15" customHeight="1">
      <c r="B335" s="888"/>
      <c r="C335" s="876"/>
      <c r="D335" s="876"/>
      <c r="E335" s="876"/>
      <c r="F335" s="876"/>
      <c r="G335" s="876"/>
      <c r="H335" s="876"/>
    </row>
    <row r="336" spans="2:8" ht="15" customHeight="1">
      <c r="B336" s="888"/>
      <c r="C336" s="876"/>
      <c r="D336" s="876"/>
      <c r="E336" s="876"/>
      <c r="F336" s="876"/>
      <c r="G336" s="876"/>
      <c r="H336" s="876"/>
    </row>
    <row r="337" spans="2:8" ht="15" customHeight="1">
      <c r="B337" s="888"/>
      <c r="C337" s="876"/>
      <c r="D337" s="876"/>
      <c r="E337" s="876"/>
      <c r="F337" s="876"/>
      <c r="G337" s="876"/>
      <c r="H337" s="876"/>
    </row>
    <row r="338" spans="2:8" ht="15" customHeight="1">
      <c r="B338" s="888"/>
      <c r="C338" s="876"/>
      <c r="D338" s="876"/>
      <c r="E338" s="876"/>
      <c r="F338" s="876"/>
      <c r="G338" s="876"/>
      <c r="H338" s="876"/>
    </row>
    <row r="339" spans="2:8" ht="15" customHeight="1">
      <c r="B339" s="888"/>
      <c r="C339" s="876"/>
      <c r="D339" s="876"/>
      <c r="E339" s="876"/>
      <c r="F339" s="876"/>
      <c r="G339" s="876"/>
      <c r="H339" s="876"/>
    </row>
    <row r="340" spans="2:8" ht="15" customHeight="1">
      <c r="B340" s="888"/>
      <c r="C340" s="876"/>
      <c r="D340" s="876"/>
      <c r="E340" s="876"/>
      <c r="F340" s="876"/>
      <c r="G340" s="876"/>
      <c r="H340" s="876"/>
    </row>
    <row r="341" spans="2:8" ht="15" customHeight="1">
      <c r="B341" s="888"/>
      <c r="C341" s="876"/>
      <c r="D341" s="876"/>
      <c r="E341" s="876"/>
      <c r="F341" s="876"/>
      <c r="G341" s="876"/>
      <c r="H341" s="876"/>
    </row>
    <row r="342" spans="2:8" ht="15" customHeight="1">
      <c r="B342" s="888"/>
      <c r="C342" s="876"/>
      <c r="D342" s="876"/>
      <c r="E342" s="876"/>
      <c r="F342" s="876"/>
      <c r="G342" s="876"/>
      <c r="H342" s="876"/>
    </row>
    <row r="343" spans="2:8" ht="15" customHeight="1">
      <c r="B343" s="888"/>
      <c r="C343" s="876"/>
      <c r="D343" s="876"/>
      <c r="E343" s="876"/>
      <c r="F343" s="876"/>
      <c r="G343" s="876"/>
      <c r="H343" s="876"/>
    </row>
    <row r="344" spans="2:8" ht="15" customHeight="1">
      <c r="B344" s="888"/>
      <c r="C344" s="876"/>
      <c r="D344" s="876"/>
      <c r="E344" s="876"/>
      <c r="F344" s="876"/>
      <c r="G344" s="876"/>
      <c r="H344" s="876"/>
    </row>
    <row r="345" spans="2:8" ht="15" customHeight="1">
      <c r="B345" s="888"/>
      <c r="C345" s="876"/>
      <c r="D345" s="876"/>
      <c r="E345" s="876"/>
      <c r="F345" s="876"/>
      <c r="G345" s="876"/>
      <c r="H345" s="876"/>
    </row>
    <row r="346" spans="2:8" ht="15" customHeight="1">
      <c r="B346" s="888"/>
      <c r="C346" s="876"/>
      <c r="D346" s="876"/>
      <c r="E346" s="876"/>
      <c r="F346" s="876"/>
      <c r="G346" s="876"/>
      <c r="H346" s="876"/>
    </row>
    <row r="347" spans="2:8" ht="15" customHeight="1">
      <c r="B347" s="888"/>
      <c r="C347" s="876"/>
      <c r="D347" s="876"/>
      <c r="E347" s="876"/>
      <c r="F347" s="876"/>
      <c r="G347" s="876"/>
      <c r="H347" s="876"/>
    </row>
    <row r="348" spans="2:8" ht="15" customHeight="1">
      <c r="B348" s="888"/>
      <c r="C348" s="876"/>
      <c r="D348" s="876"/>
      <c r="E348" s="876"/>
      <c r="F348" s="876"/>
      <c r="G348" s="876"/>
      <c r="H348" s="876"/>
    </row>
    <row r="349" spans="2:8" ht="15" customHeight="1">
      <c r="B349" s="888"/>
      <c r="C349" s="876"/>
      <c r="D349" s="876"/>
      <c r="E349" s="876"/>
      <c r="F349" s="876"/>
      <c r="G349" s="876"/>
      <c r="H349" s="876"/>
    </row>
    <row r="350" spans="2:8" ht="15" customHeight="1">
      <c r="B350" s="888"/>
      <c r="C350" s="876"/>
      <c r="D350" s="876"/>
      <c r="E350" s="876"/>
      <c r="F350" s="876"/>
      <c r="G350" s="876"/>
      <c r="H350" s="876"/>
    </row>
    <row r="351" spans="2:8" ht="15" customHeight="1">
      <c r="B351" s="888"/>
      <c r="C351" s="876"/>
      <c r="D351" s="876"/>
      <c r="E351" s="876"/>
      <c r="F351" s="876"/>
      <c r="G351" s="876"/>
      <c r="H351" s="876"/>
    </row>
    <row r="352" spans="2:8" ht="15" customHeight="1">
      <c r="B352" s="888"/>
      <c r="C352" s="876"/>
      <c r="D352" s="876"/>
      <c r="E352" s="876"/>
      <c r="F352" s="876"/>
      <c r="G352" s="876"/>
      <c r="H352" s="876"/>
    </row>
    <row r="353" spans="2:8" ht="15" customHeight="1">
      <c r="B353" s="888"/>
      <c r="C353" s="876"/>
      <c r="D353" s="876"/>
      <c r="E353" s="876"/>
      <c r="F353" s="876"/>
      <c r="G353" s="876"/>
      <c r="H353" s="876"/>
    </row>
    <row r="354" spans="2:8" ht="15" customHeight="1">
      <c r="B354" s="888"/>
      <c r="C354" s="876"/>
      <c r="D354" s="876"/>
      <c r="E354" s="876"/>
      <c r="F354" s="876"/>
      <c r="G354" s="876"/>
      <c r="H354" s="876"/>
    </row>
    <row r="355" spans="2:8" ht="15" customHeight="1">
      <c r="B355" s="888"/>
      <c r="C355" s="876"/>
      <c r="D355" s="876"/>
      <c r="E355" s="876"/>
      <c r="F355" s="876"/>
      <c r="G355" s="876"/>
      <c r="H355" s="876"/>
    </row>
    <row r="356" spans="2:8" ht="15" customHeight="1">
      <c r="B356" s="888"/>
      <c r="C356" s="876"/>
      <c r="D356" s="876"/>
      <c r="E356" s="876"/>
      <c r="F356" s="876"/>
      <c r="G356" s="876"/>
      <c r="H356" s="876"/>
    </row>
    <row r="357" spans="2:8" ht="15" customHeight="1">
      <c r="B357" s="888"/>
      <c r="C357" s="876"/>
      <c r="D357" s="876"/>
      <c r="E357" s="876"/>
      <c r="F357" s="876"/>
      <c r="G357" s="876"/>
      <c r="H357" s="876"/>
    </row>
    <row r="358" spans="2:8" ht="15" customHeight="1">
      <c r="B358" s="888"/>
      <c r="C358" s="876"/>
      <c r="D358" s="876"/>
      <c r="E358" s="876"/>
      <c r="F358" s="876"/>
      <c r="G358" s="876"/>
      <c r="H358" s="876"/>
    </row>
    <row r="359" spans="2:8" ht="15" customHeight="1">
      <c r="B359" s="888"/>
      <c r="C359" s="876"/>
      <c r="D359" s="876"/>
      <c r="E359" s="876"/>
      <c r="F359" s="876"/>
      <c r="G359" s="876"/>
      <c r="H359" s="876"/>
    </row>
    <row r="360" spans="2:8" ht="15" customHeight="1">
      <c r="B360" s="888"/>
      <c r="C360" s="876"/>
      <c r="D360" s="876"/>
      <c r="E360" s="876"/>
      <c r="F360" s="876"/>
      <c r="G360" s="876"/>
      <c r="H360" s="876"/>
    </row>
    <row r="361" spans="2:8" ht="15" customHeight="1">
      <c r="B361" s="888"/>
      <c r="C361" s="876"/>
      <c r="D361" s="876"/>
      <c r="E361" s="876"/>
      <c r="F361" s="876"/>
      <c r="G361" s="876"/>
      <c r="H361" s="876"/>
    </row>
    <row r="362" spans="2:8" ht="15" customHeight="1">
      <c r="B362" s="888"/>
      <c r="C362" s="876"/>
      <c r="D362" s="876"/>
      <c r="E362" s="876"/>
      <c r="F362" s="876"/>
      <c r="G362" s="876"/>
      <c r="H362" s="876"/>
    </row>
    <row r="363" spans="2:8" ht="15" customHeight="1">
      <c r="B363" s="888"/>
      <c r="C363" s="876"/>
      <c r="D363" s="876"/>
      <c r="E363" s="876"/>
      <c r="F363" s="876"/>
      <c r="G363" s="876"/>
      <c r="H363" s="876"/>
    </row>
    <row r="364" spans="2:8" ht="15" customHeight="1">
      <c r="B364" s="888"/>
      <c r="C364" s="876"/>
      <c r="D364" s="876"/>
      <c r="E364" s="876"/>
      <c r="F364" s="876"/>
      <c r="G364" s="876"/>
      <c r="H364" s="876"/>
    </row>
    <row r="365" spans="2:8" ht="15" customHeight="1">
      <c r="B365" s="888"/>
      <c r="C365" s="876"/>
      <c r="D365" s="876"/>
      <c r="E365" s="876"/>
      <c r="F365" s="876"/>
      <c r="G365" s="876"/>
      <c r="H365" s="876"/>
    </row>
    <row r="366" spans="2:8" ht="15" customHeight="1">
      <c r="B366" s="888"/>
      <c r="C366" s="876"/>
      <c r="D366" s="876"/>
      <c r="E366" s="876"/>
      <c r="F366" s="876"/>
      <c r="G366" s="876"/>
      <c r="H366" s="876"/>
    </row>
    <row r="367" spans="2:8" ht="15" customHeight="1">
      <c r="B367" s="888"/>
      <c r="C367" s="876"/>
      <c r="D367" s="876"/>
      <c r="E367" s="876"/>
      <c r="F367" s="876"/>
      <c r="G367" s="876"/>
      <c r="H367" s="876"/>
    </row>
    <row r="368" spans="2:8" ht="15" customHeight="1">
      <c r="B368" s="888"/>
      <c r="C368" s="876"/>
      <c r="D368" s="876"/>
      <c r="E368" s="876"/>
      <c r="F368" s="876"/>
      <c r="G368" s="876"/>
      <c r="H368" s="876"/>
    </row>
    <row r="369" spans="2:8" ht="15" customHeight="1">
      <c r="B369" s="888"/>
      <c r="C369" s="876"/>
      <c r="D369" s="876"/>
      <c r="E369" s="876"/>
      <c r="F369" s="876"/>
      <c r="G369" s="876"/>
      <c r="H369" s="876"/>
    </row>
    <row r="370" spans="2:8" ht="15" customHeight="1">
      <c r="B370" s="888"/>
      <c r="C370" s="876"/>
      <c r="D370" s="876"/>
      <c r="E370" s="876"/>
      <c r="F370" s="876"/>
      <c r="G370" s="876"/>
      <c r="H370" s="876"/>
    </row>
    <row r="371" spans="2:8" ht="15" customHeight="1">
      <c r="B371" s="888"/>
      <c r="C371" s="876"/>
      <c r="D371" s="876"/>
      <c r="E371" s="876"/>
      <c r="F371" s="876"/>
      <c r="G371" s="876"/>
      <c r="H371" s="876"/>
    </row>
    <row r="372" spans="2:8" ht="15" customHeight="1">
      <c r="B372" s="888"/>
      <c r="C372" s="876"/>
      <c r="D372" s="876"/>
      <c r="E372" s="876"/>
      <c r="F372" s="876"/>
      <c r="G372" s="876"/>
      <c r="H372" s="876"/>
    </row>
    <row r="373" spans="2:8" ht="15" customHeight="1">
      <c r="B373" s="888"/>
      <c r="C373" s="876"/>
      <c r="D373" s="876"/>
      <c r="E373" s="876"/>
      <c r="F373" s="876"/>
      <c r="G373" s="876"/>
      <c r="H373" s="876"/>
    </row>
    <row r="374" spans="2:8" ht="15" customHeight="1">
      <c r="B374" s="888"/>
      <c r="C374" s="876"/>
      <c r="D374" s="876"/>
      <c r="E374" s="876"/>
      <c r="F374" s="876"/>
      <c r="G374" s="876"/>
      <c r="H374" s="876"/>
    </row>
    <row r="375" spans="2:8" ht="15" customHeight="1">
      <c r="B375" s="888"/>
      <c r="C375" s="876"/>
      <c r="D375" s="876"/>
      <c r="E375" s="876"/>
      <c r="F375" s="876"/>
      <c r="G375" s="876"/>
      <c r="H375" s="876"/>
    </row>
    <row r="376" spans="2:8" ht="15" customHeight="1">
      <c r="B376" s="888"/>
      <c r="C376" s="876"/>
      <c r="D376" s="876"/>
      <c r="E376" s="876"/>
      <c r="F376" s="876"/>
      <c r="G376" s="876"/>
      <c r="H376" s="876"/>
    </row>
    <row r="377" spans="2:8" ht="15" customHeight="1">
      <c r="B377" s="888"/>
      <c r="C377" s="876"/>
      <c r="D377" s="876"/>
      <c r="E377" s="876"/>
      <c r="F377" s="876"/>
      <c r="G377" s="876"/>
      <c r="H377" s="876"/>
    </row>
    <row r="378" spans="2:8" ht="15" customHeight="1">
      <c r="B378" s="888"/>
      <c r="C378" s="876"/>
      <c r="D378" s="876"/>
      <c r="E378" s="876"/>
      <c r="F378" s="876"/>
      <c r="G378" s="876"/>
      <c r="H378" s="876"/>
    </row>
    <row r="379" spans="2:8" ht="15" customHeight="1">
      <c r="B379" s="888"/>
      <c r="C379" s="876"/>
      <c r="D379" s="876"/>
      <c r="E379" s="876"/>
      <c r="F379" s="876"/>
      <c r="G379" s="876"/>
      <c r="H379" s="876"/>
    </row>
    <row r="380" spans="2:8" ht="15" customHeight="1">
      <c r="B380" s="888"/>
      <c r="C380" s="876"/>
      <c r="D380" s="876"/>
      <c r="E380" s="876"/>
      <c r="F380" s="876"/>
      <c r="G380" s="876"/>
      <c r="H380" s="876"/>
    </row>
    <row r="381" spans="2:8" ht="15" customHeight="1">
      <c r="B381" s="888"/>
      <c r="C381" s="876"/>
      <c r="D381" s="876"/>
      <c r="E381" s="876"/>
      <c r="F381" s="876"/>
      <c r="G381" s="876"/>
      <c r="H381" s="876"/>
    </row>
    <row r="382" spans="2:8" ht="15" customHeight="1">
      <c r="B382" s="888"/>
      <c r="C382" s="876"/>
      <c r="D382" s="876"/>
      <c r="E382" s="876"/>
      <c r="F382" s="876"/>
      <c r="G382" s="876"/>
      <c r="H382" s="876"/>
    </row>
    <row r="383" spans="2:8" ht="15" customHeight="1">
      <c r="B383" s="888"/>
      <c r="C383" s="876"/>
      <c r="D383" s="876"/>
      <c r="E383" s="876"/>
      <c r="F383" s="876"/>
      <c r="G383" s="876"/>
      <c r="H383" s="876"/>
    </row>
    <row r="384" spans="2:8" ht="15" customHeight="1">
      <c r="B384" s="888"/>
      <c r="C384" s="876"/>
      <c r="D384" s="876"/>
      <c r="E384" s="876"/>
      <c r="F384" s="876"/>
      <c r="G384" s="876"/>
      <c r="H384" s="876"/>
    </row>
    <row r="385" spans="2:8" ht="15" customHeight="1">
      <c r="B385" s="888"/>
      <c r="C385" s="876"/>
      <c r="D385" s="876"/>
      <c r="E385" s="876"/>
      <c r="F385" s="876"/>
      <c r="G385" s="876"/>
      <c r="H385" s="876"/>
    </row>
    <row r="386" spans="2:8" ht="15" customHeight="1">
      <c r="B386" s="888"/>
      <c r="C386" s="876"/>
      <c r="D386" s="876"/>
      <c r="E386" s="876"/>
      <c r="F386" s="876"/>
      <c r="G386" s="876"/>
      <c r="H386" s="876"/>
    </row>
    <row r="387" spans="2:8" ht="15" customHeight="1">
      <c r="B387" s="888"/>
      <c r="C387" s="876"/>
      <c r="D387" s="876"/>
      <c r="E387" s="876"/>
      <c r="F387" s="876"/>
      <c r="G387" s="876"/>
      <c r="H387" s="876"/>
    </row>
    <row r="388" spans="2:8" ht="15" customHeight="1">
      <c r="B388" s="888"/>
      <c r="C388" s="876"/>
      <c r="D388" s="876"/>
      <c r="E388" s="876"/>
      <c r="F388" s="876"/>
      <c r="G388" s="876"/>
      <c r="H388" s="876"/>
    </row>
    <row r="389" spans="2:8" ht="15" customHeight="1">
      <c r="B389" s="888"/>
      <c r="C389" s="876"/>
      <c r="D389" s="876"/>
      <c r="E389" s="876"/>
      <c r="F389" s="876"/>
      <c r="G389" s="876"/>
      <c r="H389" s="876"/>
    </row>
    <row r="390" spans="2:8" ht="15" customHeight="1">
      <c r="B390" s="888"/>
      <c r="C390" s="876"/>
      <c r="D390" s="876"/>
      <c r="E390" s="876"/>
      <c r="F390" s="876"/>
      <c r="G390" s="876"/>
      <c r="H390" s="876"/>
    </row>
    <row r="391" spans="2:8" ht="15" customHeight="1">
      <c r="B391" s="888"/>
      <c r="C391" s="876"/>
      <c r="D391" s="876"/>
      <c r="E391" s="876"/>
      <c r="F391" s="876"/>
      <c r="G391" s="876"/>
      <c r="H391" s="876"/>
    </row>
    <row r="392" spans="2:8" ht="15" customHeight="1">
      <c r="B392" s="888"/>
      <c r="C392" s="876"/>
      <c r="D392" s="876"/>
      <c r="E392" s="876"/>
      <c r="F392" s="876"/>
      <c r="G392" s="876"/>
      <c r="H392" s="876"/>
    </row>
    <row r="393" spans="2:8" ht="15" customHeight="1">
      <c r="B393" s="888"/>
      <c r="C393" s="876"/>
      <c r="D393" s="876"/>
      <c r="E393" s="876"/>
      <c r="F393" s="876"/>
      <c r="G393" s="876"/>
      <c r="H393" s="876"/>
    </row>
    <row r="394" spans="2:8" ht="15" customHeight="1">
      <c r="B394" s="888"/>
      <c r="C394" s="876"/>
      <c r="D394" s="876"/>
      <c r="E394" s="876"/>
      <c r="F394" s="876"/>
      <c r="G394" s="876"/>
      <c r="H394" s="876"/>
    </row>
    <row r="395" spans="2:8" ht="15" customHeight="1">
      <c r="B395" s="888"/>
      <c r="C395" s="876"/>
      <c r="D395" s="876"/>
      <c r="E395" s="876"/>
      <c r="F395" s="876"/>
      <c r="G395" s="876"/>
      <c r="H395" s="876"/>
    </row>
    <row r="396" spans="2:8" ht="15" customHeight="1">
      <c r="B396" s="888"/>
      <c r="C396" s="876"/>
      <c r="D396" s="876"/>
      <c r="E396" s="876"/>
      <c r="F396" s="876"/>
      <c r="G396" s="876"/>
      <c r="H396" s="876"/>
    </row>
    <row r="397" spans="2:8" ht="15" customHeight="1">
      <c r="B397" s="888"/>
      <c r="C397" s="876"/>
      <c r="D397" s="876"/>
      <c r="E397" s="876"/>
      <c r="F397" s="876"/>
      <c r="G397" s="876"/>
      <c r="H397" s="876"/>
    </row>
    <row r="398" spans="2:8" ht="15" customHeight="1">
      <c r="B398" s="888"/>
      <c r="C398" s="876"/>
      <c r="D398" s="876"/>
      <c r="E398" s="876"/>
      <c r="F398" s="876"/>
      <c r="G398" s="876"/>
      <c r="H398" s="876"/>
    </row>
    <row r="399" spans="2:8" ht="15" customHeight="1">
      <c r="B399" s="888"/>
      <c r="C399" s="876"/>
      <c r="D399" s="876"/>
      <c r="E399" s="876"/>
      <c r="F399" s="876"/>
      <c r="G399" s="876"/>
      <c r="H399" s="876"/>
    </row>
    <row r="400" spans="2:8" ht="15" customHeight="1">
      <c r="B400" s="888"/>
      <c r="C400" s="876"/>
      <c r="D400" s="876"/>
      <c r="E400" s="876"/>
      <c r="F400" s="876"/>
      <c r="G400" s="876"/>
      <c r="H400" s="876"/>
    </row>
    <row r="401" spans="2:8" ht="15" customHeight="1">
      <c r="B401" s="888"/>
      <c r="C401" s="876"/>
      <c r="D401" s="876"/>
      <c r="E401" s="876"/>
      <c r="F401" s="876"/>
      <c r="G401" s="876"/>
      <c r="H401" s="876"/>
    </row>
    <row r="402" spans="2:8" ht="15" customHeight="1">
      <c r="B402" s="888"/>
      <c r="C402" s="876"/>
      <c r="D402" s="876"/>
      <c r="E402" s="876"/>
      <c r="F402" s="876"/>
      <c r="G402" s="876"/>
      <c r="H402" s="876"/>
    </row>
    <row r="403" spans="2:8" ht="15" customHeight="1">
      <c r="B403" s="888"/>
      <c r="C403" s="876"/>
      <c r="D403" s="876"/>
      <c r="E403" s="876"/>
      <c r="F403" s="876"/>
      <c r="G403" s="876"/>
      <c r="H403" s="876"/>
    </row>
    <row r="404" spans="2:8" ht="15" customHeight="1">
      <c r="B404" s="888"/>
      <c r="C404" s="876"/>
      <c r="D404" s="876"/>
      <c r="E404" s="876"/>
      <c r="F404" s="876"/>
      <c r="G404" s="876"/>
      <c r="H404" s="876"/>
    </row>
    <row r="405" spans="2:8" ht="15" customHeight="1">
      <c r="B405" s="888"/>
      <c r="C405" s="876"/>
      <c r="D405" s="876"/>
      <c r="E405" s="876"/>
      <c r="F405" s="876"/>
      <c r="G405" s="876"/>
      <c r="H405" s="876"/>
    </row>
    <row r="406" spans="2:8" ht="15" customHeight="1">
      <c r="B406" s="888"/>
      <c r="C406" s="876"/>
      <c r="D406" s="876"/>
      <c r="E406" s="876"/>
      <c r="F406" s="876"/>
      <c r="G406" s="876"/>
      <c r="H406" s="876"/>
    </row>
    <row r="407" spans="2:8" ht="15" customHeight="1">
      <c r="B407" s="888"/>
      <c r="C407" s="876"/>
      <c r="D407" s="876"/>
      <c r="E407" s="876"/>
      <c r="F407" s="876"/>
      <c r="G407" s="876"/>
      <c r="H407" s="876"/>
    </row>
    <row r="408" spans="2:8" ht="15" customHeight="1">
      <c r="B408" s="888"/>
      <c r="C408" s="876"/>
      <c r="D408" s="876"/>
      <c r="E408" s="876"/>
      <c r="F408" s="876"/>
      <c r="G408" s="876"/>
      <c r="H408" s="876"/>
    </row>
    <row r="409" spans="2:8" ht="15" customHeight="1">
      <c r="B409" s="888"/>
      <c r="C409" s="876"/>
      <c r="D409" s="876"/>
      <c r="E409" s="876"/>
      <c r="F409" s="876"/>
      <c r="G409" s="876"/>
      <c r="H409" s="876"/>
    </row>
    <row r="410" spans="2:8" ht="15" customHeight="1">
      <c r="B410" s="888"/>
      <c r="C410" s="876"/>
      <c r="D410" s="876"/>
      <c r="E410" s="876"/>
      <c r="F410" s="876"/>
      <c r="G410" s="876"/>
      <c r="H410" s="876"/>
    </row>
    <row r="411" spans="2:8" ht="15" customHeight="1">
      <c r="B411" s="888"/>
      <c r="C411" s="876"/>
      <c r="D411" s="876"/>
      <c r="E411" s="876"/>
      <c r="F411" s="876"/>
      <c r="G411" s="876"/>
      <c r="H411" s="876"/>
    </row>
    <row r="412" spans="2:8" ht="15" customHeight="1">
      <c r="B412" s="888"/>
      <c r="C412" s="876"/>
      <c r="D412" s="876"/>
      <c r="E412" s="876"/>
      <c r="F412" s="876"/>
      <c r="G412" s="876"/>
      <c r="H412" s="876"/>
    </row>
    <row r="413" spans="2:8" ht="15" customHeight="1">
      <c r="B413" s="888"/>
      <c r="C413" s="876"/>
      <c r="D413" s="876"/>
      <c r="E413" s="876"/>
      <c r="F413" s="876"/>
      <c r="G413" s="876"/>
      <c r="H413" s="876"/>
    </row>
    <row r="414" spans="2:8" ht="15" customHeight="1">
      <c r="B414" s="888"/>
      <c r="C414" s="876"/>
      <c r="D414" s="876"/>
      <c r="E414" s="876"/>
      <c r="F414" s="876"/>
      <c r="G414" s="876"/>
      <c r="H414" s="876"/>
    </row>
    <row r="415" spans="2:8" ht="15" customHeight="1">
      <c r="B415" s="888"/>
      <c r="C415" s="876"/>
      <c r="D415" s="876"/>
      <c r="E415" s="876"/>
      <c r="F415" s="876"/>
      <c r="G415" s="876"/>
      <c r="H415" s="876"/>
    </row>
    <row r="416" spans="2:8" ht="15" customHeight="1">
      <c r="B416" s="888"/>
      <c r="C416" s="876"/>
      <c r="D416" s="876"/>
      <c r="E416" s="876"/>
      <c r="F416" s="876"/>
      <c r="G416" s="876"/>
      <c r="H416" s="876"/>
    </row>
    <row r="417" spans="2:8" ht="15" customHeight="1">
      <c r="B417" s="888"/>
      <c r="C417" s="876"/>
      <c r="D417" s="876"/>
      <c r="E417" s="876"/>
      <c r="F417" s="876"/>
      <c r="G417" s="876"/>
      <c r="H417" s="876"/>
    </row>
    <row r="418" spans="2:8" ht="15" customHeight="1">
      <c r="B418" s="888"/>
      <c r="C418" s="876"/>
      <c r="D418" s="876"/>
      <c r="E418" s="876"/>
      <c r="F418" s="876"/>
      <c r="G418" s="876"/>
      <c r="H418" s="876"/>
    </row>
    <row r="419" spans="2:8" ht="15" customHeight="1">
      <c r="B419" s="888"/>
      <c r="C419" s="876"/>
      <c r="D419" s="876"/>
      <c r="E419" s="876"/>
      <c r="F419" s="876"/>
      <c r="G419" s="876"/>
      <c r="H419" s="876"/>
    </row>
    <row r="420" spans="2:8" ht="15" customHeight="1">
      <c r="B420" s="888"/>
      <c r="C420" s="876"/>
      <c r="D420" s="876"/>
      <c r="E420" s="876"/>
      <c r="F420" s="876"/>
      <c r="G420" s="876"/>
      <c r="H420" s="876"/>
    </row>
    <row r="421" spans="2:8" ht="15" customHeight="1">
      <c r="B421" s="888"/>
      <c r="C421" s="876"/>
      <c r="D421" s="876"/>
      <c r="E421" s="876"/>
      <c r="F421" s="876"/>
      <c r="G421" s="876"/>
      <c r="H421" s="876"/>
    </row>
    <row r="422" spans="2:8" ht="15" customHeight="1">
      <c r="B422" s="888"/>
      <c r="C422" s="876"/>
      <c r="D422" s="876"/>
      <c r="E422" s="876"/>
      <c r="F422" s="876"/>
      <c r="G422" s="876"/>
      <c r="H422" s="876"/>
    </row>
    <row r="423" spans="2:8" ht="15" customHeight="1">
      <c r="B423" s="888"/>
      <c r="C423" s="876"/>
      <c r="D423" s="876"/>
      <c r="E423" s="876"/>
      <c r="F423" s="876"/>
      <c r="G423" s="876"/>
      <c r="H423" s="876"/>
    </row>
    <row r="424" spans="2:8" ht="15" customHeight="1">
      <c r="B424" s="888"/>
      <c r="C424" s="876"/>
      <c r="D424" s="876"/>
      <c r="E424" s="876"/>
      <c r="F424" s="876"/>
      <c r="G424" s="876"/>
      <c r="H424" s="876"/>
    </row>
    <row r="425" spans="2:8" ht="15" customHeight="1">
      <c r="B425" s="888"/>
      <c r="C425" s="876"/>
      <c r="D425" s="876"/>
      <c r="E425" s="876"/>
      <c r="F425" s="876"/>
      <c r="G425" s="876"/>
      <c r="H425" s="876"/>
    </row>
    <row r="426" spans="2:8" ht="15" customHeight="1">
      <c r="B426" s="888"/>
      <c r="C426" s="876"/>
      <c r="D426" s="876"/>
      <c r="E426" s="876"/>
      <c r="F426" s="876"/>
      <c r="G426" s="876"/>
      <c r="H426" s="876"/>
    </row>
    <row r="427" spans="2:8" ht="15" customHeight="1">
      <c r="B427" s="888"/>
      <c r="C427" s="876"/>
      <c r="D427" s="876"/>
      <c r="E427" s="876"/>
      <c r="F427" s="876"/>
      <c r="G427" s="876"/>
      <c r="H427" s="876"/>
    </row>
    <row r="428" spans="2:8" ht="15" customHeight="1">
      <c r="B428" s="888"/>
      <c r="C428" s="876"/>
      <c r="D428" s="876"/>
      <c r="E428" s="876"/>
      <c r="F428" s="876"/>
      <c r="G428" s="876"/>
      <c r="H428" s="876"/>
    </row>
    <row r="429" spans="2:8" ht="15" customHeight="1">
      <c r="B429" s="888"/>
      <c r="C429" s="876"/>
      <c r="D429" s="876"/>
      <c r="E429" s="876"/>
      <c r="F429" s="876"/>
      <c r="G429" s="876"/>
      <c r="H429" s="876"/>
    </row>
    <row r="430" spans="2:8" ht="15" customHeight="1">
      <c r="B430" s="888"/>
      <c r="C430" s="876"/>
      <c r="D430" s="876"/>
      <c r="E430" s="876"/>
      <c r="F430" s="876"/>
      <c r="G430" s="876"/>
      <c r="H430" s="876"/>
    </row>
    <row r="431" spans="2:8" ht="15" customHeight="1">
      <c r="B431" s="888"/>
      <c r="C431" s="876"/>
      <c r="D431" s="876"/>
      <c r="E431" s="876"/>
      <c r="F431" s="876"/>
      <c r="G431" s="876"/>
      <c r="H431" s="876"/>
    </row>
    <row r="432" spans="2:8" ht="15" customHeight="1">
      <c r="B432" s="888"/>
      <c r="C432" s="876"/>
      <c r="D432" s="876"/>
      <c r="E432" s="876"/>
      <c r="F432" s="876"/>
      <c r="G432" s="876"/>
      <c r="H432" s="876"/>
    </row>
    <row r="433" spans="2:8" ht="15" customHeight="1">
      <c r="B433" s="888"/>
      <c r="C433" s="876"/>
      <c r="D433" s="876"/>
      <c r="E433" s="876"/>
      <c r="F433" s="876"/>
      <c r="G433" s="876"/>
      <c r="H433" s="876"/>
    </row>
    <row r="434" spans="2:8" ht="15" customHeight="1">
      <c r="B434" s="888"/>
      <c r="C434" s="876"/>
      <c r="D434" s="876"/>
      <c r="E434" s="876"/>
      <c r="F434" s="876"/>
      <c r="G434" s="876"/>
      <c r="H434" s="876"/>
    </row>
    <row r="435" spans="2:8" ht="15" customHeight="1">
      <c r="B435" s="888"/>
      <c r="C435" s="876"/>
      <c r="D435" s="876"/>
      <c r="E435" s="876"/>
      <c r="F435" s="876"/>
      <c r="G435" s="876"/>
      <c r="H435" s="876"/>
    </row>
    <row r="436" spans="2:8" ht="15" customHeight="1">
      <c r="B436" s="888"/>
      <c r="C436" s="876"/>
      <c r="D436" s="876"/>
      <c r="E436" s="876"/>
      <c r="F436" s="876"/>
      <c r="G436" s="876"/>
      <c r="H436" s="876"/>
    </row>
    <row r="437" spans="2:8" ht="15" customHeight="1">
      <c r="B437" s="888"/>
      <c r="C437" s="876"/>
      <c r="D437" s="876"/>
      <c r="E437" s="876"/>
      <c r="F437" s="876"/>
      <c r="G437" s="876"/>
      <c r="H437" s="876"/>
    </row>
    <row r="438" spans="2:8" ht="15" customHeight="1">
      <c r="B438" s="888"/>
      <c r="C438" s="876"/>
      <c r="D438" s="876"/>
      <c r="E438" s="876"/>
      <c r="F438" s="876"/>
      <c r="G438" s="876"/>
      <c r="H438" s="876"/>
    </row>
    <row r="439" spans="2:8" ht="15" customHeight="1">
      <c r="B439" s="888"/>
      <c r="C439" s="876"/>
      <c r="D439" s="876"/>
      <c r="E439" s="876"/>
      <c r="F439" s="876"/>
      <c r="G439" s="876"/>
      <c r="H439" s="876"/>
    </row>
    <row r="440" spans="2:8" ht="15" customHeight="1">
      <c r="B440" s="888"/>
      <c r="C440" s="876"/>
      <c r="D440" s="876"/>
      <c r="E440" s="876"/>
      <c r="F440" s="876"/>
      <c r="G440" s="876"/>
      <c r="H440" s="876"/>
    </row>
    <row r="441" spans="2:8" ht="15" customHeight="1">
      <c r="B441" s="888"/>
      <c r="C441" s="876"/>
      <c r="D441" s="876"/>
      <c r="E441" s="876"/>
      <c r="F441" s="876"/>
      <c r="G441" s="876"/>
      <c r="H441" s="876"/>
    </row>
    <row r="442" spans="2:8" ht="15" customHeight="1">
      <c r="B442" s="888"/>
      <c r="C442" s="876"/>
      <c r="D442" s="876"/>
      <c r="E442" s="876"/>
      <c r="F442" s="876"/>
      <c r="G442" s="876"/>
      <c r="H442" s="876"/>
    </row>
    <row r="443" spans="2:8" ht="15" customHeight="1">
      <c r="B443" s="888"/>
      <c r="C443" s="876"/>
      <c r="D443" s="876"/>
      <c r="E443" s="876"/>
      <c r="F443" s="876"/>
      <c r="G443" s="876"/>
      <c r="H443" s="876"/>
    </row>
    <row r="444" spans="2:8" ht="15" customHeight="1">
      <c r="B444" s="888"/>
      <c r="C444" s="876"/>
      <c r="D444" s="876"/>
      <c r="E444" s="876"/>
      <c r="F444" s="876"/>
      <c r="G444" s="876"/>
      <c r="H444" s="876"/>
    </row>
    <row r="445" spans="2:8" ht="15" customHeight="1">
      <c r="B445" s="888"/>
      <c r="C445" s="876"/>
      <c r="D445" s="876"/>
      <c r="E445" s="876"/>
      <c r="F445" s="876"/>
      <c r="G445" s="876"/>
      <c r="H445" s="876"/>
    </row>
    <row r="446" spans="2:8" ht="15" customHeight="1">
      <c r="B446" s="888"/>
      <c r="C446" s="876"/>
      <c r="D446" s="876"/>
      <c r="E446" s="876"/>
      <c r="F446" s="876"/>
      <c r="G446" s="876"/>
      <c r="H446" s="876"/>
    </row>
    <row r="447" spans="2:8" ht="15" customHeight="1">
      <c r="B447" s="888"/>
      <c r="C447" s="876"/>
      <c r="D447" s="876"/>
      <c r="E447" s="876"/>
      <c r="F447" s="876"/>
      <c r="G447" s="876"/>
      <c r="H447" s="876"/>
    </row>
    <row r="448" spans="2:8" ht="15" customHeight="1">
      <c r="B448" s="888"/>
      <c r="C448" s="876"/>
      <c r="D448" s="876"/>
      <c r="E448" s="876"/>
      <c r="F448" s="876"/>
      <c r="G448" s="876"/>
      <c r="H448" s="876"/>
    </row>
    <row r="449" spans="2:8" ht="15" customHeight="1">
      <c r="B449" s="888"/>
      <c r="C449" s="876"/>
      <c r="D449" s="876"/>
      <c r="E449" s="876"/>
      <c r="F449" s="876"/>
      <c r="G449" s="876"/>
      <c r="H449" s="876"/>
    </row>
    <row r="450" spans="2:8" ht="15" customHeight="1">
      <c r="B450" s="888"/>
      <c r="C450" s="876"/>
      <c r="D450" s="876"/>
      <c r="E450" s="876"/>
      <c r="F450" s="876"/>
      <c r="G450" s="876"/>
      <c r="H450" s="876"/>
    </row>
    <row r="451" spans="2:8" ht="15" customHeight="1">
      <c r="B451" s="888"/>
      <c r="C451" s="876"/>
      <c r="D451" s="876"/>
      <c r="E451" s="876"/>
      <c r="F451" s="876"/>
      <c r="G451" s="876"/>
      <c r="H451" s="876"/>
    </row>
    <row r="452" spans="2:8" ht="15" customHeight="1">
      <c r="B452" s="888"/>
      <c r="C452" s="876"/>
      <c r="D452" s="876"/>
      <c r="E452" s="876"/>
      <c r="F452" s="876"/>
      <c r="G452" s="876"/>
      <c r="H452" s="876"/>
    </row>
    <row r="453" spans="2:8" ht="15" customHeight="1">
      <c r="B453" s="888"/>
      <c r="C453" s="876"/>
      <c r="D453" s="876"/>
      <c r="E453" s="876"/>
      <c r="F453" s="876"/>
      <c r="G453" s="876"/>
      <c r="H453" s="876"/>
    </row>
    <row r="454" spans="2:8" ht="15" customHeight="1">
      <c r="B454" s="888"/>
      <c r="C454" s="876"/>
      <c r="D454" s="876"/>
      <c r="E454" s="876"/>
      <c r="F454" s="876"/>
      <c r="G454" s="876"/>
      <c r="H454" s="876"/>
    </row>
    <row r="455" spans="2:8" ht="15" customHeight="1">
      <c r="B455" s="888"/>
      <c r="C455" s="876"/>
      <c r="D455" s="876"/>
      <c r="E455" s="876"/>
      <c r="F455" s="876"/>
      <c r="G455" s="876"/>
      <c r="H455" s="876"/>
    </row>
    <row r="456" spans="2:8" ht="15" customHeight="1">
      <c r="B456" s="888"/>
      <c r="C456" s="876"/>
      <c r="D456" s="876"/>
      <c r="E456" s="876"/>
      <c r="F456" s="876"/>
      <c r="G456" s="876"/>
      <c r="H456" s="876"/>
    </row>
    <row r="457" spans="2:8" ht="15" customHeight="1">
      <c r="B457" s="888"/>
      <c r="C457" s="876"/>
      <c r="D457" s="876"/>
      <c r="E457" s="876"/>
      <c r="F457" s="876"/>
      <c r="G457" s="876"/>
      <c r="H457" s="876"/>
    </row>
    <row r="458" spans="2:8" ht="15" customHeight="1">
      <c r="B458" s="888"/>
      <c r="C458" s="876"/>
      <c r="D458" s="876"/>
      <c r="E458" s="876"/>
      <c r="F458" s="876"/>
      <c r="G458" s="876"/>
      <c r="H458" s="876"/>
    </row>
    <row r="459" spans="2:8" ht="15" customHeight="1">
      <c r="B459" s="888"/>
      <c r="C459" s="876"/>
      <c r="D459" s="876"/>
      <c r="E459" s="876"/>
      <c r="F459" s="876"/>
      <c r="G459" s="876"/>
      <c r="H459" s="876"/>
    </row>
    <row r="460" spans="2:8" ht="15" customHeight="1">
      <c r="B460" s="888"/>
      <c r="C460" s="876"/>
      <c r="D460" s="876"/>
      <c r="E460" s="876"/>
      <c r="F460" s="876"/>
      <c r="G460" s="876"/>
      <c r="H460" s="876"/>
    </row>
    <row r="461" spans="2:8" ht="15" customHeight="1">
      <c r="B461" s="888"/>
      <c r="C461" s="876"/>
      <c r="D461" s="876"/>
      <c r="E461" s="876"/>
      <c r="F461" s="876"/>
      <c r="G461" s="876"/>
      <c r="H461" s="876"/>
    </row>
    <row r="462" spans="2:8" ht="15" customHeight="1">
      <c r="B462" s="888"/>
      <c r="C462" s="876"/>
      <c r="D462" s="876"/>
      <c r="E462" s="876"/>
      <c r="F462" s="876"/>
      <c r="G462" s="876"/>
      <c r="H462" s="876"/>
    </row>
    <row r="463" spans="2:8" ht="15" customHeight="1">
      <c r="B463" s="888"/>
      <c r="C463" s="876"/>
      <c r="D463" s="876"/>
      <c r="E463" s="876"/>
      <c r="F463" s="876"/>
      <c r="G463" s="876"/>
      <c r="H463" s="876"/>
    </row>
    <row r="464" spans="2:8" ht="15" customHeight="1">
      <c r="B464" s="888"/>
      <c r="C464" s="876"/>
      <c r="D464" s="876"/>
      <c r="E464" s="876"/>
      <c r="F464" s="876"/>
      <c r="G464" s="876"/>
      <c r="H464" s="876"/>
    </row>
    <row r="465" spans="2:8" ht="15" customHeight="1">
      <c r="B465" s="888"/>
      <c r="C465" s="876"/>
      <c r="D465" s="876"/>
      <c r="E465" s="876"/>
      <c r="F465" s="876"/>
      <c r="G465" s="876"/>
      <c r="H465" s="876"/>
    </row>
    <row r="466" spans="2:8" ht="15" customHeight="1">
      <c r="B466" s="888"/>
      <c r="C466" s="876"/>
      <c r="D466" s="876"/>
      <c r="E466" s="876"/>
      <c r="F466" s="876"/>
      <c r="G466" s="876"/>
      <c r="H466" s="876"/>
    </row>
    <row r="467" spans="2:8" ht="15" customHeight="1">
      <c r="B467" s="888"/>
      <c r="C467" s="876"/>
      <c r="D467" s="876"/>
      <c r="E467" s="876"/>
      <c r="F467" s="876"/>
      <c r="G467" s="876"/>
      <c r="H467" s="876"/>
    </row>
    <row r="468" spans="2:8" ht="15" customHeight="1">
      <c r="B468" s="888"/>
      <c r="C468" s="876"/>
      <c r="D468" s="876"/>
      <c r="E468" s="876"/>
      <c r="F468" s="876"/>
      <c r="G468" s="876"/>
      <c r="H468" s="876"/>
    </row>
    <row r="469" spans="2:8" ht="15" customHeight="1">
      <c r="B469" s="888"/>
      <c r="C469" s="876"/>
      <c r="D469" s="876"/>
      <c r="E469" s="876"/>
      <c r="F469" s="876"/>
      <c r="G469" s="876"/>
      <c r="H469" s="876"/>
    </row>
    <row r="470" spans="2:8" ht="15" customHeight="1">
      <c r="B470" s="888"/>
      <c r="C470" s="876"/>
      <c r="D470" s="876"/>
      <c r="E470" s="876"/>
      <c r="F470" s="876"/>
      <c r="G470" s="876"/>
      <c r="H470" s="876"/>
    </row>
    <row r="471" spans="2:8" ht="15" customHeight="1">
      <c r="B471" s="888"/>
      <c r="C471" s="876"/>
      <c r="D471" s="876"/>
      <c r="E471" s="876"/>
      <c r="F471" s="876"/>
      <c r="G471" s="876"/>
      <c r="H471" s="876"/>
    </row>
    <row r="472" spans="2:8" ht="15" customHeight="1">
      <c r="B472" s="888"/>
      <c r="C472" s="876"/>
      <c r="D472" s="876"/>
      <c r="E472" s="876"/>
      <c r="F472" s="876"/>
      <c r="G472" s="876"/>
      <c r="H472" s="876"/>
    </row>
    <row r="473" spans="2:8" ht="15" customHeight="1">
      <c r="B473" s="888"/>
      <c r="C473" s="876"/>
      <c r="D473" s="876"/>
      <c r="E473" s="876"/>
      <c r="F473" s="876"/>
      <c r="G473" s="876"/>
      <c r="H473" s="876"/>
    </row>
    <row r="474" spans="2:8" ht="15" customHeight="1">
      <c r="B474" s="888"/>
      <c r="C474" s="876"/>
      <c r="D474" s="876"/>
      <c r="E474" s="876"/>
      <c r="F474" s="876"/>
      <c r="G474" s="876"/>
      <c r="H474" s="876"/>
    </row>
    <row r="475" spans="2:8" ht="15" customHeight="1">
      <c r="B475" s="888"/>
      <c r="C475" s="876"/>
      <c r="D475" s="876"/>
      <c r="E475" s="876"/>
      <c r="F475" s="876"/>
      <c r="G475" s="876"/>
      <c r="H475" s="876"/>
    </row>
    <row r="476" spans="2:8" ht="15" customHeight="1">
      <c r="B476" s="888"/>
      <c r="C476" s="876"/>
      <c r="D476" s="876"/>
      <c r="E476" s="876"/>
      <c r="F476" s="876"/>
      <c r="G476" s="876"/>
      <c r="H476" s="876"/>
    </row>
    <row r="477" spans="2:8" ht="15" customHeight="1">
      <c r="B477" s="888"/>
      <c r="C477" s="876"/>
      <c r="D477" s="876"/>
      <c r="E477" s="876"/>
      <c r="F477" s="876"/>
      <c r="G477" s="876"/>
      <c r="H477" s="876"/>
    </row>
    <row r="478" spans="2:8" ht="15" customHeight="1">
      <c r="B478" s="888"/>
      <c r="C478" s="876"/>
      <c r="D478" s="876"/>
      <c r="E478" s="876"/>
      <c r="F478" s="876"/>
      <c r="G478" s="876"/>
      <c r="H478" s="876"/>
    </row>
    <row r="479" spans="2:8" ht="15" customHeight="1">
      <c r="B479" s="888"/>
      <c r="C479" s="876"/>
      <c r="D479" s="876"/>
      <c r="E479" s="876"/>
      <c r="F479" s="876"/>
      <c r="G479" s="876"/>
      <c r="H479" s="876"/>
    </row>
    <row r="480" spans="2:8" ht="15" customHeight="1">
      <c r="B480" s="888"/>
      <c r="C480" s="876"/>
      <c r="D480" s="876"/>
      <c r="E480" s="876"/>
      <c r="F480" s="876"/>
      <c r="G480" s="876"/>
      <c r="H480" s="876"/>
    </row>
    <row r="481" spans="2:8" ht="15" customHeight="1">
      <c r="B481" s="888"/>
      <c r="C481" s="876"/>
      <c r="D481" s="876"/>
      <c r="E481" s="876"/>
      <c r="F481" s="876"/>
      <c r="G481" s="876"/>
      <c r="H481" s="876"/>
    </row>
    <row r="482" spans="2:8" ht="15" customHeight="1">
      <c r="B482" s="888"/>
      <c r="C482" s="876"/>
      <c r="D482" s="876"/>
      <c r="E482" s="876"/>
      <c r="F482" s="876"/>
      <c r="G482" s="876"/>
      <c r="H482" s="876"/>
    </row>
    <row r="483" spans="2:8" ht="15" customHeight="1">
      <c r="B483" s="888"/>
      <c r="C483" s="876"/>
      <c r="D483" s="876"/>
      <c r="E483" s="876"/>
      <c r="F483" s="876"/>
      <c r="G483" s="876"/>
      <c r="H483" s="876"/>
    </row>
    <row r="484" spans="2:8" ht="15" customHeight="1">
      <c r="B484" s="888"/>
      <c r="C484" s="876"/>
      <c r="D484" s="876"/>
      <c r="E484" s="876"/>
      <c r="F484" s="876"/>
      <c r="G484" s="876"/>
      <c r="H484" s="876"/>
    </row>
    <row r="485" spans="2:8" ht="15" customHeight="1">
      <c r="B485" s="888"/>
      <c r="C485" s="876"/>
      <c r="D485" s="876"/>
      <c r="E485" s="876"/>
      <c r="F485" s="876"/>
      <c r="G485" s="876"/>
      <c r="H485" s="876"/>
    </row>
    <row r="486" spans="2:8" ht="15" customHeight="1">
      <c r="B486" s="888"/>
      <c r="C486" s="876"/>
      <c r="D486" s="876"/>
      <c r="E486" s="876"/>
      <c r="F486" s="876"/>
      <c r="G486" s="876"/>
      <c r="H486" s="876"/>
    </row>
    <row r="487" spans="2:8" ht="15" customHeight="1">
      <c r="B487" s="888"/>
      <c r="C487" s="876"/>
      <c r="D487" s="876"/>
      <c r="E487" s="876"/>
      <c r="F487" s="876"/>
      <c r="G487" s="876"/>
      <c r="H487" s="876"/>
    </row>
    <row r="488" spans="2:8" ht="15" customHeight="1">
      <c r="B488" s="888"/>
      <c r="C488" s="876"/>
      <c r="D488" s="876"/>
      <c r="E488" s="876"/>
      <c r="F488" s="876"/>
      <c r="G488" s="876"/>
      <c r="H488" s="876"/>
    </row>
    <row r="489" spans="2:8" ht="15" customHeight="1">
      <c r="B489" s="888"/>
      <c r="C489" s="876"/>
      <c r="D489" s="876"/>
      <c r="E489" s="876"/>
      <c r="F489" s="876"/>
      <c r="G489" s="876"/>
      <c r="H489" s="876"/>
    </row>
    <row r="490" spans="2:8" ht="15" customHeight="1">
      <c r="B490" s="888"/>
      <c r="C490" s="876"/>
      <c r="D490" s="876"/>
      <c r="E490" s="876"/>
      <c r="F490" s="876"/>
      <c r="G490" s="876"/>
      <c r="H490" s="876"/>
    </row>
    <row r="491" spans="2:8" ht="15" customHeight="1">
      <c r="B491" s="888"/>
      <c r="C491" s="876"/>
      <c r="D491" s="876"/>
      <c r="E491" s="876"/>
      <c r="F491" s="876"/>
      <c r="G491" s="876"/>
      <c r="H491" s="876"/>
    </row>
    <row r="492" spans="2:8" ht="15" customHeight="1">
      <c r="B492" s="888"/>
      <c r="C492" s="876"/>
      <c r="D492" s="876"/>
      <c r="E492" s="876"/>
      <c r="F492" s="876"/>
      <c r="G492" s="876"/>
      <c r="H492" s="876"/>
    </row>
    <row r="493" spans="2:8" ht="15" customHeight="1">
      <c r="B493" s="888"/>
      <c r="C493" s="876"/>
      <c r="D493" s="876"/>
      <c r="E493" s="876"/>
      <c r="F493" s="876"/>
      <c r="G493" s="876"/>
      <c r="H493" s="876"/>
    </row>
    <row r="494" spans="2:8" ht="15" customHeight="1">
      <c r="B494" s="888"/>
      <c r="C494" s="876"/>
      <c r="D494" s="876"/>
      <c r="E494" s="876"/>
      <c r="F494" s="876"/>
      <c r="G494" s="876"/>
      <c r="H494" s="876"/>
    </row>
    <row r="495" spans="2:8" ht="15" customHeight="1">
      <c r="B495" s="888"/>
      <c r="C495" s="876"/>
      <c r="D495" s="876"/>
      <c r="E495" s="876"/>
      <c r="F495" s="876"/>
      <c r="G495" s="876"/>
      <c r="H495" s="876"/>
    </row>
    <row r="496" spans="2:8" ht="15" customHeight="1">
      <c r="B496" s="888"/>
      <c r="C496" s="876"/>
      <c r="D496" s="876"/>
      <c r="E496" s="876"/>
      <c r="F496" s="876"/>
      <c r="G496" s="876"/>
      <c r="H496" s="876"/>
    </row>
    <row r="497" spans="2:8" ht="15" customHeight="1">
      <c r="B497" s="888"/>
      <c r="C497" s="876"/>
      <c r="D497" s="876"/>
      <c r="E497" s="876"/>
      <c r="F497" s="876"/>
      <c r="G497" s="876"/>
      <c r="H497" s="876"/>
    </row>
    <row r="498" spans="2:8" ht="15" customHeight="1">
      <c r="B498" s="888"/>
      <c r="C498" s="876"/>
      <c r="D498" s="876"/>
      <c r="E498" s="876"/>
      <c r="F498" s="876"/>
      <c r="G498" s="876"/>
      <c r="H498" s="876"/>
    </row>
    <row r="499" spans="2:8" ht="15" customHeight="1">
      <c r="B499" s="888"/>
      <c r="C499" s="876"/>
      <c r="D499" s="876"/>
      <c r="E499" s="876"/>
      <c r="F499" s="876"/>
      <c r="G499" s="876"/>
      <c r="H499" s="876"/>
    </row>
    <row r="500" spans="2:8" ht="15" customHeight="1">
      <c r="B500" s="888"/>
      <c r="C500" s="876"/>
      <c r="D500" s="876"/>
      <c r="E500" s="876"/>
      <c r="F500" s="876"/>
      <c r="G500" s="876"/>
      <c r="H500" s="876"/>
    </row>
    <row r="501" spans="2:8" ht="15" customHeight="1">
      <c r="B501" s="888"/>
      <c r="C501" s="876"/>
      <c r="D501" s="876"/>
      <c r="E501" s="876"/>
      <c r="F501" s="876"/>
      <c r="G501" s="876"/>
      <c r="H501" s="876"/>
    </row>
    <row r="502" spans="2:8" ht="15" customHeight="1">
      <c r="B502" s="888"/>
      <c r="C502" s="876"/>
      <c r="D502" s="876"/>
      <c r="E502" s="876"/>
      <c r="F502" s="876"/>
      <c r="G502" s="876"/>
      <c r="H502" s="876"/>
    </row>
    <row r="503" spans="2:8" ht="15" customHeight="1">
      <c r="B503" s="888"/>
      <c r="C503" s="876"/>
      <c r="D503" s="876"/>
      <c r="E503" s="876"/>
      <c r="F503" s="876"/>
      <c r="G503" s="876"/>
      <c r="H503" s="876"/>
    </row>
    <row r="504" spans="2:8" ht="15" customHeight="1">
      <c r="B504" s="888"/>
      <c r="C504" s="876"/>
      <c r="D504" s="876"/>
      <c r="E504" s="876"/>
      <c r="F504" s="876"/>
      <c r="G504" s="876"/>
      <c r="H504" s="876"/>
    </row>
    <row r="505" spans="2:8" ht="15" customHeight="1">
      <c r="B505" s="888"/>
      <c r="C505" s="876"/>
      <c r="D505" s="876"/>
      <c r="E505" s="876"/>
      <c r="F505" s="876"/>
      <c r="G505" s="876"/>
      <c r="H505" s="876"/>
    </row>
    <row r="506" spans="2:8" ht="15" customHeight="1">
      <c r="B506" s="888"/>
      <c r="C506" s="876"/>
      <c r="D506" s="876"/>
      <c r="E506" s="876"/>
      <c r="F506" s="876"/>
      <c r="G506" s="876"/>
      <c r="H506" s="876"/>
    </row>
  </sheetData>
  <mergeCells count="9">
    <mergeCell ref="B1:G1"/>
    <mergeCell ref="B2:G2"/>
    <mergeCell ref="B37:H37"/>
    <mergeCell ref="B40:G40"/>
    <mergeCell ref="B90:H90"/>
    <mergeCell ref="B3:H3"/>
    <mergeCell ref="B10:G10"/>
    <mergeCell ref="B35:H35"/>
    <mergeCell ref="B36:H36"/>
  </mergeCells>
  <printOptions horizontalCentered="1"/>
  <pageMargins left="0.5" right="0.5" top="0.71" bottom="0.5" header="0.33" footer="0.5"/>
  <pageSetup scale="59" fitToHeight="0" orientation="landscape"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85" zoomScaleNormal="85" workbookViewId="0">
      <selection activeCell="H10" sqref="H10"/>
    </sheetView>
  </sheetViews>
  <sheetFormatPr defaultRowHeight="13.2"/>
  <cols>
    <col min="1" max="1" width="8.90625" style="894"/>
    <col min="2" max="2" width="14.54296875" style="894" customWidth="1"/>
    <col min="3" max="9" width="13" style="894" customWidth="1"/>
    <col min="10" max="257" width="8.90625" style="894"/>
    <col min="258" max="258" width="14.54296875" style="894" customWidth="1"/>
    <col min="259" max="265" width="13" style="894" customWidth="1"/>
    <col min="266" max="513" width="8.90625" style="894"/>
    <col min="514" max="514" width="14.54296875" style="894" customWidth="1"/>
    <col min="515" max="521" width="13" style="894" customWidth="1"/>
    <col min="522" max="769" width="8.90625" style="894"/>
    <col min="770" max="770" width="14.54296875" style="894" customWidth="1"/>
    <col min="771" max="777" width="13" style="894" customWidth="1"/>
    <col min="778" max="1025" width="8.90625" style="894"/>
    <col min="1026" max="1026" width="14.54296875" style="894" customWidth="1"/>
    <col min="1027" max="1033" width="13" style="894" customWidth="1"/>
    <col min="1034" max="1281" width="8.90625" style="894"/>
    <col min="1282" max="1282" width="14.54296875" style="894" customWidth="1"/>
    <col min="1283" max="1289" width="13" style="894" customWidth="1"/>
    <col min="1290" max="1537" width="8.90625" style="894"/>
    <col min="1538" max="1538" width="14.54296875" style="894" customWidth="1"/>
    <col min="1539" max="1545" width="13" style="894" customWidth="1"/>
    <col min="1546" max="1793" width="8.90625" style="894"/>
    <col min="1794" max="1794" width="14.54296875" style="894" customWidth="1"/>
    <col min="1795" max="1801" width="13" style="894" customWidth="1"/>
    <col min="1802" max="2049" width="8.90625" style="894"/>
    <col min="2050" max="2050" width="14.54296875" style="894" customWidth="1"/>
    <col min="2051" max="2057" width="13" style="894" customWidth="1"/>
    <col min="2058" max="2305" width="8.90625" style="894"/>
    <col min="2306" max="2306" width="14.54296875" style="894" customWidth="1"/>
    <col min="2307" max="2313" width="13" style="894" customWidth="1"/>
    <col min="2314" max="2561" width="8.90625" style="894"/>
    <col min="2562" max="2562" width="14.54296875" style="894" customWidth="1"/>
    <col min="2563" max="2569" width="13" style="894" customWidth="1"/>
    <col min="2570" max="2817" width="8.90625" style="894"/>
    <col min="2818" max="2818" width="14.54296875" style="894" customWidth="1"/>
    <col min="2819" max="2825" width="13" style="894" customWidth="1"/>
    <col min="2826" max="3073" width="8.90625" style="894"/>
    <col min="3074" max="3074" width="14.54296875" style="894" customWidth="1"/>
    <col min="3075" max="3081" width="13" style="894" customWidth="1"/>
    <col min="3082" max="3329" width="8.90625" style="894"/>
    <col min="3330" max="3330" width="14.54296875" style="894" customWidth="1"/>
    <col min="3331" max="3337" width="13" style="894" customWidth="1"/>
    <col min="3338" max="3585" width="8.90625" style="894"/>
    <col min="3586" max="3586" width="14.54296875" style="894" customWidth="1"/>
    <col min="3587" max="3593" width="13" style="894" customWidth="1"/>
    <col min="3594" max="3841" width="8.90625" style="894"/>
    <col min="3842" max="3842" width="14.54296875" style="894" customWidth="1"/>
    <col min="3843" max="3849" width="13" style="894" customWidth="1"/>
    <col min="3850" max="4097" width="8.90625" style="894"/>
    <col min="4098" max="4098" width="14.54296875" style="894" customWidth="1"/>
    <col min="4099" max="4105" width="13" style="894" customWidth="1"/>
    <col min="4106" max="4353" width="8.90625" style="894"/>
    <col min="4354" max="4354" width="14.54296875" style="894" customWidth="1"/>
    <col min="4355" max="4361" width="13" style="894" customWidth="1"/>
    <col min="4362" max="4609" width="8.90625" style="894"/>
    <col min="4610" max="4610" width="14.54296875" style="894" customWidth="1"/>
    <col min="4611" max="4617" width="13" style="894" customWidth="1"/>
    <col min="4618" max="4865" width="8.90625" style="894"/>
    <col min="4866" max="4866" width="14.54296875" style="894" customWidth="1"/>
    <col min="4867" max="4873" width="13" style="894" customWidth="1"/>
    <col min="4874" max="5121" width="8.90625" style="894"/>
    <col min="5122" max="5122" width="14.54296875" style="894" customWidth="1"/>
    <col min="5123" max="5129" width="13" style="894" customWidth="1"/>
    <col min="5130" max="5377" width="8.90625" style="894"/>
    <col min="5378" max="5378" width="14.54296875" style="894" customWidth="1"/>
    <col min="5379" max="5385" width="13" style="894" customWidth="1"/>
    <col min="5386" max="5633" width="8.90625" style="894"/>
    <col min="5634" max="5634" width="14.54296875" style="894" customWidth="1"/>
    <col min="5635" max="5641" width="13" style="894" customWidth="1"/>
    <col min="5642" max="5889" width="8.90625" style="894"/>
    <col min="5890" max="5890" width="14.54296875" style="894" customWidth="1"/>
    <col min="5891" max="5897" width="13" style="894" customWidth="1"/>
    <col min="5898" max="6145" width="8.90625" style="894"/>
    <col min="6146" max="6146" width="14.54296875" style="894" customWidth="1"/>
    <col min="6147" max="6153" width="13" style="894" customWidth="1"/>
    <col min="6154" max="6401" width="8.90625" style="894"/>
    <col min="6402" max="6402" width="14.54296875" style="894" customWidth="1"/>
    <col min="6403" max="6409" width="13" style="894" customWidth="1"/>
    <col min="6410" max="6657" width="8.90625" style="894"/>
    <col min="6658" max="6658" width="14.54296875" style="894" customWidth="1"/>
    <col min="6659" max="6665" width="13" style="894" customWidth="1"/>
    <col min="6666" max="6913" width="8.90625" style="894"/>
    <col min="6914" max="6914" width="14.54296875" style="894" customWidth="1"/>
    <col min="6915" max="6921" width="13" style="894" customWidth="1"/>
    <col min="6922" max="7169" width="8.90625" style="894"/>
    <col min="7170" max="7170" width="14.54296875" style="894" customWidth="1"/>
    <col min="7171" max="7177" width="13" style="894" customWidth="1"/>
    <col min="7178" max="7425" width="8.90625" style="894"/>
    <col min="7426" max="7426" width="14.54296875" style="894" customWidth="1"/>
    <col min="7427" max="7433" width="13" style="894" customWidth="1"/>
    <col min="7434" max="7681" width="8.90625" style="894"/>
    <col min="7682" max="7682" width="14.54296875" style="894" customWidth="1"/>
    <col min="7683" max="7689" width="13" style="894" customWidth="1"/>
    <col min="7690" max="7937" width="8.90625" style="894"/>
    <col min="7938" max="7938" width="14.54296875" style="894" customWidth="1"/>
    <col min="7939" max="7945" width="13" style="894" customWidth="1"/>
    <col min="7946" max="8193" width="8.90625" style="894"/>
    <col min="8194" max="8194" width="14.54296875" style="894" customWidth="1"/>
    <col min="8195" max="8201" width="13" style="894" customWidth="1"/>
    <col min="8202" max="8449" width="8.90625" style="894"/>
    <col min="8450" max="8450" width="14.54296875" style="894" customWidth="1"/>
    <col min="8451" max="8457" width="13" style="894" customWidth="1"/>
    <col min="8458" max="8705" width="8.90625" style="894"/>
    <col min="8706" max="8706" width="14.54296875" style="894" customWidth="1"/>
    <col min="8707" max="8713" width="13" style="894" customWidth="1"/>
    <col min="8714" max="8961" width="8.90625" style="894"/>
    <col min="8962" max="8962" width="14.54296875" style="894" customWidth="1"/>
    <col min="8963" max="8969" width="13" style="894" customWidth="1"/>
    <col min="8970" max="9217" width="8.90625" style="894"/>
    <col min="9218" max="9218" width="14.54296875" style="894" customWidth="1"/>
    <col min="9219" max="9225" width="13" style="894" customWidth="1"/>
    <col min="9226" max="9473" width="8.90625" style="894"/>
    <col min="9474" max="9474" width="14.54296875" style="894" customWidth="1"/>
    <col min="9475" max="9481" width="13" style="894" customWidth="1"/>
    <col min="9482" max="9729" width="8.90625" style="894"/>
    <col min="9730" max="9730" width="14.54296875" style="894" customWidth="1"/>
    <col min="9731" max="9737" width="13" style="894" customWidth="1"/>
    <col min="9738" max="9985" width="8.90625" style="894"/>
    <col min="9986" max="9986" width="14.54296875" style="894" customWidth="1"/>
    <col min="9987" max="9993" width="13" style="894" customWidth="1"/>
    <col min="9994" max="10241" width="8.90625" style="894"/>
    <col min="10242" max="10242" width="14.54296875" style="894" customWidth="1"/>
    <col min="10243" max="10249" width="13" style="894" customWidth="1"/>
    <col min="10250" max="10497" width="8.90625" style="894"/>
    <col min="10498" max="10498" width="14.54296875" style="894" customWidth="1"/>
    <col min="10499" max="10505" width="13" style="894" customWidth="1"/>
    <col min="10506" max="10753" width="8.90625" style="894"/>
    <col min="10754" max="10754" width="14.54296875" style="894" customWidth="1"/>
    <col min="10755" max="10761" width="13" style="894" customWidth="1"/>
    <col min="10762" max="11009" width="8.90625" style="894"/>
    <col min="11010" max="11010" width="14.54296875" style="894" customWidth="1"/>
    <col min="11011" max="11017" width="13" style="894" customWidth="1"/>
    <col min="11018" max="11265" width="8.90625" style="894"/>
    <col min="11266" max="11266" width="14.54296875" style="894" customWidth="1"/>
    <col min="11267" max="11273" width="13" style="894" customWidth="1"/>
    <col min="11274" max="11521" width="8.90625" style="894"/>
    <col min="11522" max="11522" width="14.54296875" style="894" customWidth="1"/>
    <col min="11523" max="11529" width="13" style="894" customWidth="1"/>
    <col min="11530" max="11777" width="8.90625" style="894"/>
    <col min="11778" max="11778" width="14.54296875" style="894" customWidth="1"/>
    <col min="11779" max="11785" width="13" style="894" customWidth="1"/>
    <col min="11786" max="12033" width="8.90625" style="894"/>
    <col min="12034" max="12034" width="14.54296875" style="894" customWidth="1"/>
    <col min="12035" max="12041" width="13" style="894" customWidth="1"/>
    <col min="12042" max="12289" width="8.90625" style="894"/>
    <col min="12290" max="12290" width="14.54296875" style="894" customWidth="1"/>
    <col min="12291" max="12297" width="13" style="894" customWidth="1"/>
    <col min="12298" max="12545" width="8.90625" style="894"/>
    <col min="12546" max="12546" width="14.54296875" style="894" customWidth="1"/>
    <col min="12547" max="12553" width="13" style="894" customWidth="1"/>
    <col min="12554" max="12801" width="8.90625" style="894"/>
    <col min="12802" max="12802" width="14.54296875" style="894" customWidth="1"/>
    <col min="12803" max="12809" width="13" style="894" customWidth="1"/>
    <col min="12810" max="13057" width="8.90625" style="894"/>
    <col min="13058" max="13058" width="14.54296875" style="894" customWidth="1"/>
    <col min="13059" max="13065" width="13" style="894" customWidth="1"/>
    <col min="13066" max="13313" width="8.90625" style="894"/>
    <col min="13314" max="13314" width="14.54296875" style="894" customWidth="1"/>
    <col min="13315" max="13321" width="13" style="894" customWidth="1"/>
    <col min="13322" max="13569" width="8.90625" style="894"/>
    <col min="13570" max="13570" width="14.54296875" style="894" customWidth="1"/>
    <col min="13571" max="13577" width="13" style="894" customWidth="1"/>
    <col min="13578" max="13825" width="8.90625" style="894"/>
    <col min="13826" max="13826" width="14.54296875" style="894" customWidth="1"/>
    <col min="13827" max="13833" width="13" style="894" customWidth="1"/>
    <col min="13834" max="14081" width="8.90625" style="894"/>
    <col min="14082" max="14082" width="14.54296875" style="894" customWidth="1"/>
    <col min="14083" max="14089" width="13" style="894" customWidth="1"/>
    <col min="14090" max="14337" width="8.90625" style="894"/>
    <col min="14338" max="14338" width="14.54296875" style="894" customWidth="1"/>
    <col min="14339" max="14345" width="13" style="894" customWidth="1"/>
    <col min="14346" max="14593" width="8.90625" style="894"/>
    <col min="14594" max="14594" width="14.54296875" style="894" customWidth="1"/>
    <col min="14595" max="14601" width="13" style="894" customWidth="1"/>
    <col min="14602" max="14849" width="8.90625" style="894"/>
    <col min="14850" max="14850" width="14.54296875" style="894" customWidth="1"/>
    <col min="14851" max="14857" width="13" style="894" customWidth="1"/>
    <col min="14858" max="15105" width="8.90625" style="894"/>
    <col min="15106" max="15106" width="14.54296875" style="894" customWidth="1"/>
    <col min="15107" max="15113" width="13" style="894" customWidth="1"/>
    <col min="15114" max="15361" width="8.90625" style="894"/>
    <col min="15362" max="15362" width="14.54296875" style="894" customWidth="1"/>
    <col min="15363" max="15369" width="13" style="894" customWidth="1"/>
    <col min="15370" max="15617" width="8.90625" style="894"/>
    <col min="15618" max="15618" width="14.54296875" style="894" customWidth="1"/>
    <col min="15619" max="15625" width="13" style="894" customWidth="1"/>
    <col min="15626" max="15873" width="8.90625" style="894"/>
    <col min="15874" max="15874" width="14.54296875" style="894" customWidth="1"/>
    <col min="15875" max="15881" width="13" style="894" customWidth="1"/>
    <col min="15882" max="16129" width="8.90625" style="894"/>
    <col min="16130" max="16130" width="14.54296875" style="894" customWidth="1"/>
    <col min="16131" max="16137" width="13" style="894" customWidth="1"/>
    <col min="16138" max="16384" width="8.90625" style="894"/>
  </cols>
  <sheetData>
    <row r="1" spans="1:9" ht="15.6">
      <c r="A1" s="1021" t="str">
        <f>+'Attachment H-29A'!D5</f>
        <v>Transource Pennsylvania, LLC</v>
      </c>
      <c r="B1" s="1028"/>
      <c r="C1" s="1028"/>
      <c r="D1" s="1028"/>
      <c r="E1" s="1028"/>
      <c r="F1" s="1028"/>
      <c r="G1" s="1028"/>
      <c r="I1" s="932" t="str">
        <f>+'Attachment H-29A'!J3</f>
        <v>For  the 12 months ended 12/31/2022</v>
      </c>
    </row>
    <row r="2" spans="1:9" ht="15.6">
      <c r="A2" s="1021" t="s">
        <v>847</v>
      </c>
      <c r="B2" s="1021"/>
      <c r="C2" s="1021"/>
      <c r="D2" s="1021"/>
      <c r="E2" s="1021"/>
      <c r="F2" s="1021"/>
      <c r="G2" s="1021"/>
    </row>
    <row r="3" spans="1:9" ht="15.6">
      <c r="A3" s="1021"/>
      <c r="B3" s="1028"/>
      <c r="C3" s="1028"/>
      <c r="D3" s="1028"/>
      <c r="E3" s="1028"/>
      <c r="F3" s="1028"/>
      <c r="G3" s="1028"/>
    </row>
    <row r="4" spans="1:9">
      <c r="B4" s="1024"/>
      <c r="C4" s="1024"/>
      <c r="D4" s="1024"/>
      <c r="E4" s="1024"/>
      <c r="F4" s="1024"/>
      <c r="G4" s="1024"/>
      <c r="H4" s="1024"/>
      <c r="I4" s="1024"/>
    </row>
    <row r="5" spans="1:9" ht="18.75" customHeight="1">
      <c r="B5" s="1025"/>
      <c r="C5" s="1025"/>
      <c r="D5" s="1025"/>
      <c r="E5" s="1025"/>
      <c r="F5" s="895"/>
      <c r="G5" s="895"/>
      <c r="H5" s="895"/>
      <c r="I5" s="895"/>
    </row>
    <row r="6" spans="1:9" ht="49.5" customHeight="1">
      <c r="A6" s="1026" t="s">
        <v>895</v>
      </c>
      <c r="B6" s="1026"/>
      <c r="C6" s="1026"/>
      <c r="D6" s="1026"/>
      <c r="E6" s="1026"/>
      <c r="F6" s="1026"/>
      <c r="G6" s="1026"/>
      <c r="H6" s="1026"/>
      <c r="I6" s="1026"/>
    </row>
    <row r="7" spans="1:9" ht="34.5" customHeight="1">
      <c r="A7" s="896"/>
      <c r="B7" s="896"/>
      <c r="C7" s="896"/>
      <c r="D7" s="896"/>
      <c r="E7" s="896"/>
      <c r="F7" s="896"/>
      <c r="G7" s="896"/>
      <c r="H7" s="896"/>
      <c r="I7" s="896"/>
    </row>
    <row r="8" spans="1:9" ht="18.75" customHeight="1">
      <c r="A8" s="897" t="s">
        <v>834</v>
      </c>
      <c r="B8" s="896"/>
      <c r="C8" s="896"/>
      <c r="D8" s="896"/>
      <c r="E8" s="896"/>
      <c r="F8" s="896"/>
      <c r="G8" s="896"/>
      <c r="H8" s="896"/>
      <c r="I8" s="896"/>
    </row>
    <row r="9" spans="1:9" ht="18.75" customHeight="1">
      <c r="A9" s="896"/>
      <c r="B9" s="896"/>
      <c r="D9" s="896"/>
      <c r="E9" s="1027" t="s">
        <v>199</v>
      </c>
      <c r="F9" s="1027"/>
      <c r="G9" s="896"/>
      <c r="H9" s="896"/>
      <c r="I9" s="896"/>
    </row>
    <row r="10" spans="1:9" ht="18.75" customHeight="1">
      <c r="A10" s="898">
        <v>1</v>
      </c>
      <c r="B10" s="899" t="s">
        <v>841</v>
      </c>
      <c r="C10" s="899"/>
      <c r="D10" s="899"/>
      <c r="E10" s="899" t="str">
        <f>"Attachment 4b, line "&amp;'4b-Ending ADIT'!A69&amp;" Column B"</f>
        <v>Attachment 4b, line 32 Column B</v>
      </c>
      <c r="F10" s="896"/>
      <c r="H10" s="931">
        <v>7376.6110249452604</v>
      </c>
      <c r="I10" s="896"/>
    </row>
    <row r="11" spans="1:9" ht="18.75" customHeight="1">
      <c r="A11" s="898">
        <f>+A10+1</f>
        <v>2</v>
      </c>
      <c r="B11" s="899" t="s">
        <v>842</v>
      </c>
      <c r="C11" s="899"/>
      <c r="D11" s="899"/>
      <c r="E11" s="899" t="str">
        <f>"Attachment 4a, line "&amp;'4a-ADIT'!A64&amp;" Column B"</f>
        <v>Attachment 4a, line 28 Column B</v>
      </c>
      <c r="F11" s="896"/>
      <c r="H11" s="931">
        <v>22.68</v>
      </c>
      <c r="I11" s="896"/>
    </row>
    <row r="12" spans="1:9" ht="18.75" customHeight="1">
      <c r="A12" s="898">
        <f>+A11+1</f>
        <v>3</v>
      </c>
      <c r="B12" s="899" t="s">
        <v>819</v>
      </c>
      <c r="C12" s="899"/>
      <c r="D12" s="899"/>
      <c r="E12" s="896" t="str">
        <f>"Line "&amp;A10&amp;" less Line "&amp;A11</f>
        <v>Line 1 less Line 2</v>
      </c>
      <c r="F12" s="896"/>
      <c r="H12" s="901">
        <f>+H10-H11</f>
        <v>7353.9310249452601</v>
      </c>
      <c r="I12" s="896"/>
    </row>
    <row r="13" spans="1:9" ht="18.75" customHeight="1">
      <c r="A13" s="898">
        <f>+A12+1</f>
        <v>4</v>
      </c>
      <c r="B13" s="899" t="s">
        <v>820</v>
      </c>
      <c r="C13" s="899"/>
      <c r="D13" s="899"/>
      <c r="E13" s="896" t="str">
        <f>"Line "&amp;A12&amp;" / 12"</f>
        <v>Line 3 / 12</v>
      </c>
      <c r="F13" s="896"/>
      <c r="H13" s="900">
        <f>+H12/12</f>
        <v>612.82758541210501</v>
      </c>
      <c r="I13" s="896"/>
    </row>
    <row r="14" spans="1:9" ht="18.75" customHeight="1">
      <c r="A14" s="899"/>
      <c r="B14" s="899"/>
      <c r="C14" s="899"/>
      <c r="D14" s="899"/>
      <c r="E14" s="896"/>
      <c r="F14" s="896"/>
      <c r="G14" s="896"/>
      <c r="H14" s="896"/>
      <c r="I14" s="896"/>
    </row>
    <row r="15" spans="1:9" ht="18.75" customHeight="1">
      <c r="A15" s="896"/>
      <c r="B15" s="896"/>
      <c r="C15" s="896"/>
      <c r="D15" s="896"/>
      <c r="E15" s="896"/>
      <c r="F15" s="896"/>
      <c r="G15" s="896"/>
      <c r="H15" s="896"/>
      <c r="I15" s="896"/>
    </row>
    <row r="16" spans="1:9" ht="13.5" customHeight="1">
      <c r="B16" s="902"/>
      <c r="C16" s="902"/>
      <c r="D16" s="902"/>
      <c r="E16" s="902"/>
      <c r="F16" s="902"/>
      <c r="G16" s="902"/>
      <c r="H16" s="902"/>
      <c r="I16" s="902"/>
    </row>
    <row r="17" spans="1:10" ht="15.6">
      <c r="B17" s="903" t="s">
        <v>821</v>
      </c>
      <c r="C17" s="903" t="s">
        <v>822</v>
      </c>
      <c r="D17" s="903" t="s">
        <v>823</v>
      </c>
      <c r="E17" s="903" t="s">
        <v>824</v>
      </c>
      <c r="F17" s="903" t="s">
        <v>825</v>
      </c>
      <c r="G17" s="903" t="s">
        <v>826</v>
      </c>
      <c r="H17" s="903" t="s">
        <v>827</v>
      </c>
      <c r="I17" s="903" t="s">
        <v>828</v>
      </c>
    </row>
    <row r="18" spans="1:10" s="906" customFormat="1" ht="40.200000000000003">
      <c r="A18" s="904" t="s">
        <v>8</v>
      </c>
      <c r="B18" s="927" t="s">
        <v>829</v>
      </c>
      <c r="C18" s="905" t="s">
        <v>835</v>
      </c>
      <c r="D18" s="905" t="s">
        <v>836</v>
      </c>
      <c r="E18" s="905" t="s">
        <v>837</v>
      </c>
      <c r="F18" s="905" t="s">
        <v>838</v>
      </c>
      <c r="G18" s="905" t="s">
        <v>839</v>
      </c>
      <c r="H18" s="927" t="s">
        <v>830</v>
      </c>
      <c r="I18" s="905" t="s">
        <v>840</v>
      </c>
      <c r="J18" s="894"/>
    </row>
    <row r="19" spans="1:10" ht="15">
      <c r="A19" s="898">
        <f>+A13+1</f>
        <v>5</v>
      </c>
      <c r="B19" s="895" t="s">
        <v>792</v>
      </c>
      <c r="C19" s="907">
        <f>+H11</f>
        <v>22.68</v>
      </c>
      <c r="D19" s="907">
        <f>C19</f>
        <v>22.68</v>
      </c>
      <c r="E19" s="895"/>
      <c r="F19" s="925">
        <v>365</v>
      </c>
      <c r="G19" s="908">
        <f>F19/$F$19</f>
        <v>1</v>
      </c>
      <c r="H19" s="907">
        <f>C19*G19</f>
        <v>22.68</v>
      </c>
      <c r="I19" s="907">
        <f>H19</f>
        <v>22.68</v>
      </c>
    </row>
    <row r="20" spans="1:10" ht="15">
      <c r="A20" s="898">
        <f>+A19+1</f>
        <v>6</v>
      </c>
      <c r="B20" s="895" t="s">
        <v>843</v>
      </c>
      <c r="C20" s="907">
        <f>+$H$13</f>
        <v>612.82758541210501</v>
      </c>
      <c r="D20" s="907">
        <f>D19+C20</f>
        <v>635.50758541210496</v>
      </c>
      <c r="E20" s="924">
        <v>31</v>
      </c>
      <c r="F20" s="925">
        <v>335</v>
      </c>
      <c r="G20" s="908">
        <f t="shared" ref="G20:G31" si="0">F20/$F$19</f>
        <v>0.9178082191780822</v>
      </c>
      <c r="H20" s="907">
        <f t="shared" ref="H20:H31" si="1">C20*G20</f>
        <v>562.45819483028811</v>
      </c>
      <c r="I20" s="907">
        <f>I19+H20</f>
        <v>585.13819483028806</v>
      </c>
    </row>
    <row r="21" spans="1:10" ht="15">
      <c r="A21" s="898">
        <f t="shared" ref="A21:A31" si="2">+A20+1</f>
        <v>7</v>
      </c>
      <c r="B21" s="895" t="s">
        <v>84</v>
      </c>
      <c r="C21" s="907">
        <f t="shared" ref="C21:C31" si="3">+$H$13</f>
        <v>612.82758541210501</v>
      </c>
      <c r="D21" s="907">
        <f>D20+C21</f>
        <v>1248.3351708242099</v>
      </c>
      <c r="E21" s="925">
        <v>28</v>
      </c>
      <c r="F21" s="925">
        <v>307</v>
      </c>
      <c r="G21" s="908">
        <f t="shared" si="0"/>
        <v>0.84109589041095889</v>
      </c>
      <c r="H21" s="907">
        <f t="shared" si="1"/>
        <v>515.44676362059238</v>
      </c>
      <c r="I21" s="907">
        <f t="shared" ref="I21:I31" si="4">I20+H21</f>
        <v>1100.5849584508805</v>
      </c>
    </row>
    <row r="22" spans="1:10" ht="15">
      <c r="A22" s="898">
        <f t="shared" si="2"/>
        <v>8</v>
      </c>
      <c r="B22" s="895" t="s">
        <v>83</v>
      </c>
      <c r="C22" s="907">
        <f t="shared" si="3"/>
        <v>612.82758541210501</v>
      </c>
      <c r="D22" s="907">
        <f>D21+C22</f>
        <v>1861.1627562363149</v>
      </c>
      <c r="E22" s="924">
        <v>31</v>
      </c>
      <c r="F22" s="925">
        <v>276</v>
      </c>
      <c r="G22" s="908">
        <f t="shared" si="0"/>
        <v>0.75616438356164384</v>
      </c>
      <c r="H22" s="907">
        <f t="shared" si="1"/>
        <v>463.398393352715</v>
      </c>
      <c r="I22" s="907">
        <f t="shared" si="4"/>
        <v>1563.9833518035955</v>
      </c>
    </row>
    <row r="23" spans="1:10" ht="15">
      <c r="A23" s="898">
        <f t="shared" si="2"/>
        <v>9</v>
      </c>
      <c r="B23" s="895" t="s">
        <v>76</v>
      </c>
      <c r="C23" s="907">
        <f t="shared" si="3"/>
        <v>612.82758541210501</v>
      </c>
      <c r="D23" s="907">
        <f t="shared" ref="D23:D31" si="5">D22+C23</f>
        <v>2473.9903416484199</v>
      </c>
      <c r="E23" s="924">
        <v>30</v>
      </c>
      <c r="F23" s="925">
        <v>246</v>
      </c>
      <c r="G23" s="908">
        <f t="shared" si="0"/>
        <v>0.67397260273972603</v>
      </c>
      <c r="H23" s="907">
        <f t="shared" si="1"/>
        <v>413.02900277089816</v>
      </c>
      <c r="I23" s="907">
        <f t="shared" si="4"/>
        <v>1977.0123545744937</v>
      </c>
    </row>
    <row r="24" spans="1:10" ht="15">
      <c r="A24" s="898">
        <f t="shared" si="2"/>
        <v>10</v>
      </c>
      <c r="B24" s="895" t="s">
        <v>75</v>
      </c>
      <c r="C24" s="907">
        <f t="shared" si="3"/>
        <v>612.82758541210501</v>
      </c>
      <c r="D24" s="907">
        <f t="shared" si="5"/>
        <v>3086.8179270605251</v>
      </c>
      <c r="E24" s="924">
        <v>31</v>
      </c>
      <c r="F24" s="925">
        <v>215</v>
      </c>
      <c r="G24" s="908">
        <f t="shared" si="0"/>
        <v>0.58904109589041098</v>
      </c>
      <c r="H24" s="907">
        <f t="shared" si="1"/>
        <v>360.98063250302079</v>
      </c>
      <c r="I24" s="907">
        <f>I23+H24</f>
        <v>2337.9929870775145</v>
      </c>
    </row>
    <row r="25" spans="1:10" ht="15">
      <c r="A25" s="898">
        <f t="shared" si="2"/>
        <v>11</v>
      </c>
      <c r="B25" s="895" t="s">
        <v>92</v>
      </c>
      <c r="C25" s="907">
        <f t="shared" si="3"/>
        <v>612.82758541210501</v>
      </c>
      <c r="D25" s="907">
        <f t="shared" si="5"/>
        <v>3699.6455124726299</v>
      </c>
      <c r="E25" s="924">
        <v>30</v>
      </c>
      <c r="F25" s="925">
        <v>185</v>
      </c>
      <c r="G25" s="908">
        <f t="shared" si="0"/>
        <v>0.50684931506849318</v>
      </c>
      <c r="H25" s="907">
        <f t="shared" si="1"/>
        <v>310.61124192120394</v>
      </c>
      <c r="I25" s="907">
        <f>I24+H25</f>
        <v>2648.6042289987186</v>
      </c>
    </row>
    <row r="26" spans="1:10" ht="15">
      <c r="A26" s="898">
        <f t="shared" si="2"/>
        <v>12</v>
      </c>
      <c r="B26" s="895" t="s">
        <v>82</v>
      </c>
      <c r="C26" s="907">
        <f t="shared" si="3"/>
        <v>612.82758541210501</v>
      </c>
      <c r="D26" s="907">
        <f t="shared" si="5"/>
        <v>4312.4730978847347</v>
      </c>
      <c r="E26" s="924">
        <v>31</v>
      </c>
      <c r="F26" s="925">
        <v>154</v>
      </c>
      <c r="G26" s="908">
        <f t="shared" si="0"/>
        <v>0.42191780821917807</v>
      </c>
      <c r="H26" s="907">
        <f t="shared" si="1"/>
        <v>258.56287165332651</v>
      </c>
      <c r="I26" s="907">
        <f t="shared" si="4"/>
        <v>2907.1671006520451</v>
      </c>
    </row>
    <row r="27" spans="1:10" ht="15">
      <c r="A27" s="898">
        <f t="shared" si="2"/>
        <v>13</v>
      </c>
      <c r="B27" s="895" t="s">
        <v>81</v>
      </c>
      <c r="C27" s="907">
        <f t="shared" si="3"/>
        <v>612.82758541210501</v>
      </c>
      <c r="D27" s="907">
        <f t="shared" si="5"/>
        <v>4925.3006832968395</v>
      </c>
      <c r="E27" s="924">
        <v>31</v>
      </c>
      <c r="F27" s="925">
        <v>123</v>
      </c>
      <c r="G27" s="908">
        <f t="shared" si="0"/>
        <v>0.33698630136986302</v>
      </c>
      <c r="H27" s="907">
        <f t="shared" si="1"/>
        <v>206.51450138544908</v>
      </c>
      <c r="I27" s="907">
        <f t="shared" si="4"/>
        <v>3113.681602037494</v>
      </c>
    </row>
    <row r="28" spans="1:10" ht="15">
      <c r="A28" s="898">
        <f t="shared" si="2"/>
        <v>14</v>
      </c>
      <c r="B28" s="895" t="s">
        <v>80</v>
      </c>
      <c r="C28" s="907">
        <f t="shared" si="3"/>
        <v>612.82758541210501</v>
      </c>
      <c r="D28" s="907">
        <f t="shared" si="5"/>
        <v>5538.1282687089442</v>
      </c>
      <c r="E28" s="924">
        <v>30</v>
      </c>
      <c r="F28" s="925">
        <v>93</v>
      </c>
      <c r="G28" s="908">
        <f t="shared" si="0"/>
        <v>0.25479452054794521</v>
      </c>
      <c r="H28" s="907">
        <f t="shared" si="1"/>
        <v>156.14511080363224</v>
      </c>
      <c r="I28" s="907">
        <f t="shared" si="4"/>
        <v>3269.8267128411262</v>
      </c>
    </row>
    <row r="29" spans="1:10" ht="15">
      <c r="A29" s="898">
        <f t="shared" si="2"/>
        <v>15</v>
      </c>
      <c r="B29" s="895" t="s">
        <v>86</v>
      </c>
      <c r="C29" s="907">
        <f t="shared" si="3"/>
        <v>612.82758541210501</v>
      </c>
      <c r="D29" s="907">
        <f t="shared" si="5"/>
        <v>6150.955854121049</v>
      </c>
      <c r="E29" s="924">
        <v>31</v>
      </c>
      <c r="F29" s="925">
        <v>62</v>
      </c>
      <c r="G29" s="908">
        <f t="shared" si="0"/>
        <v>0.16986301369863013</v>
      </c>
      <c r="H29" s="907">
        <f t="shared" si="1"/>
        <v>104.09674053575482</v>
      </c>
      <c r="I29" s="907">
        <f t="shared" si="4"/>
        <v>3373.9234533768808</v>
      </c>
    </row>
    <row r="30" spans="1:10" ht="15">
      <c r="A30" s="898">
        <f t="shared" si="2"/>
        <v>16</v>
      </c>
      <c r="B30" s="895" t="s">
        <v>79</v>
      </c>
      <c r="C30" s="907">
        <f t="shared" si="3"/>
        <v>612.82758541210501</v>
      </c>
      <c r="D30" s="907">
        <f t="shared" si="5"/>
        <v>6763.7834395331538</v>
      </c>
      <c r="E30" s="924">
        <v>30</v>
      </c>
      <c r="F30" s="925">
        <v>32</v>
      </c>
      <c r="G30" s="908">
        <f t="shared" si="0"/>
        <v>8.7671232876712329E-2</v>
      </c>
      <c r="H30" s="907">
        <f t="shared" si="1"/>
        <v>53.727349953937974</v>
      </c>
      <c r="I30" s="907">
        <f t="shared" si="4"/>
        <v>3427.6508033308187</v>
      </c>
    </row>
    <row r="31" spans="1:10" ht="15">
      <c r="A31" s="898">
        <f t="shared" si="2"/>
        <v>17</v>
      </c>
      <c r="B31" s="895" t="s">
        <v>78</v>
      </c>
      <c r="C31" s="907">
        <f t="shared" si="3"/>
        <v>612.82758541210501</v>
      </c>
      <c r="D31" s="907">
        <f t="shared" si="5"/>
        <v>7376.6110249452586</v>
      </c>
      <c r="E31" s="924">
        <v>31</v>
      </c>
      <c r="F31" s="925">
        <f>F30-E31</f>
        <v>1</v>
      </c>
      <c r="G31" s="908">
        <f t="shared" si="0"/>
        <v>2.7397260273972603E-3</v>
      </c>
      <c r="H31" s="907">
        <f t="shared" si="1"/>
        <v>1.6789796860605617</v>
      </c>
      <c r="I31" s="907">
        <f t="shared" si="4"/>
        <v>3429.3297830168794</v>
      </c>
    </row>
    <row r="32" spans="1:10">
      <c r="A32" s="898"/>
      <c r="B32" s="895"/>
      <c r="C32" s="895"/>
      <c r="D32" s="895"/>
      <c r="E32" s="895"/>
      <c r="F32" s="895"/>
      <c r="G32" s="895"/>
      <c r="H32" s="909"/>
      <c r="I32" s="895"/>
    </row>
    <row r="33" spans="1:9" ht="15">
      <c r="A33" s="898">
        <f>+A31+1</f>
        <v>18</v>
      </c>
      <c r="B33" s="895" t="s">
        <v>793</v>
      </c>
      <c r="C33" s="895"/>
      <c r="D33" s="910">
        <f>+D31</f>
        <v>7376.6110249452586</v>
      </c>
      <c r="E33" s="895"/>
      <c r="F33" s="895"/>
      <c r="G33" s="895"/>
      <c r="H33" s="895"/>
      <c r="I33" s="910">
        <f>+I31</f>
        <v>3429.3297830168794</v>
      </c>
    </row>
    <row r="34" spans="1:9">
      <c r="A34" s="898"/>
      <c r="B34" s="911"/>
      <c r="C34" s="911"/>
      <c r="D34" s="911"/>
      <c r="E34" s="911"/>
      <c r="F34" s="911"/>
      <c r="G34" s="911"/>
      <c r="H34" s="911"/>
      <c r="I34" s="911"/>
    </row>
    <row r="35" spans="1:9" ht="15.6" thickBot="1">
      <c r="A35" s="898">
        <f>+A33+1</f>
        <v>19</v>
      </c>
      <c r="B35" s="912" t="str">
        <f>"Proration Adjustment - Line "&amp;A33&amp;" Col. "&amp;I17&amp;" less Col. "&amp;D17</f>
        <v>Proration Adjustment - Line 18 Col. (H) less Col. (C )</v>
      </c>
      <c r="C35" s="912"/>
      <c r="D35" s="912"/>
      <c r="E35" s="912"/>
      <c r="F35" s="912"/>
      <c r="G35" s="912"/>
      <c r="H35" s="912"/>
      <c r="I35" s="929">
        <f>+I33-D33</f>
        <v>-3947.2812419283791</v>
      </c>
    </row>
    <row r="36" spans="1:9" ht="13.8" thickTop="1">
      <c r="B36" s="911"/>
      <c r="C36" s="911"/>
      <c r="D36" s="911"/>
      <c r="E36" s="911"/>
      <c r="F36" s="911"/>
      <c r="G36" s="911"/>
      <c r="H36" s="911"/>
      <c r="I36" s="911"/>
    </row>
  </sheetData>
  <mergeCells count="7">
    <mergeCell ref="B4:I4"/>
    <mergeCell ref="B5:E5"/>
    <mergeCell ref="A6:I6"/>
    <mergeCell ref="E9:F9"/>
    <mergeCell ref="A1:G1"/>
    <mergeCell ref="A2:G2"/>
    <mergeCell ref="A3:G3"/>
  </mergeCell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90" zoomScaleNormal="100" zoomScaleSheetLayoutView="90" workbookViewId="0">
      <selection activeCell="E27" sqref="E27"/>
    </sheetView>
  </sheetViews>
  <sheetFormatPr defaultColWidth="14" defaultRowHeight="13.2"/>
  <cols>
    <col min="1" max="1" width="5.81640625" style="99" bestFit="1" customWidth="1"/>
    <col min="2" max="2" width="20.90625" style="321" customWidth="1"/>
    <col min="3" max="3" width="14.36328125" style="321" customWidth="1"/>
    <col min="4" max="4" width="14" style="321" customWidth="1"/>
    <col min="5" max="5" width="12.54296875" style="321" customWidth="1"/>
    <col min="6" max="6" width="13.36328125" style="321" customWidth="1"/>
    <col min="7" max="7" width="12.81640625" style="321" customWidth="1"/>
    <col min="8" max="9" width="8.54296875" style="321" customWidth="1"/>
    <col min="10" max="10" width="13.6328125" style="321" bestFit="1" customWidth="1"/>
    <col min="11" max="11" width="12.54296875" style="321" bestFit="1" customWidth="1"/>
    <col min="12" max="12" width="11.1796875" style="321" bestFit="1" customWidth="1"/>
    <col min="13" max="13" width="12.81640625" style="321" customWidth="1"/>
    <col min="14" max="14" width="14" style="321"/>
    <col min="15" max="15" width="10" style="321" bestFit="1" customWidth="1"/>
    <col min="16" max="16384" width="14" style="321"/>
  </cols>
  <sheetData>
    <row r="1" spans="1:15">
      <c r="A1" s="1010" t="s">
        <v>184</v>
      </c>
      <c r="B1" s="1010"/>
      <c r="C1" s="1010"/>
      <c r="D1" s="1010"/>
      <c r="E1" s="1010"/>
      <c r="F1" s="1010"/>
      <c r="G1" s="1010"/>
      <c r="H1" s="1010"/>
      <c r="I1" s="1010"/>
      <c r="J1" s="1010"/>
    </row>
    <row r="2" spans="1:15" ht="15" customHeight="1">
      <c r="A2" s="1029" t="s">
        <v>451</v>
      </c>
      <c r="B2" s="1029"/>
      <c r="C2" s="1029"/>
      <c r="D2" s="1029"/>
      <c r="E2" s="1029"/>
      <c r="F2" s="1029"/>
      <c r="G2" s="1029"/>
      <c r="H2" s="1029"/>
      <c r="I2" s="1029"/>
      <c r="J2" s="1029"/>
    </row>
    <row r="3" spans="1:15">
      <c r="A3" s="1012" t="str">
        <f>+'Attachment H-29A'!$D$5</f>
        <v>Transource Pennsylvania, LLC</v>
      </c>
      <c r="B3" s="1012"/>
      <c r="C3" s="1012"/>
      <c r="D3" s="1012"/>
      <c r="E3" s="1012"/>
      <c r="F3" s="1012"/>
      <c r="G3" s="1012"/>
      <c r="H3" s="1012"/>
      <c r="I3" s="1012"/>
      <c r="J3" s="1012"/>
      <c r="K3" s="543"/>
      <c r="L3" s="543"/>
      <c r="M3" s="543"/>
      <c r="N3" s="543"/>
    </row>
    <row r="4" spans="1:15">
      <c r="B4" s="541"/>
    </row>
    <row r="5" spans="1:15">
      <c r="A5" s="258"/>
      <c r="B5" s="26" t="s">
        <v>437</v>
      </c>
      <c r="C5" s="541"/>
      <c r="F5" s="541"/>
      <c r="G5" s="541"/>
      <c r="H5" s="541"/>
      <c r="I5" s="541"/>
      <c r="J5" s="541"/>
      <c r="K5" s="269"/>
      <c r="L5" s="541"/>
      <c r="N5" s="101"/>
      <c r="O5" s="101"/>
    </row>
    <row r="6" spans="1:15" ht="16.2" thickBot="1">
      <c r="A6" s="258"/>
      <c r="B6" s="26"/>
      <c r="C6" s="541"/>
      <c r="D6" s="270"/>
      <c r="E6" s="270"/>
      <c r="F6" s="392" t="s">
        <v>48</v>
      </c>
      <c r="G6" s="270"/>
      <c r="H6" s="270"/>
      <c r="I6" s="270"/>
      <c r="K6" s="269"/>
      <c r="L6" s="541"/>
      <c r="N6" s="101"/>
      <c r="O6" s="101"/>
    </row>
    <row r="7" spans="1:15" ht="15.6">
      <c r="A7" s="258">
        <v>1</v>
      </c>
      <c r="B7" s="26" t="s">
        <v>724</v>
      </c>
      <c r="C7" s="26"/>
      <c r="F7" s="325">
        <v>1188036.7433333334</v>
      </c>
      <c r="G7" s="270"/>
      <c r="H7" s="270"/>
      <c r="I7" s="270"/>
      <c r="N7" s="102"/>
      <c r="O7" s="102"/>
    </row>
    <row r="8" spans="1:15" ht="15.6">
      <c r="A8" s="258"/>
      <c r="B8" s="26"/>
      <c r="C8" s="26"/>
      <c r="F8" s="158"/>
      <c r="G8" s="270"/>
      <c r="H8" s="270"/>
      <c r="I8" s="270"/>
      <c r="N8" s="102"/>
      <c r="O8" s="102"/>
    </row>
    <row r="9" spans="1:15" ht="15.6">
      <c r="A9" s="258">
        <f>+A7+1</f>
        <v>2</v>
      </c>
      <c r="B9" s="26" t="s">
        <v>275</v>
      </c>
      <c r="C9" s="26"/>
      <c r="F9" s="145">
        <v>0</v>
      </c>
      <c r="G9" s="270"/>
      <c r="H9" s="270"/>
      <c r="I9" s="271"/>
      <c r="N9" s="101"/>
      <c r="O9" s="101"/>
    </row>
    <row r="10" spans="1:15" ht="15.6">
      <c r="A10" s="258"/>
      <c r="B10" s="26"/>
      <c r="C10" s="26"/>
      <c r="F10" s="405"/>
      <c r="G10" s="270"/>
      <c r="H10" s="270"/>
      <c r="I10" s="270"/>
      <c r="N10" s="101"/>
      <c r="O10" s="101"/>
    </row>
    <row r="11" spans="1:15" ht="15.6">
      <c r="A11" s="258">
        <f>+A9+1</f>
        <v>3</v>
      </c>
      <c r="B11" s="106" t="s">
        <v>718</v>
      </c>
      <c r="C11" s="106"/>
      <c r="F11" s="158">
        <f>+E40</f>
        <v>65047401.960370377</v>
      </c>
      <c r="G11" s="270"/>
      <c r="H11" s="270"/>
      <c r="I11" s="270"/>
    </row>
    <row r="12" spans="1:15" ht="15.6">
      <c r="A12" s="258">
        <f t="shared" ref="A12:A22" si="0">+A11+1</f>
        <v>4</v>
      </c>
      <c r="B12" s="106" t="s">
        <v>872</v>
      </c>
      <c r="C12" s="106"/>
      <c r="F12" s="393">
        <f>-D40</f>
        <v>0</v>
      </c>
      <c r="G12" s="270"/>
      <c r="H12" s="270"/>
      <c r="I12" s="270"/>
    </row>
    <row r="13" spans="1:15" ht="15.6">
      <c r="A13" s="258">
        <f t="shared" si="0"/>
        <v>5</v>
      </c>
      <c r="B13" s="106" t="s">
        <v>719</v>
      </c>
      <c r="C13" s="106"/>
      <c r="F13" s="393">
        <f>-F40</f>
        <v>0</v>
      </c>
      <c r="G13" s="270"/>
      <c r="H13" s="270"/>
      <c r="I13" s="270"/>
    </row>
    <row r="14" spans="1:15" ht="16.2" thickBot="1">
      <c r="A14" s="258">
        <f t="shared" si="0"/>
        <v>6</v>
      </c>
      <c r="B14" s="106" t="s">
        <v>720</v>
      </c>
      <c r="C14" s="106"/>
      <c r="F14" s="170">
        <f>-G40</f>
        <v>0</v>
      </c>
      <c r="G14" s="270"/>
      <c r="H14" s="270"/>
      <c r="I14" s="270"/>
    </row>
    <row r="15" spans="1:15" ht="15.6">
      <c r="A15" s="258">
        <f t="shared" si="0"/>
        <v>7</v>
      </c>
      <c r="B15" s="106" t="s">
        <v>277</v>
      </c>
      <c r="C15" s="32" t="s">
        <v>458</v>
      </c>
      <c r="F15" s="545">
        <f>+SUM(F11:F14)</f>
        <v>65047401.960370377</v>
      </c>
      <c r="G15" s="272"/>
      <c r="H15" s="273"/>
      <c r="I15" s="272"/>
    </row>
    <row r="16" spans="1:15">
      <c r="A16" s="258"/>
      <c r="B16" s="106"/>
      <c r="C16" s="502"/>
      <c r="J16" s="405"/>
    </row>
    <row r="17" spans="1:10">
      <c r="A17" s="258"/>
      <c r="B17" s="543"/>
      <c r="C17" s="502"/>
      <c r="F17" s="541"/>
      <c r="G17" s="541"/>
      <c r="I17" s="541"/>
      <c r="J17" s="541"/>
    </row>
    <row r="18" spans="1:10" ht="13.8" thickBot="1">
      <c r="A18" s="258"/>
      <c r="B18" s="543"/>
      <c r="C18" s="502"/>
      <c r="F18" s="31" t="s">
        <v>48</v>
      </c>
      <c r="G18" s="31" t="s">
        <v>58</v>
      </c>
      <c r="H18" s="31" t="s">
        <v>57</v>
      </c>
      <c r="I18" s="31" t="s">
        <v>59</v>
      </c>
      <c r="J18" s="541"/>
    </row>
    <row r="19" spans="1:10">
      <c r="A19" s="258">
        <f>+A15+1</f>
        <v>8</v>
      </c>
      <c r="B19" s="106" t="s">
        <v>227</v>
      </c>
      <c r="C19" s="32" t="s">
        <v>763</v>
      </c>
      <c r="F19" s="194">
        <f>+C40</f>
        <v>64923076.92307692</v>
      </c>
      <c r="G19" s="284">
        <v>0.4</v>
      </c>
      <c r="H19" s="368">
        <f>'8-Construction Debt'!D13</f>
        <v>1.9280597300552919E-2</v>
      </c>
      <c r="I19" s="213">
        <f>G19*H19</f>
        <v>7.7122389202211681E-3</v>
      </c>
      <c r="J19" s="193" t="s">
        <v>60</v>
      </c>
    </row>
    <row r="20" spans="1:10">
      <c r="A20" s="258">
        <f t="shared" si="0"/>
        <v>9</v>
      </c>
      <c r="B20" s="106" t="s">
        <v>455</v>
      </c>
      <c r="C20" s="32" t="s">
        <v>764</v>
      </c>
      <c r="F20" s="194">
        <f>+D40</f>
        <v>0</v>
      </c>
      <c r="G20" s="284">
        <v>0</v>
      </c>
      <c r="H20" s="368">
        <f>IFERROR(+F9/F20,0)</f>
        <v>0</v>
      </c>
      <c r="I20" s="213">
        <f>G20*H20</f>
        <v>0</v>
      </c>
      <c r="J20" s="541"/>
    </row>
    <row r="21" spans="1:10" ht="13.8" thickBot="1">
      <c r="A21" s="258">
        <f t="shared" si="0"/>
        <v>10</v>
      </c>
      <c r="B21" s="26" t="s">
        <v>262</v>
      </c>
      <c r="C21" s="34" t="s">
        <v>765</v>
      </c>
      <c r="F21" s="279">
        <f>+F15</f>
        <v>65047401.960370377</v>
      </c>
      <c r="G21" s="284">
        <v>0.6</v>
      </c>
      <c r="H21" s="368">
        <f>+'Attachment H-29A'!G205</f>
        <v>0.10400000000000001</v>
      </c>
      <c r="I21" s="332">
        <f>G21*H21</f>
        <v>6.2400000000000004E-2</v>
      </c>
      <c r="J21" s="541"/>
    </row>
    <row r="22" spans="1:10">
      <c r="A22" s="258">
        <f t="shared" si="0"/>
        <v>11</v>
      </c>
      <c r="B22" s="542" t="s">
        <v>220</v>
      </c>
      <c r="C22" s="34" t="s">
        <v>457</v>
      </c>
      <c r="F22" s="194">
        <f>SUM(F19:F21)</f>
        <v>129970478.88344729</v>
      </c>
      <c r="G22" s="541" t="s">
        <v>2</v>
      </c>
      <c r="H22" s="502"/>
      <c r="I22" s="213">
        <f>SUM(I19:I21)</f>
        <v>7.011223892022117E-2</v>
      </c>
      <c r="J22" s="193" t="s">
        <v>61</v>
      </c>
    </row>
    <row r="23" spans="1:10">
      <c r="A23" s="258"/>
    </row>
    <row r="24" spans="1:10">
      <c r="A24" s="251"/>
    </row>
    <row r="25" spans="1:10">
      <c r="C25" s="216" t="s">
        <v>190</v>
      </c>
      <c r="D25" s="216" t="s">
        <v>191</v>
      </c>
      <c r="E25" s="377" t="s">
        <v>450</v>
      </c>
      <c r="F25" s="216" t="s">
        <v>193</v>
      </c>
      <c r="G25" s="216" t="s">
        <v>195</v>
      </c>
    </row>
    <row r="26" spans="1:10" ht="45.75" customHeight="1">
      <c r="A26" s="369"/>
      <c r="B26" s="371" t="s">
        <v>446</v>
      </c>
      <c r="C26" s="376" t="s">
        <v>729</v>
      </c>
      <c r="D26" s="801" t="s">
        <v>709</v>
      </c>
      <c r="E26" s="376" t="s">
        <v>276</v>
      </c>
      <c r="F26" s="359" t="s">
        <v>453</v>
      </c>
      <c r="G26" s="359" t="s">
        <v>454</v>
      </c>
    </row>
    <row r="27" spans="1:10">
      <c r="A27" s="370">
        <f>+A22+1</f>
        <v>12</v>
      </c>
      <c r="B27" s="372" t="s">
        <v>447</v>
      </c>
      <c r="C27" s="974">
        <v>44000000</v>
      </c>
      <c r="D27" s="974">
        <v>0</v>
      </c>
      <c r="E27" s="974">
        <v>45817923.4487468</v>
      </c>
      <c r="F27" s="974">
        <v>0</v>
      </c>
      <c r="G27" s="974">
        <v>0</v>
      </c>
    </row>
    <row r="28" spans="1:10">
      <c r="A28" s="370">
        <f>+A27+1</f>
        <v>13</v>
      </c>
      <c r="B28" s="373" t="s">
        <v>85</v>
      </c>
      <c r="C28" s="974">
        <v>50000000</v>
      </c>
      <c r="D28" s="974">
        <v>0</v>
      </c>
      <c r="E28" s="974">
        <v>48254996.133370496</v>
      </c>
      <c r="F28" s="974">
        <v>0</v>
      </c>
      <c r="G28" s="974">
        <v>0</v>
      </c>
    </row>
    <row r="29" spans="1:10">
      <c r="A29" s="370">
        <f t="shared" ref="A29:A40" si="1">+A28+1</f>
        <v>14</v>
      </c>
      <c r="B29" s="374" t="s">
        <v>84</v>
      </c>
      <c r="C29" s="974">
        <v>58000000</v>
      </c>
      <c r="D29" s="974">
        <v>0</v>
      </c>
      <c r="E29" s="974">
        <v>48693396.029750101</v>
      </c>
      <c r="F29" s="974">
        <v>0</v>
      </c>
      <c r="G29" s="974">
        <v>0</v>
      </c>
    </row>
    <row r="30" spans="1:10">
      <c r="A30" s="370">
        <f t="shared" si="1"/>
        <v>15</v>
      </c>
      <c r="B30" s="374" t="s">
        <v>83</v>
      </c>
      <c r="C30" s="974">
        <v>58000000</v>
      </c>
      <c r="D30" s="974">
        <v>0</v>
      </c>
      <c r="E30" s="974">
        <v>54125465.517115802</v>
      </c>
      <c r="F30" s="974">
        <v>0</v>
      </c>
      <c r="G30" s="974">
        <v>0</v>
      </c>
    </row>
    <row r="31" spans="1:10">
      <c r="A31" s="370">
        <f t="shared" si="1"/>
        <v>16</v>
      </c>
      <c r="B31" s="373" t="s">
        <v>76</v>
      </c>
      <c r="C31" s="974">
        <v>61500000</v>
      </c>
      <c r="D31" s="974">
        <v>0</v>
      </c>
      <c r="E31" s="974">
        <v>58555655.968517102</v>
      </c>
      <c r="F31" s="974">
        <v>0</v>
      </c>
      <c r="G31" s="974">
        <v>0</v>
      </c>
    </row>
    <row r="32" spans="1:10">
      <c r="A32" s="370">
        <f t="shared" si="1"/>
        <v>17</v>
      </c>
      <c r="B32" s="374" t="s">
        <v>75</v>
      </c>
      <c r="C32" s="974">
        <v>61500000</v>
      </c>
      <c r="D32" s="974">
        <v>0</v>
      </c>
      <c r="E32" s="974">
        <v>63983203.638538502</v>
      </c>
      <c r="F32" s="974">
        <v>0</v>
      </c>
      <c r="G32" s="974">
        <v>0</v>
      </c>
    </row>
    <row r="33" spans="1:13">
      <c r="A33" s="370">
        <f t="shared" si="1"/>
        <v>18</v>
      </c>
      <c r="B33" s="374" t="s">
        <v>448</v>
      </c>
      <c r="C33" s="974">
        <v>65500000</v>
      </c>
      <c r="D33" s="974">
        <v>0</v>
      </c>
      <c r="E33" s="974">
        <v>67910443.840876907</v>
      </c>
      <c r="F33" s="974">
        <v>0</v>
      </c>
      <c r="G33" s="974">
        <v>0</v>
      </c>
    </row>
    <row r="34" spans="1:13">
      <c r="A34" s="370">
        <f t="shared" si="1"/>
        <v>19</v>
      </c>
      <c r="B34" s="373" t="s">
        <v>82</v>
      </c>
      <c r="C34" s="974">
        <v>68500000</v>
      </c>
      <c r="D34" s="974">
        <v>0</v>
      </c>
      <c r="E34" s="974">
        <v>70833756.143409997</v>
      </c>
      <c r="F34" s="974">
        <v>0</v>
      </c>
      <c r="G34" s="974">
        <v>0</v>
      </c>
    </row>
    <row r="35" spans="1:13">
      <c r="A35" s="370">
        <f t="shared" si="1"/>
        <v>20</v>
      </c>
      <c r="B35" s="374" t="s">
        <v>81</v>
      </c>
      <c r="C35" s="974">
        <v>71500000</v>
      </c>
      <c r="D35" s="974">
        <v>0</v>
      </c>
      <c r="E35" s="974">
        <v>73754773.377280593</v>
      </c>
      <c r="F35" s="974">
        <v>0</v>
      </c>
      <c r="G35" s="974">
        <v>0</v>
      </c>
    </row>
    <row r="36" spans="1:13">
      <c r="A36" s="370">
        <f t="shared" si="1"/>
        <v>21</v>
      </c>
      <c r="B36" s="374" t="s">
        <v>80</v>
      </c>
      <c r="C36" s="974">
        <v>74000000</v>
      </c>
      <c r="D36" s="974">
        <v>0</v>
      </c>
      <c r="E36" s="974">
        <v>76173459.960689694</v>
      </c>
      <c r="F36" s="974">
        <v>0</v>
      </c>
      <c r="G36" s="974">
        <v>0</v>
      </c>
    </row>
    <row r="37" spans="1:13">
      <c r="A37" s="370">
        <f t="shared" si="1"/>
        <v>22</v>
      </c>
      <c r="B37" s="373" t="s">
        <v>449</v>
      </c>
      <c r="C37" s="974">
        <v>75500000</v>
      </c>
      <c r="D37" s="974">
        <v>0</v>
      </c>
      <c r="E37" s="974">
        <v>77589788.616841599</v>
      </c>
      <c r="F37" s="974">
        <v>0</v>
      </c>
      <c r="G37" s="974">
        <v>0</v>
      </c>
    </row>
    <row r="38" spans="1:13">
      <c r="A38" s="370">
        <f t="shared" si="1"/>
        <v>23</v>
      </c>
      <c r="B38" s="373" t="s">
        <v>79</v>
      </c>
      <c r="C38" s="974">
        <v>77500000</v>
      </c>
      <c r="D38" s="974">
        <v>0</v>
      </c>
      <c r="E38" s="974">
        <v>79504928.061329097</v>
      </c>
      <c r="F38" s="974">
        <v>0</v>
      </c>
      <c r="G38" s="974">
        <v>0</v>
      </c>
    </row>
    <row r="39" spans="1:13">
      <c r="A39" s="370">
        <f t="shared" si="1"/>
        <v>24</v>
      </c>
      <c r="B39" s="374" t="s">
        <v>78</v>
      </c>
      <c r="C39" s="974">
        <v>78500000</v>
      </c>
      <c r="D39" s="973">
        <v>0</v>
      </c>
      <c r="E39" s="974">
        <v>80418434.748348296</v>
      </c>
      <c r="F39" s="974">
        <v>0</v>
      </c>
      <c r="G39" s="974">
        <v>0</v>
      </c>
    </row>
    <row r="40" spans="1:13">
      <c r="A40" s="370">
        <f t="shared" si="1"/>
        <v>25</v>
      </c>
      <c r="B40" s="375" t="s">
        <v>568</v>
      </c>
      <c r="C40" s="585">
        <f>+SUM(C27:C39)/13</f>
        <v>64923076.92307692</v>
      </c>
      <c r="D40" s="295">
        <f>+SUM(D27:D39)/13</f>
        <v>0</v>
      </c>
      <c r="E40" s="585">
        <f>+SUM(E27:E39)/13</f>
        <v>65047401.960370377</v>
      </c>
      <c r="F40" s="585">
        <f>+SUM(F27:F39)/13</f>
        <v>0</v>
      </c>
      <c r="G40" s="585">
        <f>+SUM(G27:G39)/13</f>
        <v>0</v>
      </c>
    </row>
    <row r="42" spans="1:13">
      <c r="A42" s="652" t="s">
        <v>525</v>
      </c>
    </row>
    <row r="43" spans="1:13" ht="15" customHeight="1">
      <c r="A43" s="259" t="s">
        <v>62</v>
      </c>
      <c r="B43" s="998" t="s">
        <v>456</v>
      </c>
      <c r="C43" s="998"/>
      <c r="D43" s="998"/>
      <c r="E43" s="998"/>
      <c r="F43" s="998"/>
      <c r="G43" s="998"/>
      <c r="H43" s="998"/>
      <c r="I43" s="998"/>
    </row>
    <row r="44" spans="1:13" s="565" customFormat="1">
      <c r="B44" s="998"/>
      <c r="C44" s="998"/>
      <c r="D44" s="998"/>
      <c r="E44" s="998"/>
      <c r="F44" s="998"/>
      <c r="G44" s="998"/>
      <c r="H44" s="998"/>
      <c r="I44" s="998"/>
    </row>
    <row r="45" spans="1:13" s="565" customFormat="1">
      <c r="A45" s="259" t="s">
        <v>63</v>
      </c>
      <c r="B45" s="565" t="s">
        <v>376</v>
      </c>
    </row>
    <row r="46" spans="1:13" s="565" customFormat="1">
      <c r="A46" s="259" t="s">
        <v>64</v>
      </c>
      <c r="B46" s="565" t="s">
        <v>459</v>
      </c>
    </row>
    <row r="47" spans="1:13" s="565" customFormat="1" ht="39.75" customHeight="1">
      <c r="A47" s="324" t="s">
        <v>65</v>
      </c>
      <c r="B47" s="990" t="s">
        <v>858</v>
      </c>
      <c r="C47" s="990"/>
      <c r="D47" s="990"/>
      <c r="E47" s="990"/>
      <c r="F47" s="990"/>
      <c r="G47" s="990"/>
      <c r="H47" s="990"/>
      <c r="I47" s="990"/>
      <c r="J47" s="851"/>
      <c r="K47" s="851"/>
      <c r="L47" s="851"/>
      <c r="M47" s="800"/>
    </row>
    <row r="48" spans="1:13" s="565" customFormat="1">
      <c r="A48" s="324"/>
      <c r="B48" s="653"/>
      <c r="C48" s="653"/>
      <c r="D48" s="653"/>
      <c r="E48" s="653"/>
      <c r="F48" s="653"/>
      <c r="G48" s="653"/>
      <c r="H48" s="653"/>
      <c r="I48" s="653"/>
      <c r="J48" s="653"/>
      <c r="K48" s="653"/>
      <c r="L48" s="653"/>
      <c r="M48" s="653"/>
    </row>
    <row r="49" spans="1:13" s="565" customFormat="1">
      <c r="A49" s="324"/>
      <c r="B49" s="653"/>
      <c r="C49" s="653"/>
      <c r="D49" s="653"/>
      <c r="E49" s="653"/>
      <c r="F49" s="653"/>
      <c r="G49" s="653"/>
      <c r="H49" s="653"/>
      <c r="I49" s="653"/>
      <c r="J49" s="653"/>
      <c r="K49" s="653"/>
      <c r="L49" s="653"/>
      <c r="M49" s="653"/>
    </row>
    <row r="50" spans="1:13" s="565" customFormat="1">
      <c r="A50" s="324"/>
      <c r="B50" s="653"/>
      <c r="C50" s="653"/>
      <c r="D50" s="653"/>
      <c r="E50" s="653"/>
      <c r="F50" s="653"/>
      <c r="G50" s="653"/>
      <c r="H50" s="653"/>
      <c r="I50" s="653"/>
      <c r="J50" s="653"/>
      <c r="K50" s="653"/>
      <c r="L50" s="653"/>
      <c r="M50" s="653"/>
    </row>
    <row r="51" spans="1:13" s="565" customFormat="1">
      <c r="A51" s="324"/>
      <c r="B51" s="653"/>
      <c r="C51" s="653"/>
      <c r="D51" s="653"/>
      <c r="E51" s="653"/>
      <c r="F51" s="653"/>
      <c r="G51" s="653"/>
      <c r="H51" s="653"/>
      <c r="I51" s="653"/>
      <c r="J51" s="653"/>
      <c r="K51" s="653"/>
      <c r="L51" s="653"/>
      <c r="M51" s="653"/>
    </row>
    <row r="52" spans="1:13" s="565" customFormat="1">
      <c r="A52" s="324"/>
      <c r="B52" s="653"/>
      <c r="C52" s="653"/>
      <c r="D52" s="653"/>
      <c r="E52" s="653"/>
      <c r="F52" s="653"/>
      <c r="G52" s="653"/>
      <c r="H52" s="653"/>
      <c r="I52" s="653"/>
      <c r="J52" s="653"/>
      <c r="K52" s="653"/>
      <c r="L52" s="653"/>
      <c r="M52" s="653"/>
    </row>
    <row r="53" spans="1:13" s="565" customFormat="1">
      <c r="A53" s="324"/>
      <c r="B53" s="653"/>
      <c r="C53" s="653"/>
      <c r="D53" s="653"/>
      <c r="E53" s="653"/>
      <c r="F53" s="653"/>
      <c r="G53" s="653"/>
      <c r="H53" s="653"/>
      <c r="I53" s="653"/>
      <c r="J53" s="653"/>
      <c r="K53" s="653"/>
      <c r="L53" s="653"/>
      <c r="M53" s="653"/>
    </row>
    <row r="54" spans="1:13" s="565" customFormat="1">
      <c r="A54" s="324"/>
      <c r="B54" s="653"/>
      <c r="C54" s="653"/>
      <c r="D54" s="653"/>
      <c r="E54" s="653"/>
      <c r="F54" s="653"/>
      <c r="G54" s="653"/>
      <c r="H54" s="653"/>
      <c r="I54" s="653"/>
      <c r="J54" s="653"/>
      <c r="K54" s="653"/>
      <c r="L54" s="653"/>
      <c r="M54" s="653"/>
    </row>
  </sheetData>
  <customSheetViews>
    <customSheetView guid="{63AFAF34-E340-4B5E-A289-FFB7051CA9B6}" showPageBreaks="1" fitToPage="1" printArea="1">
      <selection activeCell="H21" sqref="H21"/>
      <rowBreaks count="1" manualBreakCount="1">
        <brk id="46" max="16383" man="1"/>
      </rowBreaks>
      <pageMargins left="0.25" right="0.25" top="0.75" bottom="0.75" header="0.3" footer="0.3"/>
      <pageSetup scale="76" orientation="landscape" r:id="rId1"/>
    </customSheetView>
    <customSheetView guid="{F1DC5514-577A-46EB-866C-26F0BED2C286}" scale="90" showPageBreaks="1" fitToPage="1" printArea="1" view="pageBreakPreview">
      <selection activeCell="B7" sqref="B7"/>
      <rowBreaks count="1" manualBreakCount="1">
        <brk id="46" max="16383" man="1"/>
      </rowBreaks>
      <pageMargins left="0.25" right="0.25" top="0.75" bottom="0.75" header="0.3" footer="0.3"/>
      <pageSetup scale="78" orientation="landscape" r:id="rId2"/>
    </customSheetView>
    <customSheetView guid="{F04A2B9A-C6FE-4FEB-AD1E-2CF9AC309BE4}" fitToPage="1">
      <selection activeCell="G20" sqref="G20"/>
      <pageMargins left="0.7" right="0.7" top="0.75" bottom="0.75" header="0.3" footer="0.3"/>
      <pageSetup scale="76" orientation="landscape" r:id="rId3"/>
    </customSheetView>
  </customSheetViews>
  <mergeCells count="5">
    <mergeCell ref="B43:I44"/>
    <mergeCell ref="A1:J1"/>
    <mergeCell ref="A2:J2"/>
    <mergeCell ref="A3:J3"/>
    <mergeCell ref="B47:I47"/>
  </mergeCells>
  <phoneticPr fontId="0" type="noConversion"/>
  <pageMargins left="0.25" right="0.25" top="0.75" bottom="0.75" header="0.3" footer="0.3"/>
  <pageSetup scale="72" orientation="landscape" r:id="rId4"/>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zoomScale="80" zoomScaleNormal="80" zoomScaleSheetLayoutView="80" workbookViewId="0">
      <selection activeCell="A7" sqref="A7"/>
    </sheetView>
  </sheetViews>
  <sheetFormatPr defaultColWidth="8.90625" defaultRowHeight="15"/>
  <cols>
    <col min="1" max="1" width="21.81640625" style="610" customWidth="1"/>
    <col min="2" max="2" width="26.36328125" style="610" customWidth="1"/>
    <col min="3" max="3" width="2.36328125" style="610" customWidth="1"/>
    <col min="4" max="4" width="18.81640625" style="610" customWidth="1"/>
    <col min="5" max="5" width="1.81640625" style="610" customWidth="1"/>
    <col min="6" max="6" width="18.6328125" style="610" customWidth="1"/>
    <col min="7" max="7" width="12.81640625" style="610" customWidth="1"/>
    <col min="8" max="8" width="15" style="610" customWidth="1"/>
    <col min="9" max="9" width="15.81640625" style="610" customWidth="1"/>
    <col min="10" max="10" width="1.453125" style="610" customWidth="1"/>
    <col min="11" max="11" width="22.08984375" style="610" bestFit="1" customWidth="1"/>
    <col min="12" max="12" width="8.90625" style="610"/>
    <col min="13" max="13" width="8.453125" style="610" bestFit="1" customWidth="1"/>
    <col min="14" max="16384" width="8.90625" style="610"/>
  </cols>
  <sheetData>
    <row r="1" spans="1:11" s="608" customFormat="1">
      <c r="A1" s="1010" t="s">
        <v>185</v>
      </c>
      <c r="B1" s="1010"/>
      <c r="C1" s="1010"/>
      <c r="D1" s="1010"/>
      <c r="E1" s="1010"/>
      <c r="F1" s="1010"/>
      <c r="G1" s="1010"/>
      <c r="H1" s="1010"/>
      <c r="I1" s="1010"/>
      <c r="J1" s="1010"/>
      <c r="K1" s="1010"/>
    </row>
    <row r="2" spans="1:11" s="608" customFormat="1">
      <c r="A2" s="1011" t="s">
        <v>622</v>
      </c>
      <c r="B2" s="1011"/>
      <c r="C2" s="1011"/>
      <c r="D2" s="1011"/>
      <c r="E2" s="1011"/>
      <c r="F2" s="1011"/>
      <c r="G2" s="1011"/>
      <c r="H2" s="1011"/>
      <c r="I2" s="1011"/>
      <c r="J2" s="1011"/>
      <c r="K2" s="1011"/>
    </row>
    <row r="3" spans="1:11" s="608" customFormat="1" ht="18" customHeight="1">
      <c r="A3" s="1012" t="str">
        <f>+'Attachment H-29A'!D5</f>
        <v>Transource Pennsylvania, LLC</v>
      </c>
      <c r="B3" s="1012"/>
      <c r="C3" s="1012"/>
      <c r="D3" s="1012"/>
      <c r="E3" s="1012"/>
      <c r="F3" s="1012"/>
      <c r="G3" s="1012"/>
      <c r="H3" s="1012"/>
      <c r="I3" s="1012"/>
      <c r="J3" s="1012"/>
      <c r="K3" s="1012"/>
    </row>
    <row r="4" spans="1:11">
      <c r="A4" s="609"/>
      <c r="B4" s="609"/>
      <c r="C4" s="609"/>
      <c r="D4" s="609"/>
      <c r="E4" s="609"/>
      <c r="F4" s="609"/>
      <c r="G4" s="609"/>
      <c r="H4" s="609"/>
      <c r="I4" s="609"/>
      <c r="J4" s="609"/>
      <c r="K4" s="609"/>
    </row>
    <row r="5" spans="1:11">
      <c r="A5" s="609"/>
      <c r="B5" s="609"/>
      <c r="C5" s="609"/>
      <c r="D5" s="609"/>
      <c r="E5" s="609"/>
      <c r="F5" s="609"/>
      <c r="G5" s="609"/>
      <c r="H5" s="609"/>
      <c r="I5" s="609"/>
      <c r="J5" s="609"/>
      <c r="K5" s="609"/>
    </row>
    <row r="6" spans="1:11" s="564" customFormat="1" ht="13.8" thickBot="1">
      <c r="A6" s="619">
        <v>2020</v>
      </c>
      <c r="B6" s="620"/>
      <c r="C6" s="620"/>
      <c r="D6" s="788">
        <f>+A6</f>
        <v>2020</v>
      </c>
      <c r="E6" s="621"/>
      <c r="F6" s="621"/>
      <c r="G6" s="621"/>
      <c r="H6" s="621"/>
      <c r="J6" s="621"/>
      <c r="K6" s="621"/>
    </row>
    <row r="7" spans="1:11" s="564" customFormat="1" ht="26.4">
      <c r="A7" s="622" t="s">
        <v>696</v>
      </c>
      <c r="B7" s="621"/>
      <c r="C7" s="621"/>
      <c r="D7" s="622" t="s">
        <v>695</v>
      </c>
      <c r="E7" s="621"/>
      <c r="F7" s="621"/>
      <c r="G7" s="622" t="s">
        <v>605</v>
      </c>
      <c r="J7" s="621"/>
      <c r="K7" s="621"/>
    </row>
    <row r="8" spans="1:11" s="564" customFormat="1" ht="13.2">
      <c r="A8" s="623"/>
      <c r="B8" s="621"/>
      <c r="C8" s="621"/>
      <c r="D8" s="623"/>
      <c r="E8" s="621"/>
      <c r="F8" s="621"/>
      <c r="G8" s="624"/>
      <c r="J8" s="621"/>
      <c r="K8" s="621"/>
    </row>
    <row r="9" spans="1:11" s="564" customFormat="1" ht="13.8" thickBot="1">
      <c r="A9" s="785">
        <f>'3-Project True-up'!E19</f>
        <v>6147836.3304333836</v>
      </c>
      <c r="B9" s="626" t="s">
        <v>606</v>
      </c>
      <c r="C9" s="627"/>
      <c r="D9" s="625">
        <f>'3-Project True-up'!H29</f>
        <v>4335371.3983763251</v>
      </c>
      <c r="E9" s="628"/>
      <c r="F9" s="626" t="s">
        <v>607</v>
      </c>
      <c r="G9" s="629">
        <f>IF(D9=0,0,A9-D9)</f>
        <v>1812464.9320570584</v>
      </c>
      <c r="J9" s="621"/>
      <c r="K9" s="621"/>
    </row>
    <row r="10" spans="1:11" s="564" customFormat="1" ht="13.2">
      <c r="A10" s="628"/>
      <c r="B10" s="627"/>
      <c r="C10" s="627"/>
      <c r="D10" s="628"/>
      <c r="E10" s="628"/>
      <c r="F10" s="627"/>
      <c r="G10" s="628"/>
      <c r="H10" s="621"/>
      <c r="I10" s="621"/>
      <c r="J10" s="621"/>
      <c r="K10" s="621"/>
    </row>
    <row r="11" spans="1:11" s="564" customFormat="1" ht="13.2">
      <c r="A11" s="628" t="s">
        <v>766</v>
      </c>
      <c r="B11" s="627"/>
      <c r="C11" s="627"/>
      <c r="D11" s="628"/>
      <c r="E11" s="628"/>
      <c r="F11" s="627"/>
      <c r="G11" s="628"/>
      <c r="H11" s="621"/>
      <c r="I11" s="621"/>
      <c r="J11" s="621"/>
      <c r="K11" s="621"/>
    </row>
    <row r="12" spans="1:11" s="564" customFormat="1" ht="13.2">
      <c r="A12" s="628" t="s">
        <v>767</v>
      </c>
      <c r="B12" s="627"/>
      <c r="C12" s="627"/>
      <c r="D12" s="628"/>
      <c r="E12" s="628"/>
      <c r="F12" s="627"/>
      <c r="G12" s="628"/>
      <c r="H12" s="621"/>
      <c r="I12" s="621"/>
      <c r="J12" s="621"/>
      <c r="K12" s="621"/>
    </row>
    <row r="13" spans="1:11" s="564" customFormat="1" ht="13.2">
      <c r="A13" s="628"/>
      <c r="B13" s="627"/>
      <c r="C13" s="627"/>
      <c r="D13" s="628"/>
      <c r="E13" s="628"/>
      <c r="F13" s="627"/>
      <c r="G13" s="628"/>
      <c r="H13" s="621"/>
      <c r="I13" s="621"/>
      <c r="J13" s="621"/>
      <c r="K13" s="621"/>
    </row>
    <row r="14" spans="1:11" s="564" customFormat="1" ht="13.8" thickBot="1">
      <c r="A14" s="630"/>
      <c r="B14" s="631"/>
      <c r="C14" s="631"/>
      <c r="D14" s="630"/>
      <c r="E14" s="630"/>
      <c r="F14" s="631"/>
      <c r="G14" s="630"/>
      <c r="H14" s="632"/>
      <c r="I14" s="632"/>
      <c r="J14" s="632"/>
      <c r="K14" s="632"/>
    </row>
    <row r="15" spans="1:11" s="564" customFormat="1" ht="8.25" customHeight="1">
      <c r="A15" s="633"/>
      <c r="B15" s="627"/>
      <c r="C15" s="627"/>
      <c r="D15" s="628"/>
      <c r="E15" s="628"/>
      <c r="F15" s="627"/>
      <c r="G15" s="628"/>
      <c r="H15" s="621"/>
      <c r="I15" s="621"/>
      <c r="J15" s="621"/>
      <c r="K15" s="621"/>
    </row>
    <row r="16" spans="1:11" s="564" customFormat="1" ht="53.25" customHeight="1">
      <c r="A16" s="634" t="s">
        <v>608</v>
      </c>
      <c r="B16" s="627"/>
      <c r="C16" s="627"/>
      <c r="D16" s="635" t="s">
        <v>609</v>
      </c>
      <c r="E16" s="628"/>
      <c r="F16" s="635" t="s">
        <v>678</v>
      </c>
      <c r="G16" s="626" t="s">
        <v>610</v>
      </c>
      <c r="H16" s="636" t="s">
        <v>611</v>
      </c>
      <c r="I16" s="635" t="s">
        <v>612</v>
      </c>
      <c r="J16" s="637"/>
      <c r="K16" s="635" t="s">
        <v>613</v>
      </c>
    </row>
    <row r="17" spans="1:11" s="564" customFormat="1" ht="13.2">
      <c r="A17" s="634"/>
      <c r="B17" s="627"/>
      <c r="C17" s="627"/>
      <c r="D17" s="621"/>
      <c r="E17" s="638"/>
      <c r="F17" s="639">
        <f>+'6a - True-up Interest Rate'!E33</f>
        <v>2.7083333333333321E-3</v>
      </c>
      <c r="G17" s="628"/>
      <c r="H17" s="621"/>
      <c r="I17" s="621"/>
      <c r="J17" s="621"/>
      <c r="K17" s="621"/>
    </row>
    <row r="18" spans="1:11" s="564" customFormat="1" ht="13.2">
      <c r="A18" s="634"/>
      <c r="B18" s="627"/>
      <c r="C18" s="627"/>
      <c r="D18" s="621"/>
      <c r="E18" s="638"/>
      <c r="F18" s="638"/>
      <c r="G18" s="628"/>
      <c r="H18" s="621"/>
      <c r="I18" s="621"/>
      <c r="J18" s="621"/>
      <c r="K18" s="621"/>
    </row>
    <row r="19" spans="1:11" s="564" customFormat="1" ht="13.2">
      <c r="A19" s="634" t="s">
        <v>614</v>
      </c>
      <c r="B19" s="627"/>
      <c r="C19" s="627"/>
      <c r="D19" s="621"/>
      <c r="E19" s="638"/>
      <c r="F19" s="638"/>
      <c r="G19" s="628"/>
      <c r="H19" s="621"/>
      <c r="I19" s="621"/>
      <c r="J19" s="621"/>
      <c r="K19" s="621"/>
    </row>
    <row r="20" spans="1:11" s="564" customFormat="1" ht="13.2">
      <c r="A20" s="640" t="s">
        <v>2</v>
      </c>
      <c r="B20" s="627"/>
      <c r="C20" s="627"/>
      <c r="D20" s="627"/>
      <c r="E20" s="627"/>
      <c r="F20" s="627" t="s">
        <v>2</v>
      </c>
      <c r="G20" s="621"/>
      <c r="H20" s="621"/>
      <c r="I20" s="621"/>
      <c r="J20" s="621"/>
      <c r="K20" s="621"/>
    </row>
    <row r="21" spans="1:11" s="564" customFormat="1" ht="13.2">
      <c r="A21" s="641"/>
      <c r="B21" s="627"/>
      <c r="C21" s="627"/>
      <c r="D21" s="627"/>
      <c r="E21" s="627"/>
      <c r="F21" s="621"/>
      <c r="G21" s="621"/>
      <c r="H21" s="626"/>
      <c r="I21" s="627"/>
      <c r="J21" s="627"/>
      <c r="K21" s="627"/>
    </row>
    <row r="22" spans="1:11" s="564" customFormat="1" ht="13.2">
      <c r="A22" s="641" t="s">
        <v>615</v>
      </c>
      <c r="B22" s="627"/>
      <c r="C22" s="627"/>
      <c r="D22" s="627"/>
      <c r="E22" s="627"/>
      <c r="F22" s="621"/>
      <c r="G22" s="621"/>
      <c r="H22" s="626" t="s">
        <v>616</v>
      </c>
      <c r="I22" s="627"/>
      <c r="J22" s="627"/>
      <c r="K22" s="627"/>
    </row>
    <row r="23" spans="1:11" s="564" customFormat="1" ht="13.2">
      <c r="A23" s="621" t="s">
        <v>85</v>
      </c>
      <c r="B23" s="642" t="str">
        <f>"Year "&amp;A6</f>
        <v>Year 2020</v>
      </c>
      <c r="C23" s="621"/>
      <c r="D23" s="820">
        <f>+G9/12</f>
        <v>151038.7443380882</v>
      </c>
      <c r="E23" s="643"/>
      <c r="F23" s="644">
        <f>+F17</f>
        <v>2.7083333333333321E-3</v>
      </c>
      <c r="G23" s="643">
        <v>12</v>
      </c>
      <c r="H23" s="820">
        <f>F23*D23*G23*-1</f>
        <v>-4908.7591909878647</v>
      </c>
      <c r="I23" s="820"/>
      <c r="J23" s="820"/>
      <c r="K23" s="820">
        <f>(-H23+D23)*-1</f>
        <v>-155947.50352907606</v>
      </c>
    </row>
    <row r="24" spans="1:11" s="564" customFormat="1" ht="13.2">
      <c r="A24" s="621" t="s">
        <v>84</v>
      </c>
      <c r="B24" s="642" t="str">
        <f>+B23</f>
        <v>Year 2020</v>
      </c>
      <c r="C24" s="621"/>
      <c r="D24" s="820">
        <f>+D23</f>
        <v>151038.7443380882</v>
      </c>
      <c r="E24" s="643"/>
      <c r="F24" s="644">
        <f>+F23</f>
        <v>2.7083333333333321E-3</v>
      </c>
      <c r="G24" s="363">
        <f t="shared" ref="G24:G34" si="0">+G23-1</f>
        <v>11</v>
      </c>
      <c r="H24" s="820">
        <f t="shared" ref="H24:H34" si="1">F24*D24*G24*-1</f>
        <v>-4499.6959250722093</v>
      </c>
      <c r="I24" s="820"/>
      <c r="J24" s="820"/>
      <c r="K24" s="820">
        <f t="shared" ref="K24:K34" si="2">(-H24+D24)*-1</f>
        <v>-155538.44026316042</v>
      </c>
    </row>
    <row r="25" spans="1:11" s="564" customFormat="1" ht="13.2">
      <c r="A25" s="621" t="s">
        <v>83</v>
      </c>
      <c r="B25" s="642" t="str">
        <f t="shared" ref="B25:B34" si="3">+B24</f>
        <v>Year 2020</v>
      </c>
      <c r="C25" s="621"/>
      <c r="D25" s="820">
        <f t="shared" ref="D25:D34" si="4">+D24</f>
        <v>151038.7443380882</v>
      </c>
      <c r="E25" s="643"/>
      <c r="F25" s="644">
        <f t="shared" ref="F25:F34" si="5">+F24</f>
        <v>2.7083333333333321E-3</v>
      </c>
      <c r="G25" s="363">
        <f t="shared" si="0"/>
        <v>10</v>
      </c>
      <c r="H25" s="820">
        <f t="shared" si="1"/>
        <v>-4090.6326591565539</v>
      </c>
      <c r="I25" s="820"/>
      <c r="J25" s="820"/>
      <c r="K25" s="820">
        <f t="shared" si="2"/>
        <v>-155129.37699724475</v>
      </c>
    </row>
    <row r="26" spans="1:11" s="564" customFormat="1" ht="13.2">
      <c r="A26" s="621" t="s">
        <v>76</v>
      </c>
      <c r="B26" s="642" t="str">
        <f t="shared" si="3"/>
        <v>Year 2020</v>
      </c>
      <c r="C26" s="621"/>
      <c r="D26" s="820">
        <f t="shared" si="4"/>
        <v>151038.7443380882</v>
      </c>
      <c r="E26" s="643"/>
      <c r="F26" s="644">
        <f t="shared" si="5"/>
        <v>2.7083333333333321E-3</v>
      </c>
      <c r="G26" s="363">
        <f t="shared" si="0"/>
        <v>9</v>
      </c>
      <c r="H26" s="820">
        <f t="shared" si="1"/>
        <v>-3681.5693932408985</v>
      </c>
      <c r="I26" s="820"/>
      <c r="J26" s="820"/>
      <c r="K26" s="820">
        <f t="shared" si="2"/>
        <v>-154720.31373132911</v>
      </c>
    </row>
    <row r="27" spans="1:11" s="564" customFormat="1" ht="13.2">
      <c r="A27" s="621" t="s">
        <v>75</v>
      </c>
      <c r="B27" s="642" t="str">
        <f t="shared" si="3"/>
        <v>Year 2020</v>
      </c>
      <c r="C27" s="621"/>
      <c r="D27" s="820">
        <f t="shared" si="4"/>
        <v>151038.7443380882</v>
      </c>
      <c r="E27" s="643"/>
      <c r="F27" s="644">
        <f t="shared" si="5"/>
        <v>2.7083333333333321E-3</v>
      </c>
      <c r="G27" s="363">
        <f t="shared" si="0"/>
        <v>8</v>
      </c>
      <c r="H27" s="820">
        <f t="shared" si="1"/>
        <v>-3272.5061273252431</v>
      </c>
      <c r="I27" s="820"/>
      <c r="J27" s="820"/>
      <c r="K27" s="820">
        <f t="shared" si="2"/>
        <v>-154311.25046541344</v>
      </c>
    </row>
    <row r="28" spans="1:11" s="564" customFormat="1" ht="13.2">
      <c r="A28" s="621" t="s">
        <v>92</v>
      </c>
      <c r="B28" s="642" t="str">
        <f t="shared" si="3"/>
        <v>Year 2020</v>
      </c>
      <c r="C28" s="621"/>
      <c r="D28" s="820">
        <f t="shared" si="4"/>
        <v>151038.7443380882</v>
      </c>
      <c r="E28" s="643"/>
      <c r="F28" s="644">
        <f t="shared" si="5"/>
        <v>2.7083333333333321E-3</v>
      </c>
      <c r="G28" s="363">
        <f t="shared" si="0"/>
        <v>7</v>
      </c>
      <c r="H28" s="820">
        <f t="shared" si="1"/>
        <v>-2863.4428614095877</v>
      </c>
      <c r="I28" s="820"/>
      <c r="J28" s="820"/>
      <c r="K28" s="820">
        <f t="shared" si="2"/>
        <v>-153902.1871994978</v>
      </c>
    </row>
    <row r="29" spans="1:11" s="564" customFormat="1" ht="13.2">
      <c r="A29" s="621" t="s">
        <v>82</v>
      </c>
      <c r="B29" s="642" t="str">
        <f t="shared" si="3"/>
        <v>Year 2020</v>
      </c>
      <c r="C29" s="621"/>
      <c r="D29" s="820">
        <f t="shared" si="4"/>
        <v>151038.7443380882</v>
      </c>
      <c r="E29" s="643"/>
      <c r="F29" s="644">
        <f t="shared" si="5"/>
        <v>2.7083333333333321E-3</v>
      </c>
      <c r="G29" s="363">
        <f t="shared" si="0"/>
        <v>6</v>
      </c>
      <c r="H29" s="820">
        <f t="shared" si="1"/>
        <v>-2454.3795954939324</v>
      </c>
      <c r="I29" s="820"/>
      <c r="J29" s="820"/>
      <c r="K29" s="820">
        <f t="shared" si="2"/>
        <v>-153493.12393358213</v>
      </c>
    </row>
    <row r="30" spans="1:11" s="564" customFormat="1" ht="13.2">
      <c r="A30" s="621" t="s">
        <v>81</v>
      </c>
      <c r="B30" s="642" t="str">
        <f t="shared" si="3"/>
        <v>Year 2020</v>
      </c>
      <c r="C30" s="621"/>
      <c r="D30" s="820">
        <f t="shared" si="4"/>
        <v>151038.7443380882</v>
      </c>
      <c r="E30" s="643"/>
      <c r="F30" s="644">
        <f t="shared" si="5"/>
        <v>2.7083333333333321E-3</v>
      </c>
      <c r="G30" s="363">
        <f t="shared" si="0"/>
        <v>5</v>
      </c>
      <c r="H30" s="820">
        <f t="shared" si="1"/>
        <v>-2045.316329578277</v>
      </c>
      <c r="I30" s="820"/>
      <c r="J30" s="820"/>
      <c r="K30" s="820">
        <f t="shared" si="2"/>
        <v>-153084.06066766649</v>
      </c>
    </row>
    <row r="31" spans="1:11" s="564" customFormat="1" ht="13.2">
      <c r="A31" s="621" t="s">
        <v>80</v>
      </c>
      <c r="B31" s="642" t="str">
        <f t="shared" si="3"/>
        <v>Year 2020</v>
      </c>
      <c r="C31" s="621"/>
      <c r="D31" s="820">
        <f t="shared" si="4"/>
        <v>151038.7443380882</v>
      </c>
      <c r="E31" s="643"/>
      <c r="F31" s="644">
        <f t="shared" si="5"/>
        <v>2.7083333333333321E-3</v>
      </c>
      <c r="G31" s="363">
        <f t="shared" si="0"/>
        <v>4</v>
      </c>
      <c r="H31" s="820">
        <f t="shared" si="1"/>
        <v>-1636.2530636626216</v>
      </c>
      <c r="I31" s="820"/>
      <c r="J31" s="820"/>
      <c r="K31" s="820">
        <f t="shared" si="2"/>
        <v>-152674.99740175082</v>
      </c>
    </row>
    <row r="32" spans="1:11" s="564" customFormat="1" ht="13.2">
      <c r="A32" s="621" t="s">
        <v>86</v>
      </c>
      <c r="B32" s="642" t="str">
        <f t="shared" si="3"/>
        <v>Year 2020</v>
      </c>
      <c r="C32" s="621"/>
      <c r="D32" s="820">
        <f t="shared" si="4"/>
        <v>151038.7443380882</v>
      </c>
      <c r="E32" s="643"/>
      <c r="F32" s="644">
        <f t="shared" si="5"/>
        <v>2.7083333333333321E-3</v>
      </c>
      <c r="G32" s="363">
        <f t="shared" si="0"/>
        <v>3</v>
      </c>
      <c r="H32" s="820">
        <f t="shared" si="1"/>
        <v>-1227.1897977469662</v>
      </c>
      <c r="I32" s="820"/>
      <c r="J32" s="820"/>
      <c r="K32" s="820">
        <f t="shared" si="2"/>
        <v>-152265.93413583518</v>
      </c>
    </row>
    <row r="33" spans="1:13" s="564" customFormat="1" ht="13.2">
      <c r="A33" s="621" t="s">
        <v>79</v>
      </c>
      <c r="B33" s="642" t="str">
        <f t="shared" si="3"/>
        <v>Year 2020</v>
      </c>
      <c r="C33" s="621"/>
      <c r="D33" s="820">
        <f t="shared" si="4"/>
        <v>151038.7443380882</v>
      </c>
      <c r="E33" s="643"/>
      <c r="F33" s="644">
        <f t="shared" si="5"/>
        <v>2.7083333333333321E-3</v>
      </c>
      <c r="G33" s="363">
        <f t="shared" si="0"/>
        <v>2</v>
      </c>
      <c r="H33" s="820">
        <f t="shared" si="1"/>
        <v>-818.12653183131079</v>
      </c>
      <c r="I33" s="820"/>
      <c r="J33" s="820"/>
      <c r="K33" s="820">
        <f t="shared" si="2"/>
        <v>-151856.87086991951</v>
      </c>
    </row>
    <row r="34" spans="1:13" s="564" customFormat="1" ht="13.2">
      <c r="A34" s="621" t="s">
        <v>78</v>
      </c>
      <c r="B34" s="642" t="str">
        <f t="shared" si="3"/>
        <v>Year 2020</v>
      </c>
      <c r="C34" s="621"/>
      <c r="D34" s="820">
        <f t="shared" si="4"/>
        <v>151038.7443380882</v>
      </c>
      <c r="E34" s="643"/>
      <c r="F34" s="644">
        <f t="shared" si="5"/>
        <v>2.7083333333333321E-3</v>
      </c>
      <c r="G34" s="363">
        <f t="shared" si="0"/>
        <v>1</v>
      </c>
      <c r="H34" s="822">
        <f t="shared" si="1"/>
        <v>-409.06326591565539</v>
      </c>
      <c r="I34" s="820"/>
      <c r="J34" s="820"/>
      <c r="K34" s="820">
        <f t="shared" si="2"/>
        <v>-151447.80760400387</v>
      </c>
    </row>
    <row r="35" spans="1:13" s="564" customFormat="1" ht="13.2">
      <c r="A35" s="621"/>
      <c r="B35" s="621"/>
      <c r="C35" s="621"/>
      <c r="D35" s="820"/>
      <c r="E35" s="643"/>
      <c r="F35" s="644"/>
      <c r="G35" s="363"/>
      <c r="H35" s="820">
        <f>SUM(H23:H34)</f>
        <v>-31906.934741421122</v>
      </c>
      <c r="I35" s="820"/>
      <c r="J35" s="820"/>
      <c r="K35" s="821">
        <f>SUM(K23:K34)</f>
        <v>-1844371.8667984798</v>
      </c>
    </row>
    <row r="36" spans="1:13" s="564" customFormat="1" ht="13.2">
      <c r="A36" s="621"/>
      <c r="B36" s="621"/>
      <c r="C36" s="621"/>
      <c r="D36" s="820"/>
      <c r="E36" s="643"/>
      <c r="F36" s="644"/>
      <c r="G36" s="643"/>
      <c r="H36" s="643"/>
      <c r="I36" s="643" t="s">
        <v>2</v>
      </c>
      <c r="J36" s="643"/>
      <c r="K36" s="566"/>
    </row>
    <row r="37" spans="1:13" s="564" customFormat="1" ht="13.2">
      <c r="A37" s="621"/>
      <c r="B37" s="621"/>
      <c r="C37" s="621"/>
      <c r="D37" s="820"/>
      <c r="E37" s="628"/>
      <c r="F37" s="644"/>
      <c r="G37" s="643"/>
      <c r="H37" s="646" t="s">
        <v>617</v>
      </c>
      <c r="I37" s="643"/>
      <c r="J37" s="643"/>
      <c r="K37" s="643"/>
    </row>
    <row r="38" spans="1:13" s="564" customFormat="1" ht="13.2">
      <c r="A38" s="621" t="s">
        <v>711</v>
      </c>
      <c r="B38" s="642" t="str">
        <f>"Year "&amp;$A$6+1</f>
        <v>Year 2021</v>
      </c>
      <c r="C38" s="621"/>
      <c r="D38" s="820">
        <f>K35</f>
        <v>-1844371.8667984798</v>
      </c>
      <c r="E38" s="628"/>
      <c r="F38" s="644">
        <f>+F34</f>
        <v>2.7083333333333321E-3</v>
      </c>
      <c r="G38" s="643">
        <v>12</v>
      </c>
      <c r="H38" s="643">
        <f>+G38*F38*D38</f>
        <v>-59942.085670950568</v>
      </c>
      <c r="I38" s="643"/>
      <c r="J38" s="643"/>
      <c r="K38" s="645">
        <f>+D38+H38</f>
        <v>-1904313.9524694304</v>
      </c>
    </row>
    <row r="39" spans="1:13" s="564" customFormat="1" ht="13.2">
      <c r="A39" s="621"/>
      <c r="B39" s="621"/>
      <c r="C39" s="621"/>
      <c r="D39" s="820"/>
      <c r="E39" s="628"/>
      <c r="F39" s="644"/>
      <c r="G39" s="621"/>
      <c r="H39" s="643"/>
      <c r="I39" s="643"/>
      <c r="J39" s="643"/>
      <c r="K39" s="643"/>
    </row>
    <row r="40" spans="1:13" s="564" customFormat="1" ht="13.2">
      <c r="A40" s="647" t="s">
        <v>618</v>
      </c>
      <c r="B40" s="621"/>
      <c r="C40" s="621"/>
      <c r="D40" s="820"/>
      <c r="E40" s="643"/>
      <c r="F40" s="644"/>
      <c r="G40" s="621"/>
      <c r="H40" s="646" t="s">
        <v>616</v>
      </c>
      <c r="I40" s="643"/>
      <c r="J40" s="643"/>
      <c r="K40" s="643"/>
    </row>
    <row r="41" spans="1:13" s="564" customFormat="1" ht="13.2">
      <c r="A41" s="621" t="s">
        <v>85</v>
      </c>
      <c r="B41" s="642" t="str">
        <f>"Year "&amp;$A$6+2</f>
        <v>Year 2022</v>
      </c>
      <c r="C41" s="621"/>
      <c r="D41" s="821">
        <f>-K38</f>
        <v>1904313.9524694304</v>
      </c>
      <c r="E41" s="628"/>
      <c r="F41" s="644">
        <f>+F34</f>
        <v>2.7083333333333321E-3</v>
      </c>
      <c r="G41" s="621"/>
      <c r="H41" s="820">
        <f xml:space="preserve"> -F41*D41</f>
        <v>-5157.5169546047055</v>
      </c>
      <c r="I41" s="820">
        <f>PMT(F41,12,K$38)</f>
        <v>161500.3366676502</v>
      </c>
      <c r="J41" s="820"/>
      <c r="K41" s="820">
        <f>(+D41+D41*F41-I41)*-1</f>
        <v>-1747971.132756385</v>
      </c>
      <c r="L41" s="648"/>
      <c r="M41" s="649"/>
    </row>
    <row r="42" spans="1:13" s="564" customFormat="1" ht="13.2">
      <c r="A42" s="621" t="s">
        <v>84</v>
      </c>
      <c r="B42" s="642" t="str">
        <f>+B41</f>
        <v>Year 2022</v>
      </c>
      <c r="C42" s="621"/>
      <c r="D42" s="820">
        <f>-K41</f>
        <v>1747971.132756385</v>
      </c>
      <c r="E42" s="628"/>
      <c r="F42" s="644">
        <f>+F41</f>
        <v>2.7083333333333321E-3</v>
      </c>
      <c r="G42" s="621"/>
      <c r="H42" s="820">
        <f t="shared" ref="H42:H52" si="6" xml:space="preserve"> -F42*D42</f>
        <v>-4734.0884845485407</v>
      </c>
      <c r="I42" s="820">
        <f>I41</f>
        <v>161500.3366676502</v>
      </c>
      <c r="J42" s="820"/>
      <c r="K42" s="820">
        <f t="shared" ref="K42:K52" si="7">(+D42+D42*F42-I42)*-1</f>
        <v>-1591204.8845732834</v>
      </c>
      <c r="L42" s="648"/>
      <c r="M42" s="649"/>
    </row>
    <row r="43" spans="1:13" s="564" customFormat="1" ht="13.2">
      <c r="A43" s="621" t="s">
        <v>83</v>
      </c>
      <c r="B43" s="642" t="str">
        <f>+B42</f>
        <v>Year 2022</v>
      </c>
      <c r="C43" s="621"/>
      <c r="D43" s="820">
        <f t="shared" ref="D43:D52" si="8">-K42</f>
        <v>1591204.8845732834</v>
      </c>
      <c r="E43" s="628"/>
      <c r="F43" s="644">
        <f t="shared" ref="F43:F52" si="9">+F42</f>
        <v>2.7083333333333321E-3</v>
      </c>
      <c r="G43" s="621"/>
      <c r="H43" s="820">
        <f t="shared" si="6"/>
        <v>-4309.5132290526408</v>
      </c>
      <c r="I43" s="820">
        <f t="shared" ref="I43:I52" si="10">I42</f>
        <v>161500.3366676502</v>
      </c>
      <c r="J43" s="820"/>
      <c r="K43" s="820">
        <f t="shared" si="7"/>
        <v>-1434014.0611346858</v>
      </c>
      <c r="L43" s="648"/>
      <c r="M43" s="649"/>
    </row>
    <row r="44" spans="1:13" s="564" customFormat="1" ht="13.2">
      <c r="A44" s="621" t="s">
        <v>76</v>
      </c>
      <c r="B44" s="642" t="str">
        <f>+B43</f>
        <v>Year 2022</v>
      </c>
      <c r="C44" s="621"/>
      <c r="D44" s="820">
        <f t="shared" si="8"/>
        <v>1434014.0611346858</v>
      </c>
      <c r="E44" s="628"/>
      <c r="F44" s="644">
        <f t="shared" si="9"/>
        <v>2.7083333333333321E-3</v>
      </c>
      <c r="G44" s="621"/>
      <c r="H44" s="820">
        <f t="shared" si="6"/>
        <v>-3883.7880822397724</v>
      </c>
      <c r="I44" s="820">
        <f t="shared" si="10"/>
        <v>161500.3366676502</v>
      </c>
      <c r="J44" s="820"/>
      <c r="K44" s="820">
        <f t="shared" si="7"/>
        <v>-1276397.5125492753</v>
      </c>
      <c r="L44" s="648"/>
      <c r="M44" s="649"/>
    </row>
    <row r="45" spans="1:13" s="564" customFormat="1" ht="13.2">
      <c r="A45" s="621" t="s">
        <v>75</v>
      </c>
      <c r="B45" s="642" t="str">
        <f>+B44</f>
        <v>Year 2022</v>
      </c>
      <c r="C45" s="621"/>
      <c r="D45" s="820">
        <f t="shared" si="8"/>
        <v>1276397.5125492753</v>
      </c>
      <c r="E45" s="628"/>
      <c r="F45" s="644">
        <f t="shared" si="9"/>
        <v>2.7083333333333321E-3</v>
      </c>
      <c r="G45" s="621"/>
      <c r="H45" s="820">
        <f t="shared" si="6"/>
        <v>-3456.9099298209526</v>
      </c>
      <c r="I45" s="820">
        <f t="shared" si="10"/>
        <v>161500.3366676502</v>
      </c>
      <c r="J45" s="820"/>
      <c r="K45" s="820">
        <f t="shared" si="7"/>
        <v>-1118354.0858114462</v>
      </c>
      <c r="L45" s="648"/>
      <c r="M45" s="649"/>
    </row>
    <row r="46" spans="1:13" s="564" customFormat="1" ht="13.2">
      <c r="A46" s="621" t="s">
        <v>92</v>
      </c>
      <c r="B46" s="642" t="str">
        <f>B45</f>
        <v>Year 2022</v>
      </c>
      <c r="C46" s="621"/>
      <c r="D46" s="820">
        <f t="shared" si="8"/>
        <v>1118354.0858114462</v>
      </c>
      <c r="E46" s="628"/>
      <c r="F46" s="644">
        <f t="shared" si="9"/>
        <v>2.7083333333333321E-3</v>
      </c>
      <c r="G46" s="621"/>
      <c r="H46" s="820">
        <f t="shared" si="6"/>
        <v>-3028.8756490726655</v>
      </c>
      <c r="I46" s="820">
        <f t="shared" si="10"/>
        <v>161500.3366676502</v>
      </c>
      <c r="J46" s="820"/>
      <c r="K46" s="820">
        <f t="shared" si="7"/>
        <v>-959882.62479286874</v>
      </c>
      <c r="L46" s="648"/>
      <c r="M46" s="649"/>
    </row>
    <row r="47" spans="1:13" s="564" customFormat="1" ht="13.2">
      <c r="A47" s="621" t="s">
        <v>82</v>
      </c>
      <c r="B47" s="642" t="str">
        <f t="shared" ref="B47:B52" si="11">+B46</f>
        <v>Year 2022</v>
      </c>
      <c r="C47" s="621"/>
      <c r="D47" s="820">
        <f t="shared" si="8"/>
        <v>959882.62479286874</v>
      </c>
      <c r="E47" s="628"/>
      <c r="F47" s="644">
        <f t="shared" si="9"/>
        <v>2.7083333333333321E-3</v>
      </c>
      <c r="G47" s="621"/>
      <c r="H47" s="820">
        <f t="shared" si="6"/>
        <v>-2599.6821088140182</v>
      </c>
      <c r="I47" s="820">
        <f t="shared" si="10"/>
        <v>161500.3366676502</v>
      </c>
      <c r="J47" s="820"/>
      <c r="K47" s="820">
        <f t="shared" si="7"/>
        <v>-800981.97023403249</v>
      </c>
      <c r="L47" s="648"/>
      <c r="M47" s="649"/>
    </row>
    <row r="48" spans="1:13" s="564" customFormat="1" ht="13.2">
      <c r="A48" s="621" t="s">
        <v>81</v>
      </c>
      <c r="B48" s="642" t="str">
        <f t="shared" si="11"/>
        <v>Year 2022</v>
      </c>
      <c r="C48" s="621"/>
      <c r="D48" s="820">
        <f t="shared" si="8"/>
        <v>800981.97023403249</v>
      </c>
      <c r="E48" s="628"/>
      <c r="F48" s="644">
        <f t="shared" si="9"/>
        <v>2.7083333333333321E-3</v>
      </c>
      <c r="G48" s="621"/>
      <c r="H48" s="820">
        <f t="shared" si="6"/>
        <v>-2169.3261693838372</v>
      </c>
      <c r="I48" s="820">
        <f t="shared" si="10"/>
        <v>161500.3366676502</v>
      </c>
      <c r="J48" s="820"/>
      <c r="K48" s="820">
        <f t="shared" si="7"/>
        <v>-641650.95973576605</v>
      </c>
      <c r="L48" s="648"/>
      <c r="M48" s="649"/>
    </row>
    <row r="49" spans="1:13" s="564" customFormat="1" ht="13.2">
      <c r="A49" s="621" t="s">
        <v>80</v>
      </c>
      <c r="B49" s="642" t="str">
        <f t="shared" si="11"/>
        <v>Year 2022</v>
      </c>
      <c r="C49" s="621"/>
      <c r="D49" s="820">
        <f t="shared" si="8"/>
        <v>641650.95973576605</v>
      </c>
      <c r="E49" s="628"/>
      <c r="F49" s="644">
        <f t="shared" si="9"/>
        <v>2.7083333333333321E-3</v>
      </c>
      <c r="G49" s="621"/>
      <c r="H49" s="820">
        <f t="shared" si="6"/>
        <v>-1737.804682617699</v>
      </c>
      <c r="I49" s="820">
        <f t="shared" si="10"/>
        <v>161500.3366676502</v>
      </c>
      <c r="J49" s="820"/>
      <c r="K49" s="820">
        <f t="shared" si="7"/>
        <v>-481888.42775073351</v>
      </c>
      <c r="L49" s="648"/>
      <c r="M49" s="649"/>
    </row>
    <row r="50" spans="1:13" s="564" customFormat="1" ht="13.2">
      <c r="A50" s="621" t="s">
        <v>86</v>
      </c>
      <c r="B50" s="642" t="str">
        <f t="shared" si="11"/>
        <v>Year 2022</v>
      </c>
      <c r="C50" s="621"/>
      <c r="D50" s="820">
        <f t="shared" si="8"/>
        <v>481888.42775073351</v>
      </c>
      <c r="E50" s="628"/>
      <c r="F50" s="644">
        <f t="shared" si="9"/>
        <v>2.7083333333333321E-3</v>
      </c>
      <c r="G50" s="621"/>
      <c r="H50" s="820">
        <f t="shared" si="6"/>
        <v>-1305.1144918249026</v>
      </c>
      <c r="I50" s="820">
        <f t="shared" si="10"/>
        <v>161500.3366676502</v>
      </c>
      <c r="J50" s="820"/>
      <c r="K50" s="820">
        <f t="shared" si="7"/>
        <v>-321693.20557490818</v>
      </c>
      <c r="L50" s="648"/>
      <c r="M50" s="649"/>
    </row>
    <row r="51" spans="1:13" s="564" customFormat="1" ht="13.2">
      <c r="A51" s="621" t="s">
        <v>79</v>
      </c>
      <c r="B51" s="642" t="str">
        <f t="shared" si="11"/>
        <v>Year 2022</v>
      </c>
      <c r="C51" s="621"/>
      <c r="D51" s="820">
        <f t="shared" si="8"/>
        <v>321693.20557490818</v>
      </c>
      <c r="E51" s="628"/>
      <c r="F51" s="644">
        <f t="shared" si="9"/>
        <v>2.7083333333333321E-3</v>
      </c>
      <c r="G51" s="621"/>
      <c r="H51" s="820">
        <f t="shared" si="6"/>
        <v>-871.25243176537595</v>
      </c>
      <c r="I51" s="820">
        <f t="shared" si="10"/>
        <v>161500.3366676502</v>
      </c>
      <c r="J51" s="820"/>
      <c r="K51" s="820">
        <f t="shared" si="7"/>
        <v>-161064.12133902335</v>
      </c>
      <c r="L51" s="648"/>
      <c r="M51" s="649"/>
    </row>
    <row r="52" spans="1:13" s="564" customFormat="1" ht="13.2">
      <c r="A52" s="621" t="s">
        <v>78</v>
      </c>
      <c r="B52" s="642" t="str">
        <f t="shared" si="11"/>
        <v>Year 2022</v>
      </c>
      <c r="C52" s="621"/>
      <c r="D52" s="820">
        <f t="shared" si="8"/>
        <v>161064.12133902335</v>
      </c>
      <c r="E52" s="628"/>
      <c r="F52" s="644">
        <f t="shared" si="9"/>
        <v>2.7083333333333321E-3</v>
      </c>
      <c r="G52" s="621"/>
      <c r="H52" s="822">
        <f t="shared" si="6"/>
        <v>-436.21532862652134</v>
      </c>
      <c r="I52" s="820">
        <f t="shared" si="10"/>
        <v>161500.3366676502</v>
      </c>
      <c r="J52" s="820"/>
      <c r="K52" s="820">
        <f t="shared" si="7"/>
        <v>3.4924596548080444E-10</v>
      </c>
      <c r="L52" s="648"/>
      <c r="M52" s="649"/>
    </row>
    <row r="53" spans="1:13" s="564" customFormat="1" ht="13.2">
      <c r="A53" s="621"/>
      <c r="B53" s="621"/>
      <c r="C53" s="621"/>
      <c r="D53" s="628"/>
      <c r="E53" s="628"/>
      <c r="F53" s="650"/>
      <c r="G53" s="621"/>
      <c r="H53" s="820">
        <f>SUM(H41:H52)</f>
        <v>-33690.087542371628</v>
      </c>
      <c r="I53" s="820"/>
      <c r="J53" s="820"/>
      <c r="K53" s="820"/>
      <c r="L53" s="648"/>
      <c r="M53" s="649"/>
    </row>
    <row r="54" spans="1:13" s="564" customFormat="1" ht="13.2">
      <c r="A54" s="566"/>
      <c r="B54" s="566"/>
      <c r="C54" s="566"/>
      <c r="D54" s="566"/>
      <c r="E54" s="566"/>
      <c r="F54" s="566"/>
      <c r="G54" s="566"/>
      <c r="H54" s="566"/>
      <c r="I54" s="566"/>
      <c r="J54" s="566"/>
      <c r="K54" s="566"/>
    </row>
    <row r="55" spans="1:13" s="564" customFormat="1" ht="13.2">
      <c r="A55" s="621" t="s">
        <v>619</v>
      </c>
      <c r="B55" s="566"/>
      <c r="C55" s="566"/>
      <c r="D55" s="566"/>
      <c r="E55" s="566"/>
      <c r="F55" s="566"/>
      <c r="G55" s="566"/>
      <c r="H55" s="566"/>
      <c r="I55" s="651">
        <f>SUM(I41:I52)*-1</f>
        <v>-1938004.040011802</v>
      </c>
      <c r="J55" s="566"/>
      <c r="K55" s="566"/>
    </row>
    <row r="56" spans="1:13" s="564" customFormat="1" ht="13.2">
      <c r="A56" s="621" t="s">
        <v>620</v>
      </c>
      <c r="B56" s="566"/>
      <c r="C56" s="566"/>
      <c r="D56" s="566"/>
      <c r="E56" s="566"/>
      <c r="F56" s="566"/>
      <c r="G56" s="566"/>
      <c r="H56" s="566"/>
      <c r="I56" s="651">
        <f>+G9</f>
        <v>1812464.9320570584</v>
      </c>
      <c r="J56" s="566"/>
      <c r="K56" s="566"/>
    </row>
    <row r="57" spans="1:13" s="564" customFormat="1" ht="13.2">
      <c r="A57" s="621" t="s">
        <v>621</v>
      </c>
      <c r="B57" s="566"/>
      <c r="C57" s="566"/>
      <c r="D57" s="566"/>
      <c r="E57" s="566"/>
      <c r="F57" s="566"/>
      <c r="G57" s="566"/>
      <c r="H57" s="566"/>
      <c r="I57" s="651">
        <f>(I55+I56)</f>
        <v>-125539.10795474355</v>
      </c>
      <c r="J57" s="566"/>
      <c r="K57" s="566"/>
    </row>
    <row r="59" spans="1:13">
      <c r="A59" s="612"/>
      <c r="B59" s="601"/>
      <c r="C59" s="601"/>
      <c r="D59" s="601"/>
      <c r="E59" s="601"/>
      <c r="F59" s="613"/>
      <c r="G59" s="601"/>
      <c r="H59" s="601"/>
      <c r="I59" s="614"/>
      <c r="J59" s="601"/>
      <c r="K59" s="601"/>
    </row>
    <row r="60" spans="1:13" ht="15.6">
      <c r="A60" s="611"/>
      <c r="B60" s="601"/>
      <c r="C60" s="601"/>
      <c r="D60" s="601"/>
      <c r="E60" s="601"/>
      <c r="F60" s="601"/>
      <c r="G60" s="601"/>
      <c r="H60" s="601"/>
      <c r="I60" s="601"/>
      <c r="J60" s="601"/>
      <c r="K60" s="601"/>
    </row>
    <row r="61" spans="1:13" ht="15.6">
      <c r="A61" s="615"/>
      <c r="F61" s="616"/>
      <c r="I61" s="617"/>
    </row>
    <row r="62" spans="1:13">
      <c r="D62" s="618"/>
      <c r="F62" s="616"/>
      <c r="I62" s="617"/>
    </row>
    <row r="63" spans="1:13">
      <c r="I63" s="618"/>
    </row>
  </sheetData>
  <customSheetViews>
    <customSheetView guid="{63AFAF34-E340-4B5E-A289-FFB7051CA9B6}" scale="80" showPageBreaks="1" view="pageBreakPreview">
      <selection activeCell="I36" sqref="I36"/>
      <pageMargins left="0.75" right="0.75" top="1" bottom="1" header="0.5" footer="0.5"/>
      <pageSetup scale="47" orientation="portrait" r:id="rId1"/>
      <headerFooter alignWithMargins="0"/>
    </customSheetView>
    <customSheetView guid="{F1DC5514-577A-46EB-866C-26F0BED2C286}" scale="80" showPageBreaks="1" fitToPage="1" view="pageBreakPreview">
      <selection sqref="A1:K1"/>
      <pageMargins left="0.75" right="0.75" top="1" bottom="1" header="0.5" footer="0.5"/>
      <printOptions horizontalCentered="1"/>
      <pageSetup scale="59" orientation="landscape" r:id="rId2"/>
      <headerFooter alignWithMargins="0"/>
    </customSheetView>
  </customSheetViews>
  <mergeCells count="3">
    <mergeCell ref="A1:K1"/>
    <mergeCell ref="A2:K2"/>
    <mergeCell ref="A3:K3"/>
  </mergeCells>
  <pageMargins left="0.75" right="0.75" top="1" bottom="1" header="0.5" footer="0.5"/>
  <pageSetup scale="58"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view="pageBreakPreview" topLeftCell="A4" zoomScaleNormal="75" zoomScaleSheetLayoutView="100" workbookViewId="0">
      <selection activeCell="E11" sqref="E11:E30"/>
    </sheetView>
  </sheetViews>
  <sheetFormatPr defaultColWidth="8.90625" defaultRowHeight="13.2"/>
  <cols>
    <col min="1" max="1" width="8.81640625" style="577" customWidth="1"/>
    <col min="2" max="2" width="9.08984375" style="577" bestFit="1" customWidth="1"/>
    <col min="3" max="3" width="8.90625" style="577"/>
    <col min="4" max="4" width="16.36328125" style="577" customWidth="1"/>
    <col min="5" max="5" width="8.90625" style="577"/>
    <col min="6" max="6" width="9.36328125" style="577" bestFit="1" customWidth="1"/>
    <col min="7" max="7" width="14.1796875" style="577" bestFit="1" customWidth="1"/>
    <col min="8" max="8" width="9.90625" style="577" customWidth="1"/>
    <col min="9" max="9" width="20.453125" style="577" bestFit="1" customWidth="1"/>
    <col min="10" max="16384" width="8.90625" style="577"/>
  </cols>
  <sheetData>
    <row r="1" spans="1:8">
      <c r="D1" s="701" t="s">
        <v>623</v>
      </c>
    </row>
    <row r="2" spans="1:8">
      <c r="D2" s="701" t="s">
        <v>424</v>
      </c>
    </row>
    <row r="3" spans="1:8">
      <c r="D3" s="701" t="str">
        <f>+'Attachment H-29A'!D5</f>
        <v>Transource Pennsylvania, LLC</v>
      </c>
    </row>
    <row r="4" spans="1:8">
      <c r="A4" s="716"/>
    </row>
    <row r="6" spans="1:8" ht="32.25" customHeight="1">
      <c r="A6" s="1030" t="s">
        <v>470</v>
      </c>
      <c r="B6" s="1030"/>
      <c r="C6" s="1030"/>
      <c r="D6" s="1030"/>
      <c r="E6" s="1030"/>
      <c r="F6" s="1030"/>
      <c r="G6" s="1030"/>
      <c r="H6" s="717"/>
    </row>
    <row r="7" spans="1:8">
      <c r="A7" s="718"/>
      <c r="B7" s="717"/>
      <c r="C7" s="717"/>
      <c r="D7" s="717"/>
      <c r="E7" s="717"/>
      <c r="F7" s="717"/>
      <c r="G7" s="719"/>
      <c r="H7" s="717"/>
    </row>
    <row r="8" spans="1:8">
      <c r="A8" s="718"/>
      <c r="B8" s="717"/>
      <c r="C8" s="717"/>
      <c r="D8" s="717"/>
      <c r="E8" s="717"/>
      <c r="F8" s="717"/>
      <c r="G8" s="719"/>
      <c r="H8" s="717"/>
    </row>
    <row r="9" spans="1:8">
      <c r="G9" s="720"/>
    </row>
    <row r="10" spans="1:8">
      <c r="A10" s="721"/>
      <c r="B10" s="722" t="s">
        <v>469</v>
      </c>
    </row>
    <row r="11" spans="1:8">
      <c r="A11" s="759">
        <v>1</v>
      </c>
      <c r="C11" s="722" t="s">
        <v>425</v>
      </c>
      <c r="D11" s="321"/>
      <c r="E11" s="723">
        <v>3.2500000000000001E-2</v>
      </c>
      <c r="F11" s="411"/>
      <c r="G11" s="411"/>
      <c r="H11" s="411"/>
    </row>
    <row r="12" spans="1:8">
      <c r="A12" s="759">
        <v>2</v>
      </c>
      <c r="C12" s="722" t="s">
        <v>426</v>
      </c>
      <c r="D12" s="321"/>
      <c r="E12" s="804">
        <v>3.2500000000000001E-2</v>
      </c>
      <c r="F12" s="411"/>
      <c r="G12" s="411"/>
      <c r="H12" s="411"/>
    </row>
    <row r="13" spans="1:8">
      <c r="A13" s="759">
        <v>3</v>
      </c>
      <c r="C13" s="722" t="s">
        <v>427</v>
      </c>
      <c r="D13" s="321"/>
      <c r="E13" s="804">
        <v>3.2500000000000001E-2</v>
      </c>
      <c r="F13" s="411"/>
      <c r="G13" s="411"/>
      <c r="H13" s="411"/>
    </row>
    <row r="14" spans="1:8">
      <c r="A14" s="759">
        <v>4</v>
      </c>
      <c r="C14" s="722" t="s">
        <v>428</v>
      </c>
      <c r="D14" s="321"/>
      <c r="E14" s="804">
        <v>3.2500000000000001E-2</v>
      </c>
      <c r="F14" s="411"/>
      <c r="G14" s="411"/>
      <c r="H14" s="411"/>
    </row>
    <row r="15" spans="1:8">
      <c r="A15" s="759">
        <v>5</v>
      </c>
      <c r="C15" s="722" t="s">
        <v>429</v>
      </c>
      <c r="D15" s="321"/>
      <c r="E15" s="804">
        <v>3.2500000000000001E-2</v>
      </c>
      <c r="F15" s="411"/>
      <c r="G15" s="411"/>
      <c r="H15" s="411"/>
    </row>
    <row r="16" spans="1:8">
      <c r="A16" s="759">
        <v>6</v>
      </c>
      <c r="C16" s="722" t="s">
        <v>430</v>
      </c>
      <c r="D16" s="321"/>
      <c r="E16" s="804">
        <v>3.2500000000000001E-2</v>
      </c>
      <c r="F16" s="411"/>
      <c r="G16" s="411"/>
      <c r="H16" s="411"/>
    </row>
    <row r="17" spans="1:8">
      <c r="A17" s="759">
        <v>7</v>
      </c>
      <c r="C17" s="722" t="s">
        <v>431</v>
      </c>
      <c r="D17" s="321"/>
      <c r="E17" s="804">
        <v>3.2500000000000001E-2</v>
      </c>
      <c r="F17" s="411"/>
      <c r="G17" s="411"/>
      <c r="H17" s="411"/>
    </row>
    <row r="18" spans="1:8">
      <c r="A18" s="759">
        <v>8</v>
      </c>
      <c r="C18" s="722" t="s">
        <v>432</v>
      </c>
      <c r="D18" s="321"/>
      <c r="E18" s="804">
        <v>3.2500000000000001E-2</v>
      </c>
      <c r="F18" s="411"/>
      <c r="G18" s="411"/>
      <c r="H18" s="411"/>
    </row>
    <row r="19" spans="1:8">
      <c r="A19" s="759">
        <v>9</v>
      </c>
      <c r="C19" s="722" t="s">
        <v>433</v>
      </c>
      <c r="D19" s="321"/>
      <c r="E19" s="804">
        <v>3.2500000000000001E-2</v>
      </c>
      <c r="F19" s="411"/>
      <c r="G19" s="411"/>
      <c r="H19" s="411"/>
    </row>
    <row r="20" spans="1:8">
      <c r="A20" s="759">
        <v>10</v>
      </c>
      <c r="C20" s="722" t="s">
        <v>434</v>
      </c>
      <c r="D20" s="321"/>
      <c r="E20" s="804">
        <v>3.2500000000000001E-2</v>
      </c>
      <c r="F20" s="411"/>
      <c r="G20" s="411"/>
      <c r="H20" s="411"/>
    </row>
    <row r="21" spans="1:8">
      <c r="A21" s="759">
        <v>11</v>
      </c>
      <c r="C21" s="722" t="s">
        <v>435</v>
      </c>
      <c r="D21" s="321"/>
      <c r="E21" s="804">
        <v>3.2500000000000001E-2</v>
      </c>
      <c r="F21" s="411"/>
      <c r="G21" s="411"/>
      <c r="H21" s="411"/>
    </row>
    <row r="22" spans="1:8">
      <c r="A22" s="759">
        <v>12</v>
      </c>
      <c r="C22" s="722" t="s">
        <v>436</v>
      </c>
      <c r="D22" s="321"/>
      <c r="E22" s="804">
        <v>3.2500000000000001E-2</v>
      </c>
      <c r="F22" s="411"/>
      <c r="G22" s="411"/>
      <c r="H22" s="411"/>
    </row>
    <row r="23" spans="1:8">
      <c r="A23" s="759">
        <f>+A22+1</f>
        <v>13</v>
      </c>
      <c r="C23" s="722" t="s">
        <v>571</v>
      </c>
      <c r="D23" s="321"/>
      <c r="E23" s="804">
        <v>3.2500000000000001E-2</v>
      </c>
      <c r="F23" s="411"/>
      <c r="G23" s="411"/>
      <c r="H23" s="411"/>
    </row>
    <row r="24" spans="1:8">
      <c r="A24" s="759">
        <f t="shared" ref="A24:A30" si="0">+A23+1</f>
        <v>14</v>
      </c>
      <c r="C24" s="722" t="s">
        <v>572</v>
      </c>
      <c r="D24" s="321"/>
      <c r="E24" s="804">
        <v>3.2500000000000001E-2</v>
      </c>
      <c r="F24" s="411"/>
      <c r="G24" s="411"/>
      <c r="H24" s="411"/>
    </row>
    <row r="25" spans="1:8">
      <c r="A25" s="759">
        <f t="shared" si="0"/>
        <v>15</v>
      </c>
      <c r="C25" s="722" t="s">
        <v>573</v>
      </c>
      <c r="D25" s="321"/>
      <c r="E25" s="804">
        <v>3.2500000000000001E-2</v>
      </c>
      <c r="F25" s="411"/>
      <c r="G25" s="411"/>
      <c r="H25" s="411"/>
    </row>
    <row r="26" spans="1:8">
      <c r="A26" s="759">
        <f t="shared" si="0"/>
        <v>16</v>
      </c>
      <c r="C26" s="722" t="s">
        <v>574</v>
      </c>
      <c r="D26" s="321"/>
      <c r="E26" s="804">
        <v>3.2500000000000001E-2</v>
      </c>
      <c r="F26" s="411"/>
      <c r="G26" s="411"/>
      <c r="H26" s="411"/>
    </row>
    <row r="27" spans="1:8">
      <c r="A27" s="759">
        <f t="shared" si="0"/>
        <v>17</v>
      </c>
      <c r="C27" s="722" t="s">
        <v>575</v>
      </c>
      <c r="D27" s="321"/>
      <c r="E27" s="804">
        <v>3.2500000000000001E-2</v>
      </c>
      <c r="F27" s="411"/>
      <c r="G27" s="411"/>
      <c r="H27" s="411"/>
    </row>
    <row r="28" spans="1:8">
      <c r="A28" s="759">
        <f t="shared" si="0"/>
        <v>18</v>
      </c>
      <c r="C28" s="722" t="s">
        <v>781</v>
      </c>
      <c r="D28" s="321"/>
      <c r="E28" s="804">
        <v>3.2500000000000001E-2</v>
      </c>
      <c r="F28" s="411"/>
      <c r="G28" s="411"/>
      <c r="H28" s="411"/>
    </row>
    <row r="29" spans="1:8">
      <c r="A29" s="759">
        <f t="shared" si="0"/>
        <v>19</v>
      </c>
      <c r="C29" s="722" t="s">
        <v>782</v>
      </c>
      <c r="D29" s="321"/>
      <c r="E29" s="804">
        <v>3.2500000000000001E-2</v>
      </c>
      <c r="F29" s="411"/>
      <c r="G29" s="411"/>
      <c r="H29" s="411"/>
    </row>
    <row r="30" spans="1:8">
      <c r="A30" s="759">
        <f t="shared" si="0"/>
        <v>20</v>
      </c>
      <c r="C30" s="722" t="s">
        <v>783</v>
      </c>
      <c r="D30" s="321"/>
      <c r="E30" s="804">
        <v>3.2500000000000001E-2</v>
      </c>
      <c r="F30" s="411"/>
      <c r="G30" s="411"/>
      <c r="H30" s="411"/>
    </row>
    <row r="31" spans="1:8">
      <c r="A31" s="759"/>
      <c r="C31" s="718"/>
      <c r="D31" s="724"/>
      <c r="E31" s="724"/>
      <c r="F31" s="411"/>
      <c r="G31" s="411"/>
      <c r="H31" s="321"/>
    </row>
    <row r="32" spans="1:8">
      <c r="A32" s="759">
        <f>+A30+1</f>
        <v>21</v>
      </c>
      <c r="B32" s="725" t="s">
        <v>570</v>
      </c>
      <c r="C32" s="717"/>
      <c r="D32" s="724"/>
      <c r="E32" s="726">
        <f>+AVERAGE(E11:E30)</f>
        <v>3.2499999999999987E-2</v>
      </c>
      <c r="F32" s="411"/>
      <c r="G32" s="411"/>
      <c r="H32" s="321"/>
    </row>
    <row r="33" spans="1:8">
      <c r="A33" s="759">
        <f>+A32+1</f>
        <v>22</v>
      </c>
      <c r="B33" s="577" t="s">
        <v>473</v>
      </c>
      <c r="E33" s="213">
        <f>+E32/12</f>
        <v>2.7083333333333321E-3</v>
      </c>
    </row>
    <row r="34" spans="1:8">
      <c r="E34" s="727"/>
    </row>
    <row r="35" spans="1:8" ht="36" customHeight="1">
      <c r="A35" s="1031" t="s">
        <v>784</v>
      </c>
      <c r="B35" s="1031"/>
      <c r="C35" s="1031"/>
      <c r="D35" s="1031"/>
      <c r="E35" s="1031"/>
      <c r="F35" s="1031"/>
      <c r="G35" s="1031"/>
      <c r="H35" s="807"/>
    </row>
  </sheetData>
  <customSheetViews>
    <customSheetView guid="{63AFAF34-E340-4B5E-A289-FFB7051CA9B6}" showPageBreaks="1" showGridLines="0" fitToPage="1" printArea="1" view="pageBreakPreview">
      <selection activeCell="G32" sqref="G32"/>
      <pageMargins left="1" right="1" top="1" bottom="1" header="0.5" footer="0.5"/>
      <printOptions horizontalCentered="1"/>
      <pageSetup scale="81" orientation="portrait" r:id="rId1"/>
    </customSheetView>
    <customSheetView guid="{F1DC5514-577A-46EB-866C-26F0BED2C286}" showPageBreaks="1" showGridLines="0" fitToPage="1" printArea="1" view="pageBreakPreview">
      <selection activeCell="G37" sqref="G37"/>
      <pageMargins left="1" right="1" top="1" bottom="1" header="0.5" footer="0.5"/>
      <printOptions horizontalCentered="1"/>
      <pageSetup orientation="landscape" r:id="rId2"/>
    </customSheetView>
  </customSheetViews>
  <mergeCells count="2">
    <mergeCell ref="A6:G6"/>
    <mergeCell ref="A35:G35"/>
  </mergeCells>
  <phoneticPr fontId="0" type="noConversion"/>
  <printOptions horizontalCentered="1"/>
  <pageMargins left="1" right="1" top="1" bottom="1" header="0.5" footer="0.5"/>
  <pageSetup scale="94" orientation="landscape"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activeCell="I22" sqref="I22"/>
    </sheetView>
  </sheetViews>
  <sheetFormatPr defaultColWidth="8.90625" defaultRowHeight="15.6"/>
  <cols>
    <col min="1" max="1" width="8.90625" style="225"/>
    <col min="2" max="2" width="43.81640625" style="225" customWidth="1"/>
    <col min="3" max="3" width="20.6328125" style="225" bestFit="1" customWidth="1"/>
    <col min="4" max="5" width="13.6328125" style="225" customWidth="1"/>
    <col min="6" max="6" width="12.08984375" style="225" customWidth="1"/>
    <col min="7" max="8" width="11.90625" style="225" bestFit="1" customWidth="1"/>
    <col min="9" max="16384" width="8.90625" style="225"/>
  </cols>
  <sheetData>
    <row r="1" spans="1:9">
      <c r="A1" s="1029" t="s">
        <v>186</v>
      </c>
      <c r="B1" s="1029"/>
      <c r="C1" s="1029"/>
      <c r="D1" s="1029"/>
      <c r="E1" s="1029"/>
      <c r="F1" s="1029"/>
    </row>
    <row r="2" spans="1:9">
      <c r="A2" s="1032" t="s">
        <v>384</v>
      </c>
      <c r="B2" s="1032"/>
      <c r="C2" s="1032"/>
      <c r="D2" s="1032"/>
      <c r="E2" s="1032"/>
      <c r="F2" s="1032"/>
    </row>
    <row r="3" spans="1:9">
      <c r="A3" s="1029" t="str">
        <f>+'Attachment H-29A'!D5</f>
        <v>Transource Pennsylvania, LLC</v>
      </c>
      <c r="B3" s="1029"/>
      <c r="C3" s="1029"/>
      <c r="D3" s="1029"/>
      <c r="E3" s="1029"/>
      <c r="F3" s="1029"/>
      <c r="G3" s="694"/>
      <c r="H3" s="694"/>
    </row>
    <row r="4" spans="1:9">
      <c r="A4" s="695"/>
      <c r="C4" s="696"/>
      <c r="G4" s="694"/>
      <c r="H4" s="694"/>
    </row>
    <row r="5" spans="1:9">
      <c r="A5" s="302"/>
      <c r="B5" s="308" t="s">
        <v>263</v>
      </c>
      <c r="C5" s="309"/>
      <c r="D5" s="302"/>
      <c r="E5" s="310"/>
      <c r="F5" s="321"/>
      <c r="G5" s="697"/>
      <c r="H5" s="697"/>
    </row>
    <row r="6" spans="1:9" s="692" customFormat="1">
      <c r="A6" s="302"/>
      <c r="B6" s="308"/>
      <c r="C6" s="309"/>
      <c r="D6" s="311" t="s">
        <v>314</v>
      </c>
      <c r="E6" s="793" t="s">
        <v>315</v>
      </c>
      <c r="F6" s="312" t="s">
        <v>13</v>
      </c>
      <c r="G6" s="698"/>
      <c r="H6" s="698"/>
      <c r="I6" s="698"/>
    </row>
    <row r="7" spans="1:9">
      <c r="A7" s="493" t="s">
        <v>148</v>
      </c>
      <c r="B7" s="313"/>
      <c r="C7" s="313"/>
      <c r="D7" s="312" t="s">
        <v>190</v>
      </c>
      <c r="E7" s="794" t="s">
        <v>191</v>
      </c>
      <c r="F7" s="312" t="s">
        <v>640</v>
      </c>
      <c r="G7" s="699"/>
      <c r="H7" s="699"/>
      <c r="I7" s="693"/>
    </row>
    <row r="8" spans="1:9" ht="40.200000000000003">
      <c r="A8" s="302">
        <v>1</v>
      </c>
      <c r="B8" s="321"/>
      <c r="C8" s="303"/>
      <c r="D8" s="304" t="s">
        <v>743</v>
      </c>
      <c r="E8" s="795" t="s">
        <v>743</v>
      </c>
      <c r="F8" s="702"/>
      <c r="G8" s="319"/>
      <c r="H8" s="319"/>
      <c r="I8" s="319"/>
    </row>
    <row r="9" spans="1:9">
      <c r="A9" s="302">
        <v>2</v>
      </c>
      <c r="B9" s="305" t="s">
        <v>523</v>
      </c>
      <c r="C9" s="305" t="s">
        <v>295</v>
      </c>
      <c r="D9" s="498">
        <f>-98328251+5994383</f>
        <v>-92333868</v>
      </c>
      <c r="E9" s="498">
        <v>8386137</v>
      </c>
      <c r="F9" s="321"/>
      <c r="G9" s="295"/>
      <c r="H9" s="295"/>
      <c r="I9" s="278"/>
    </row>
    <row r="10" spans="1:9">
      <c r="A10" s="302">
        <v>3</v>
      </c>
      <c r="B10" s="305" t="s">
        <v>316</v>
      </c>
      <c r="C10" s="305" t="s">
        <v>295</v>
      </c>
      <c r="D10" s="498">
        <f>+D9*((16980+297)/(16980+17214+48+297))</f>
        <v>-46186983.91487883</v>
      </c>
      <c r="E10" s="498">
        <f>+E9*((2242+1149)/(2950+2242+1855+1149))</f>
        <v>3469666.9798682285</v>
      </c>
      <c r="F10" s="321"/>
      <c r="G10" s="295"/>
      <c r="H10" s="295"/>
      <c r="I10" s="278"/>
    </row>
    <row r="11" spans="1:9">
      <c r="A11" s="302">
        <v>4</v>
      </c>
      <c r="B11" s="305" t="s">
        <v>317</v>
      </c>
      <c r="C11" s="305" t="s">
        <v>318</v>
      </c>
      <c r="D11" s="314">
        <f>D9-D10</f>
        <v>-46146884.08512117</v>
      </c>
      <c r="E11" s="314">
        <f>E9-E10</f>
        <v>4916470.0201317715</v>
      </c>
      <c r="F11" s="321"/>
      <c r="G11" s="306"/>
      <c r="H11" s="306"/>
      <c r="I11" s="278"/>
    </row>
    <row r="12" spans="1:9">
      <c r="A12" s="302">
        <v>5</v>
      </c>
      <c r="B12" s="305" t="s">
        <v>319</v>
      </c>
      <c r="C12" s="305" t="s">
        <v>296</v>
      </c>
      <c r="D12" s="498">
        <v>1573181281</v>
      </c>
      <c r="E12" s="498">
        <f>243676962-51943652</f>
        <v>191733310</v>
      </c>
      <c r="F12" s="321"/>
      <c r="G12" s="318"/>
      <c r="H12" s="318"/>
      <c r="I12" s="545"/>
    </row>
    <row r="13" spans="1:9">
      <c r="A13" s="302">
        <v>6</v>
      </c>
      <c r="B13" s="305" t="s">
        <v>320</v>
      </c>
      <c r="C13" s="305" t="s">
        <v>321</v>
      </c>
      <c r="D13" s="315">
        <f>IFERROR(D11/D12,0)</f>
        <v>-2.9333481552607649E-2</v>
      </c>
      <c r="E13" s="315">
        <f>IFERROR(E11/E12,0)</f>
        <v>2.5642232015562511E-2</v>
      </c>
      <c r="F13" s="316"/>
      <c r="G13" s="48"/>
      <c r="H13" s="48"/>
      <c r="I13" s="545"/>
    </row>
    <row r="14" spans="1:9">
      <c r="A14" s="302">
        <v>7</v>
      </c>
      <c r="B14" s="305" t="s">
        <v>524</v>
      </c>
      <c r="C14" s="305" t="s">
        <v>374</v>
      </c>
      <c r="D14" s="983">
        <v>242985.005</v>
      </c>
      <c r="E14" s="983">
        <v>0</v>
      </c>
      <c r="F14" s="316"/>
      <c r="G14" s="539"/>
      <c r="H14" s="539"/>
      <c r="I14" s="278"/>
    </row>
    <row r="15" spans="1:9">
      <c r="A15" s="302">
        <v>8</v>
      </c>
      <c r="B15" s="305" t="s">
        <v>381</v>
      </c>
      <c r="C15" s="305" t="s">
        <v>322</v>
      </c>
      <c r="D15" s="703">
        <f>D13*D14</f>
        <v>-7127.5961617277771</v>
      </c>
      <c r="E15" s="703">
        <f>E13*E14</f>
        <v>0</v>
      </c>
      <c r="F15" s="536">
        <f>SUM(D15:E15)</f>
        <v>-7127.5961617277771</v>
      </c>
      <c r="G15" s="278"/>
      <c r="H15" s="278"/>
      <c r="I15" s="278"/>
    </row>
    <row r="16" spans="1:9">
      <c r="A16" s="302">
        <v>9</v>
      </c>
      <c r="B16" s="317"/>
      <c r="C16" s="305"/>
      <c r="D16" s="305"/>
      <c r="E16" s="577"/>
      <c r="F16" s="316"/>
      <c r="G16" s="278"/>
      <c r="H16" s="278"/>
      <c r="I16" s="545"/>
    </row>
    <row r="17" spans="1:17">
      <c r="A17" s="353"/>
      <c r="B17" s="321"/>
      <c r="C17" s="321"/>
      <c r="D17" s="321"/>
      <c r="E17" s="321"/>
      <c r="F17" s="316"/>
      <c r="G17" s="693"/>
      <c r="H17" s="693"/>
      <c r="I17" s="693"/>
    </row>
    <row r="18" spans="1:17">
      <c r="A18" s="214">
        <v>10</v>
      </c>
      <c r="B18" s="317" t="s">
        <v>698</v>
      </c>
      <c r="C18" s="321"/>
      <c r="D18" s="789"/>
      <c r="E18" s="789"/>
      <c r="F18" s="790">
        <v>0</v>
      </c>
      <c r="G18" s="539"/>
      <c r="H18" s="539"/>
      <c r="I18" s="539"/>
      <c r="J18" s="539"/>
      <c r="K18" s="539"/>
      <c r="L18" s="539"/>
      <c r="M18" s="539"/>
      <c r="N18" s="539"/>
      <c r="O18" s="539"/>
      <c r="P18" s="539"/>
      <c r="Q18" s="539"/>
    </row>
    <row r="19" spans="1:17">
      <c r="A19" s="494"/>
      <c r="B19" s="321"/>
      <c r="C19" s="321"/>
      <c r="D19" s="321"/>
      <c r="E19" s="321"/>
      <c r="F19" s="321"/>
      <c r="G19" s="539"/>
      <c r="H19" s="539"/>
      <c r="I19" s="539"/>
      <c r="J19" s="539"/>
      <c r="K19" s="539"/>
      <c r="L19" s="539"/>
      <c r="M19" s="539"/>
      <c r="N19" s="539"/>
      <c r="O19" s="539"/>
      <c r="P19" s="539"/>
      <c r="Q19" s="539"/>
    </row>
    <row r="20" spans="1:17">
      <c r="B20" s="539"/>
      <c r="C20" s="321"/>
      <c r="D20" s="321"/>
      <c r="E20" s="321"/>
      <c r="F20" s="321"/>
      <c r="G20" s="307"/>
      <c r="H20" s="307"/>
      <c r="I20" s="307"/>
      <c r="J20" s="307"/>
      <c r="K20" s="307"/>
      <c r="L20" s="307"/>
      <c r="M20" s="307"/>
      <c r="N20" s="307"/>
      <c r="O20" s="307"/>
      <c r="P20" s="307"/>
      <c r="Q20" s="307"/>
    </row>
    <row r="21" spans="1:17">
      <c r="A21" s="495" t="s">
        <v>525</v>
      </c>
      <c r="B21" s="539"/>
      <c r="C21" s="321"/>
      <c r="D21" s="321"/>
      <c r="E21" s="321"/>
      <c r="F21" s="321"/>
      <c r="G21" s="693"/>
      <c r="H21" s="693"/>
      <c r="I21" s="693"/>
    </row>
    <row r="22" spans="1:17" ht="26.25" customHeight="1">
      <c r="A22" s="561" t="s">
        <v>62</v>
      </c>
      <c r="B22" s="997" t="s">
        <v>795</v>
      </c>
      <c r="C22" s="997"/>
      <c r="D22" s="997"/>
      <c r="E22" s="997"/>
      <c r="F22" s="997"/>
      <c r="G22" s="693"/>
      <c r="H22" s="693"/>
      <c r="I22" s="693"/>
    </row>
    <row r="23" spans="1:17">
      <c r="A23" s="707"/>
      <c r="B23" s="707"/>
      <c r="C23" s="799"/>
      <c r="D23" s="799"/>
      <c r="E23" s="799"/>
      <c r="F23" s="799"/>
      <c r="G23" s="693"/>
      <c r="H23" s="693"/>
      <c r="I23" s="693"/>
    </row>
    <row r="24" spans="1:17" ht="27.75" customHeight="1">
      <c r="A24" s="823" t="s">
        <v>63</v>
      </c>
      <c r="B24" s="989" t="s">
        <v>861</v>
      </c>
      <c r="C24" s="989"/>
      <c r="D24" s="989"/>
      <c r="E24" s="989"/>
      <c r="F24" s="989"/>
      <c r="G24" s="693"/>
      <c r="H24" s="693"/>
      <c r="I24" s="693"/>
    </row>
    <row r="25" spans="1:17">
      <c r="A25" s="707"/>
      <c r="B25" s="707"/>
      <c r="C25" s="707"/>
      <c r="D25" s="707"/>
      <c r="E25" s="707"/>
      <c r="F25" s="707"/>
      <c r="G25" s="693"/>
      <c r="H25" s="693"/>
      <c r="I25" s="693"/>
    </row>
    <row r="26" spans="1:17">
      <c r="A26" s="823" t="s">
        <v>64</v>
      </c>
      <c r="B26" s="800" t="s">
        <v>732</v>
      </c>
      <c r="C26" s="824"/>
      <c r="D26" s="824"/>
      <c r="E26" s="707"/>
      <c r="F26" s="707"/>
      <c r="G26" s="693"/>
      <c r="H26" s="693"/>
      <c r="I26" s="693"/>
    </row>
    <row r="27" spans="1:17">
      <c r="G27" s="693"/>
      <c r="H27" s="693"/>
      <c r="I27" s="693"/>
    </row>
    <row r="28" spans="1:17">
      <c r="G28" s="693"/>
      <c r="H28" s="693"/>
      <c r="I28" s="693"/>
    </row>
    <row r="29" spans="1:17" s="692" customFormat="1">
      <c r="B29" s="700"/>
      <c r="C29" s="700"/>
      <c r="D29" s="700"/>
      <c r="G29" s="693"/>
      <c r="H29" s="693"/>
      <c r="I29" s="693"/>
    </row>
    <row r="30" spans="1:17" s="692" customFormat="1">
      <c r="B30" s="700"/>
      <c r="C30" s="700"/>
      <c r="D30" s="700"/>
      <c r="G30" s="693"/>
      <c r="H30" s="693"/>
      <c r="I30" s="693"/>
    </row>
    <row r="31" spans="1:17" s="692" customFormat="1">
      <c r="B31" s="700"/>
      <c r="C31" s="700"/>
      <c r="D31" s="700"/>
    </row>
    <row r="32" spans="1:17" s="692" customFormat="1">
      <c r="B32" s="700"/>
      <c r="C32" s="700"/>
      <c r="D32" s="700"/>
    </row>
    <row r="33" spans="2:4" s="692" customFormat="1">
      <c r="B33" s="700"/>
      <c r="C33" s="700"/>
      <c r="D33" s="700"/>
    </row>
    <row r="34" spans="2:4" s="692" customFormat="1"/>
  </sheetData>
  <customSheetViews>
    <customSheetView guid="{63AFAF34-E340-4B5E-A289-FFB7051CA9B6}" showPageBreaks="1" fitToPage="1">
      <selection activeCell="D9" sqref="D9"/>
      <pageMargins left="0.7" right="0.7" top="0.75" bottom="0.75" header="0.3" footer="0.3"/>
      <pageSetup scale="91" orientation="landscape" r:id="rId1"/>
    </customSheetView>
    <customSheetView guid="{F1DC5514-577A-46EB-866C-26F0BED2C286}" scale="75" showPageBreaks="1" fitToPage="1" view="pageBreakPreview">
      <selection sqref="A1:F1"/>
      <pageMargins left="0.7" right="0.7" top="0.75" bottom="0.75" header="0.3" footer="0.3"/>
      <pageSetup scale="91" orientation="landscape" r:id="rId2"/>
    </customSheetView>
  </customSheetViews>
  <mergeCells count="5">
    <mergeCell ref="B24:F24"/>
    <mergeCell ref="A1:F1"/>
    <mergeCell ref="A2:F2"/>
    <mergeCell ref="A3:F3"/>
    <mergeCell ref="B22:F22"/>
  </mergeCells>
  <phoneticPr fontId="0" type="noConversion"/>
  <pageMargins left="0.7" right="0.7" top="0.75" bottom="0.75" header="0.3" footer="0.3"/>
  <pageSetup scale="91" orientation="landscape"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zoomScale="85" zoomScaleNormal="90" zoomScaleSheetLayoutView="85" workbookViewId="0">
      <selection activeCell="D13" sqref="D13"/>
    </sheetView>
  </sheetViews>
  <sheetFormatPr defaultColWidth="8.90625" defaultRowHeight="13.2"/>
  <cols>
    <col min="1" max="1" width="5.1796875" style="346" bestFit="1" customWidth="1"/>
    <col min="2" max="2" width="41.90625" style="347" customWidth="1"/>
    <col min="3" max="3" width="14.6328125" style="347" customWidth="1"/>
    <col min="4" max="4" width="14.36328125" style="347" customWidth="1"/>
    <col min="5" max="5" width="11.6328125" style="347" customWidth="1"/>
    <col min="6" max="6" width="14.1796875" style="347" customWidth="1"/>
    <col min="7" max="7" width="13" style="347" bestFit="1" customWidth="1"/>
    <col min="8" max="8" width="11.08984375" style="347" bestFit="1" customWidth="1"/>
    <col min="9" max="9" width="11.81640625" style="347" customWidth="1"/>
    <col min="10" max="10" width="11.90625" style="347" customWidth="1"/>
    <col min="11" max="11" width="13.54296875" style="347" customWidth="1"/>
    <col min="12" max="12" width="7.1796875" style="347" customWidth="1"/>
    <col min="13" max="13" width="12.1796875" style="347" customWidth="1"/>
    <col min="14" max="14" width="8.08984375" style="347" customWidth="1"/>
    <col min="15" max="15" width="7.6328125" style="347" bestFit="1" customWidth="1"/>
    <col min="16" max="16" width="11.6328125" style="347" bestFit="1" customWidth="1"/>
    <col min="17" max="17" width="10.90625" style="347" bestFit="1" customWidth="1"/>
    <col min="18" max="16384" width="8.90625" style="347"/>
  </cols>
  <sheetData>
    <row r="1" spans="1:12" s="333" customFormat="1" ht="15" customHeight="1">
      <c r="A1" s="1034" t="s">
        <v>382</v>
      </c>
      <c r="B1" s="1034"/>
      <c r="C1" s="1034"/>
      <c r="D1" s="1034"/>
      <c r="E1" s="1034"/>
      <c r="F1" s="1034"/>
      <c r="G1" s="1034"/>
      <c r="H1" s="358"/>
      <c r="I1" s="358"/>
      <c r="J1" s="358"/>
      <c r="K1" s="358"/>
    </row>
    <row r="2" spans="1:12" s="333" customFormat="1">
      <c r="A2" s="1034" t="s">
        <v>703</v>
      </c>
      <c r="B2" s="1034"/>
      <c r="C2" s="1034"/>
      <c r="D2" s="1034"/>
      <c r="E2" s="1034"/>
      <c r="F2" s="1034"/>
      <c r="G2" s="1034"/>
      <c r="H2" s="358"/>
      <c r="I2" s="358"/>
      <c r="J2" s="358"/>
      <c r="K2" s="358"/>
    </row>
    <row r="3" spans="1:12" s="333" customFormat="1" ht="15" customHeight="1">
      <c r="A3" s="1012" t="str">
        <f>+'Attachment H-29A'!D5</f>
        <v>Transource Pennsylvania, LLC</v>
      </c>
      <c r="B3" s="1012"/>
      <c r="C3" s="1012"/>
      <c r="D3" s="1012"/>
      <c r="E3" s="1012"/>
      <c r="F3" s="1012"/>
      <c r="G3" s="1012"/>
      <c r="H3" s="38"/>
      <c r="I3" s="38"/>
      <c r="J3" s="38"/>
      <c r="K3" s="38"/>
      <c r="L3" s="334"/>
    </row>
    <row r="4" spans="1:12" s="333" customFormat="1">
      <c r="A4" s="381"/>
      <c r="L4" s="334"/>
    </row>
    <row r="5" spans="1:12" s="333" customFormat="1" ht="35.25" customHeight="1">
      <c r="A5" s="1000" t="s">
        <v>768</v>
      </c>
      <c r="B5" s="1000"/>
      <c r="C5" s="1000"/>
      <c r="D5" s="1000"/>
      <c r="E5" s="1000"/>
      <c r="F5" s="1000"/>
      <c r="G5" s="1000"/>
      <c r="H5" s="1000"/>
      <c r="I5" s="1000"/>
      <c r="J5" s="334"/>
      <c r="K5" s="334"/>
      <c r="L5" s="334"/>
    </row>
    <row r="6" spans="1:12" s="333" customFormat="1" ht="27" customHeight="1">
      <c r="A6" s="1000" t="s">
        <v>725</v>
      </c>
      <c r="B6" s="1000"/>
      <c r="C6" s="1000"/>
      <c r="D6" s="1000"/>
      <c r="E6" s="1000"/>
      <c r="F6" s="1000"/>
      <c r="G6" s="1000"/>
      <c r="H6" s="1000"/>
      <c r="I6" s="1000"/>
      <c r="J6" s="334"/>
      <c r="K6" s="334"/>
      <c r="L6" s="334"/>
    </row>
    <row r="7" spans="1:12" s="333" customFormat="1" ht="31.5" customHeight="1">
      <c r="A7" s="1035" t="s">
        <v>726</v>
      </c>
      <c r="B7" s="1035"/>
      <c r="C7" s="1035"/>
      <c r="D7" s="1035"/>
      <c r="E7" s="1035"/>
      <c r="F7" s="1035"/>
      <c r="G7" s="1035"/>
      <c r="H7" s="1035"/>
      <c r="I7" s="1035"/>
      <c r="J7" s="348"/>
      <c r="K7" s="348"/>
      <c r="L7" s="382"/>
    </row>
    <row r="8" spans="1:12" s="333" customFormat="1" ht="18.75" customHeight="1">
      <c r="A8" s="1000" t="s">
        <v>699</v>
      </c>
      <c r="B8" s="1000"/>
      <c r="C8" s="1000"/>
      <c r="D8" s="1000"/>
      <c r="E8" s="1000"/>
      <c r="F8" s="1000"/>
      <c r="G8" s="1000"/>
      <c r="H8" s="1000"/>
      <c r="I8" s="1000"/>
      <c r="J8" s="348"/>
      <c r="K8" s="348"/>
      <c r="L8" s="382"/>
    </row>
    <row r="9" spans="1:12" s="333" customFormat="1" ht="31.5" customHeight="1">
      <c r="A9" s="1000" t="s">
        <v>710</v>
      </c>
      <c r="B9" s="1000"/>
      <c r="C9" s="1000"/>
      <c r="D9" s="1000"/>
      <c r="E9" s="1000"/>
      <c r="F9" s="1000"/>
      <c r="G9" s="1000"/>
      <c r="H9" s="1000"/>
      <c r="I9" s="1000"/>
      <c r="J9" s="348"/>
      <c r="K9" s="348"/>
      <c r="L9" s="710"/>
    </row>
    <row r="10" spans="1:12" s="333" customFormat="1" ht="29.25" customHeight="1">
      <c r="A10" s="219" t="s">
        <v>189</v>
      </c>
      <c r="C10" s="334"/>
      <c r="D10" s="334"/>
      <c r="E10" s="334"/>
      <c r="F10" s="334"/>
      <c r="G10" s="336"/>
      <c r="H10" s="334"/>
      <c r="I10" s="334"/>
      <c r="J10" s="334"/>
      <c r="K10" s="334"/>
      <c r="L10" s="334"/>
    </row>
    <row r="11" spans="1:12" s="333" customFormat="1" ht="16.5" customHeight="1">
      <c r="A11" s="383">
        <v>1</v>
      </c>
      <c r="B11" s="333" t="s">
        <v>596</v>
      </c>
      <c r="C11" s="378"/>
      <c r="D11" s="350">
        <f>I33</f>
        <v>1.790857499012638E-2</v>
      </c>
      <c r="E11" s="378"/>
      <c r="F11" s="378"/>
      <c r="H11" s="334"/>
      <c r="I11" s="334"/>
      <c r="J11" s="334"/>
      <c r="K11" s="334"/>
      <c r="L11" s="334"/>
    </row>
    <row r="12" spans="1:12" s="333" customFormat="1" ht="16.5" customHeight="1">
      <c r="A12" s="383">
        <f>+A11+1</f>
        <v>2</v>
      </c>
      <c r="B12" s="333" t="s">
        <v>471</v>
      </c>
      <c r="C12" s="378"/>
      <c r="D12" s="350">
        <f>+G53</f>
        <v>1.3720223104265402E-3</v>
      </c>
      <c r="E12" s="378"/>
      <c r="F12" s="378"/>
      <c r="H12" s="334"/>
      <c r="I12" s="334"/>
      <c r="J12" s="334"/>
      <c r="K12" s="334"/>
      <c r="L12" s="334"/>
    </row>
    <row r="13" spans="1:12" s="333" customFormat="1" ht="16.5" customHeight="1">
      <c r="A13" s="383">
        <f>+A12+1</f>
        <v>3</v>
      </c>
      <c r="B13" s="355" t="s">
        <v>398</v>
      </c>
      <c r="C13" s="378"/>
      <c r="D13" s="356">
        <f>+D11+D12</f>
        <v>1.9280597300552919E-2</v>
      </c>
      <c r="E13" s="378"/>
      <c r="F13" s="378"/>
      <c r="H13" s="334"/>
      <c r="I13" s="334"/>
      <c r="J13" s="334"/>
      <c r="K13" s="334"/>
      <c r="L13" s="334"/>
    </row>
    <row r="14" spans="1:12" s="333" customFormat="1" ht="6" customHeight="1">
      <c r="A14" s="383"/>
      <c r="B14" s="337"/>
      <c r="C14" s="378"/>
      <c r="D14" s="366"/>
      <c r="E14" s="378"/>
      <c r="F14" s="378"/>
      <c r="H14" s="334"/>
      <c r="I14" s="334"/>
      <c r="J14" s="334"/>
      <c r="K14" s="334"/>
      <c r="L14" s="334"/>
    </row>
    <row r="15" spans="1:12" s="333" customFormat="1" ht="16.5" customHeight="1">
      <c r="A15" s="383"/>
      <c r="B15" s="337" t="s">
        <v>462</v>
      </c>
      <c r="C15" s="378"/>
      <c r="D15" s="366"/>
      <c r="E15" s="378"/>
      <c r="F15" s="378"/>
      <c r="H15" s="334"/>
      <c r="I15" s="334"/>
      <c r="J15" s="334"/>
      <c r="K15" s="334"/>
      <c r="L15" s="334"/>
    </row>
    <row r="16" spans="1:12" s="333" customFormat="1" ht="16.5" customHeight="1">
      <c r="A16" s="383">
        <f>A13+1</f>
        <v>4</v>
      </c>
      <c r="B16" s="334" t="s">
        <v>463</v>
      </c>
      <c r="C16" s="378"/>
      <c r="D16" s="792">
        <v>7.5000000000000002E-4</v>
      </c>
      <c r="E16" s="378"/>
      <c r="F16" s="378"/>
      <c r="H16" s="334"/>
      <c r="I16" s="334"/>
      <c r="J16" s="334"/>
      <c r="K16" s="334"/>
      <c r="L16" s="334"/>
    </row>
    <row r="17" spans="1:13" s="333" customFormat="1" ht="16.5" customHeight="1">
      <c r="A17" s="383">
        <f>A16+1</f>
        <v>5</v>
      </c>
      <c r="B17" s="334" t="s">
        <v>468</v>
      </c>
      <c r="C17" s="378"/>
      <c r="D17" s="792">
        <v>1.55E-2</v>
      </c>
      <c r="E17" s="378"/>
      <c r="F17" s="378"/>
      <c r="H17" s="334"/>
      <c r="I17" s="334"/>
      <c r="J17" s="334"/>
      <c r="K17" s="334"/>
      <c r="L17" s="334"/>
    </row>
    <row r="18" spans="1:13" s="333" customFormat="1" ht="60.75" customHeight="1">
      <c r="A18" s="383"/>
      <c r="B18" s="3" t="s">
        <v>411</v>
      </c>
      <c r="C18" s="378"/>
      <c r="D18" s="364" t="s">
        <v>727</v>
      </c>
      <c r="E18" s="364" t="s">
        <v>464</v>
      </c>
      <c r="F18" s="396" t="s">
        <v>465</v>
      </c>
      <c r="G18" s="396" t="s">
        <v>723</v>
      </c>
      <c r="H18" s="396" t="s">
        <v>466</v>
      </c>
      <c r="I18" s="396" t="s">
        <v>467</v>
      </c>
      <c r="J18" s="334"/>
      <c r="K18" s="334"/>
      <c r="L18" s="334"/>
      <c r="M18" s="334"/>
    </row>
    <row r="19" spans="1:13" s="333" customFormat="1" ht="21" customHeight="1">
      <c r="A19" s="383"/>
      <c r="B19" s="379" t="s">
        <v>190</v>
      </c>
      <c r="C19" s="378"/>
      <c r="D19" s="365" t="s">
        <v>191</v>
      </c>
      <c r="E19" s="365" t="s">
        <v>192</v>
      </c>
      <c r="F19" s="365" t="s">
        <v>193</v>
      </c>
      <c r="G19" s="365" t="s">
        <v>195</v>
      </c>
      <c r="H19" s="365" t="s">
        <v>194</v>
      </c>
      <c r="I19" s="365" t="s">
        <v>196</v>
      </c>
      <c r="J19" s="334"/>
      <c r="K19" s="334"/>
      <c r="L19" s="334"/>
      <c r="M19" s="334"/>
    </row>
    <row r="20" spans="1:13" s="333" customFormat="1" ht="16.5" customHeight="1">
      <c r="A20" s="383">
        <f>A17+1</f>
        <v>6</v>
      </c>
      <c r="B20" s="5" t="s">
        <v>187</v>
      </c>
      <c r="C20" s="378"/>
      <c r="D20" s="974">
        <v>154170</v>
      </c>
      <c r="E20" s="974">
        <v>44000</v>
      </c>
      <c r="F20" s="295">
        <f>D20-E20</f>
        <v>110170</v>
      </c>
      <c r="G20" s="829">
        <f>($D$16/12)*F20</f>
        <v>6.8856250000000001</v>
      </c>
      <c r="H20" s="295">
        <f>($D$17/12)*E20</f>
        <v>56.833333333333336</v>
      </c>
      <c r="I20" s="334"/>
      <c r="J20" s="334"/>
      <c r="K20" s="334"/>
      <c r="L20" s="334"/>
      <c r="M20" s="334"/>
    </row>
    <row r="21" spans="1:13" s="333" customFormat="1" ht="16.5" customHeight="1">
      <c r="A21" s="383">
        <f>+A20+1</f>
        <v>7</v>
      </c>
      <c r="B21" s="5" t="s">
        <v>85</v>
      </c>
      <c r="C21" s="378"/>
      <c r="D21" s="974">
        <v>154170</v>
      </c>
      <c r="E21" s="974">
        <v>50000</v>
      </c>
      <c r="F21" s="295">
        <f t="shared" ref="F21:F32" si="0">D21-E21</f>
        <v>104170</v>
      </c>
      <c r="G21" s="829">
        <f t="shared" ref="G21:G32" si="1">($D$16/12)*F21</f>
        <v>6.5106250000000001</v>
      </c>
      <c r="H21" s="295">
        <f t="shared" ref="H21:H32" si="2">($D$17/12)*E21</f>
        <v>64.583333333333329</v>
      </c>
      <c r="I21" s="334"/>
      <c r="J21" s="334"/>
      <c r="K21" s="334"/>
      <c r="L21" s="334"/>
      <c r="M21" s="334"/>
    </row>
    <row r="22" spans="1:13" s="333" customFormat="1" ht="16.5" customHeight="1">
      <c r="A22" s="383">
        <f t="shared" ref="A22:A33" si="3">+A21+1</f>
        <v>8</v>
      </c>
      <c r="B22" s="1" t="s">
        <v>84</v>
      </c>
      <c r="C22" s="378"/>
      <c r="D22" s="974">
        <v>154170</v>
      </c>
      <c r="E22" s="974">
        <v>58000</v>
      </c>
      <c r="F22" s="295">
        <f t="shared" si="0"/>
        <v>96170</v>
      </c>
      <c r="G22" s="829">
        <f t="shared" si="1"/>
        <v>6.0106250000000001</v>
      </c>
      <c r="H22" s="295">
        <f t="shared" si="2"/>
        <v>74.916666666666671</v>
      </c>
      <c r="I22" s="334"/>
      <c r="J22" s="334"/>
      <c r="K22" s="334"/>
      <c r="L22" s="334"/>
      <c r="M22" s="334"/>
    </row>
    <row r="23" spans="1:13" s="333" customFormat="1" ht="16.5" customHeight="1">
      <c r="A23" s="383">
        <f t="shared" si="3"/>
        <v>9</v>
      </c>
      <c r="B23" s="1" t="s">
        <v>164</v>
      </c>
      <c r="C23" s="378"/>
      <c r="D23" s="974">
        <v>154170</v>
      </c>
      <c r="E23" s="974">
        <v>58000</v>
      </c>
      <c r="F23" s="295">
        <f t="shared" si="0"/>
        <v>96170</v>
      </c>
      <c r="G23" s="829">
        <f>($D$16/12)*F23</f>
        <v>6.0106250000000001</v>
      </c>
      <c r="H23" s="295">
        <f t="shared" si="2"/>
        <v>74.916666666666671</v>
      </c>
      <c r="I23" s="334"/>
      <c r="J23" s="334"/>
      <c r="K23" s="334"/>
      <c r="L23" s="334"/>
      <c r="M23" s="334"/>
    </row>
    <row r="24" spans="1:13" s="333" customFormat="1" ht="16.5" customHeight="1">
      <c r="A24" s="383">
        <f t="shared" si="3"/>
        <v>10</v>
      </c>
      <c r="B24" s="1" t="s">
        <v>76</v>
      </c>
      <c r="C24" s="378"/>
      <c r="D24" s="974">
        <v>154170</v>
      </c>
      <c r="E24" s="974">
        <v>61500</v>
      </c>
      <c r="F24" s="295">
        <f t="shared" si="0"/>
        <v>92670</v>
      </c>
      <c r="G24" s="829">
        <f t="shared" si="1"/>
        <v>5.7918750000000001</v>
      </c>
      <c r="H24" s="295">
        <f>($D$17/12)*E24</f>
        <v>79.4375</v>
      </c>
      <c r="I24" s="334"/>
      <c r="J24" s="334"/>
      <c r="K24" s="334"/>
      <c r="L24" s="334"/>
      <c r="M24" s="334"/>
    </row>
    <row r="25" spans="1:13" s="333" customFormat="1" ht="16.5" customHeight="1">
      <c r="A25" s="383">
        <f t="shared" si="3"/>
        <v>11</v>
      </c>
      <c r="B25" s="1" t="s">
        <v>75</v>
      </c>
      <c r="C25" s="378"/>
      <c r="D25" s="974">
        <v>154170</v>
      </c>
      <c r="E25" s="974">
        <v>61500</v>
      </c>
      <c r="F25" s="295">
        <f t="shared" si="0"/>
        <v>92670</v>
      </c>
      <c r="G25" s="829">
        <f t="shared" si="1"/>
        <v>5.7918750000000001</v>
      </c>
      <c r="H25" s="295">
        <f t="shared" si="2"/>
        <v>79.4375</v>
      </c>
      <c r="I25" s="334"/>
      <c r="J25" s="334"/>
      <c r="K25" s="334"/>
      <c r="L25" s="334"/>
      <c r="M25" s="334"/>
    </row>
    <row r="26" spans="1:13" s="333" customFormat="1" ht="16.5" customHeight="1">
      <c r="A26" s="383">
        <f t="shared" si="3"/>
        <v>12</v>
      </c>
      <c r="B26" s="1" t="s">
        <v>92</v>
      </c>
      <c r="C26" s="378"/>
      <c r="D26" s="974">
        <v>154170</v>
      </c>
      <c r="E26" s="974">
        <v>65500</v>
      </c>
      <c r="F26" s="295">
        <f t="shared" si="0"/>
        <v>88670</v>
      </c>
      <c r="G26" s="829">
        <f t="shared" si="1"/>
        <v>5.5418750000000001</v>
      </c>
      <c r="H26" s="295">
        <f t="shared" si="2"/>
        <v>84.604166666666671</v>
      </c>
      <c r="I26" s="334"/>
      <c r="J26" s="334"/>
      <c r="K26" s="334"/>
      <c r="L26" s="334"/>
      <c r="M26" s="334"/>
    </row>
    <row r="27" spans="1:13" s="333" customFormat="1" ht="16.5" customHeight="1">
      <c r="A27" s="383">
        <f t="shared" si="3"/>
        <v>13</v>
      </c>
      <c r="B27" s="1" t="s">
        <v>82</v>
      </c>
      <c r="C27" s="378"/>
      <c r="D27" s="974">
        <v>154170</v>
      </c>
      <c r="E27" s="974">
        <v>68500</v>
      </c>
      <c r="F27" s="295">
        <f t="shared" si="0"/>
        <v>85670</v>
      </c>
      <c r="G27" s="829">
        <f t="shared" si="1"/>
        <v>5.3543750000000001</v>
      </c>
      <c r="H27" s="295">
        <f t="shared" si="2"/>
        <v>88.479166666666671</v>
      </c>
      <c r="I27" s="334"/>
      <c r="J27" s="334"/>
      <c r="K27" s="334"/>
      <c r="L27" s="334"/>
      <c r="M27" s="334"/>
    </row>
    <row r="28" spans="1:13" s="333" customFormat="1" ht="16.5" customHeight="1">
      <c r="A28" s="383">
        <f t="shared" si="3"/>
        <v>14</v>
      </c>
      <c r="B28" s="1" t="s">
        <v>165</v>
      </c>
      <c r="C28" s="378"/>
      <c r="D28" s="974">
        <v>154170</v>
      </c>
      <c r="E28" s="974">
        <v>71500</v>
      </c>
      <c r="F28" s="295">
        <f t="shared" si="0"/>
        <v>82670</v>
      </c>
      <c r="G28" s="829">
        <f>($D$16/12)*F28</f>
        <v>5.1668750000000001</v>
      </c>
      <c r="H28" s="295">
        <f t="shared" si="2"/>
        <v>92.354166666666671</v>
      </c>
      <c r="I28" s="334"/>
      <c r="J28" s="334"/>
      <c r="K28" s="334"/>
      <c r="L28" s="334"/>
      <c r="M28" s="334"/>
    </row>
    <row r="29" spans="1:13" s="333" customFormat="1" ht="16.5" customHeight="1">
      <c r="A29" s="383">
        <f t="shared" si="3"/>
        <v>15</v>
      </c>
      <c r="B29" s="1" t="s">
        <v>80</v>
      </c>
      <c r="C29" s="378"/>
      <c r="D29" s="974">
        <v>154170</v>
      </c>
      <c r="E29" s="974">
        <v>74000</v>
      </c>
      <c r="F29" s="295">
        <f t="shared" si="0"/>
        <v>80170</v>
      </c>
      <c r="G29" s="829">
        <f t="shared" si="1"/>
        <v>5.0106250000000001</v>
      </c>
      <c r="H29" s="295">
        <f t="shared" si="2"/>
        <v>95.583333333333329</v>
      </c>
      <c r="I29" s="334"/>
      <c r="J29" s="334"/>
      <c r="K29" s="334"/>
      <c r="L29" s="334"/>
      <c r="M29" s="334"/>
    </row>
    <row r="30" spans="1:13" s="333" customFormat="1" ht="16.5" customHeight="1">
      <c r="A30" s="383">
        <f t="shared" si="3"/>
        <v>16</v>
      </c>
      <c r="B30" s="1" t="s">
        <v>86</v>
      </c>
      <c r="C30" s="378"/>
      <c r="D30" s="974">
        <v>154170</v>
      </c>
      <c r="E30" s="974">
        <v>75500</v>
      </c>
      <c r="F30" s="295">
        <f t="shared" si="0"/>
        <v>78670</v>
      </c>
      <c r="G30" s="829">
        <f t="shared" si="1"/>
        <v>4.9168750000000001</v>
      </c>
      <c r="H30" s="295">
        <f t="shared" si="2"/>
        <v>97.520833333333329</v>
      </c>
      <c r="I30" s="334"/>
      <c r="J30" s="334"/>
      <c r="K30" s="334"/>
      <c r="L30" s="334"/>
      <c r="M30" s="334"/>
    </row>
    <row r="31" spans="1:13" s="333" customFormat="1" ht="16.5" customHeight="1">
      <c r="A31" s="383">
        <f t="shared" si="3"/>
        <v>17</v>
      </c>
      <c r="B31" s="1" t="s">
        <v>79</v>
      </c>
      <c r="C31" s="378"/>
      <c r="D31" s="974">
        <v>154170</v>
      </c>
      <c r="E31" s="974">
        <v>77500</v>
      </c>
      <c r="F31" s="295">
        <f t="shared" si="0"/>
        <v>76670</v>
      </c>
      <c r="G31" s="829">
        <f t="shared" si="1"/>
        <v>4.7918750000000001</v>
      </c>
      <c r="H31" s="295">
        <f t="shared" si="2"/>
        <v>100.10416666666667</v>
      </c>
      <c r="I31" s="334"/>
      <c r="J31" s="334"/>
      <c r="K31" s="334"/>
      <c r="L31" s="334"/>
      <c r="M31" s="334"/>
    </row>
    <row r="32" spans="1:13" s="333" customFormat="1" ht="16.5" customHeight="1">
      <c r="A32" s="383">
        <f t="shared" si="3"/>
        <v>18</v>
      </c>
      <c r="B32" s="1" t="s">
        <v>188</v>
      </c>
      <c r="C32" s="378"/>
      <c r="D32" s="973">
        <v>154170</v>
      </c>
      <c r="E32" s="973">
        <v>78500</v>
      </c>
      <c r="F32" s="831">
        <f t="shared" si="0"/>
        <v>75670</v>
      </c>
      <c r="G32" s="830">
        <f t="shared" si="1"/>
        <v>4.7293750000000001</v>
      </c>
      <c r="H32" s="831">
        <f t="shared" si="2"/>
        <v>101.39583333333333</v>
      </c>
      <c r="I32" s="397"/>
      <c r="J32" s="334"/>
      <c r="K32" s="334"/>
      <c r="L32" s="334"/>
      <c r="M32" s="334"/>
    </row>
    <row r="33" spans="1:13" s="333" customFormat="1" ht="16.5" customHeight="1">
      <c r="A33" s="383">
        <f t="shared" si="3"/>
        <v>19</v>
      </c>
      <c r="B33" s="7" t="s">
        <v>242</v>
      </c>
      <c r="C33" s="378"/>
      <c r="D33" s="832"/>
      <c r="E33" s="398">
        <f>SUM(E20:E32)/13</f>
        <v>64923.076923076922</v>
      </c>
      <c r="F33" s="832"/>
      <c r="G33" s="829">
        <f>SUM(G20:G32)</f>
        <v>72.513124999999988</v>
      </c>
      <c r="H33" s="295">
        <f>SUM(H20:H32)</f>
        <v>1090.1666666666665</v>
      </c>
      <c r="I33" s="350">
        <f>(G33+H33)/E33</f>
        <v>1.790857499012638E-2</v>
      </c>
      <c r="J33" s="334"/>
      <c r="K33" s="334"/>
      <c r="L33" s="334"/>
      <c r="M33" s="334"/>
    </row>
    <row r="34" spans="1:13" s="333" customFormat="1" ht="21" customHeight="1">
      <c r="A34" s="383"/>
      <c r="B34" s="399"/>
      <c r="C34" s="334"/>
      <c r="D34" s="334"/>
      <c r="E34" s="334"/>
      <c r="F34" s="334"/>
      <c r="G34" s="336"/>
      <c r="H34" s="340"/>
      <c r="I34" s="334"/>
      <c r="J34" s="334"/>
      <c r="K34" s="334"/>
      <c r="L34" s="334"/>
    </row>
    <row r="35" spans="1:13" s="333" customFormat="1" ht="15.75" customHeight="1">
      <c r="A35" s="383"/>
      <c r="B35" s="1000" t="s">
        <v>663</v>
      </c>
      <c r="C35" s="1000"/>
      <c r="D35" s="1000"/>
      <c r="E35" s="1000"/>
      <c r="F35" s="1000"/>
      <c r="G35" s="1000"/>
      <c r="H35" s="1000"/>
      <c r="I35" s="1000"/>
      <c r="J35" s="334"/>
      <c r="K35" s="334"/>
      <c r="L35" s="334"/>
    </row>
    <row r="36" spans="1:13" s="333" customFormat="1">
      <c r="A36" s="383"/>
      <c r="B36" s="334"/>
      <c r="C36" s="214" t="s">
        <v>190</v>
      </c>
      <c r="D36" s="214" t="s">
        <v>191</v>
      </c>
      <c r="E36" s="362" t="s">
        <v>402</v>
      </c>
      <c r="F36" s="352" t="s">
        <v>193</v>
      </c>
      <c r="G36" s="352" t="s">
        <v>195</v>
      </c>
      <c r="H36" s="352" t="s">
        <v>194</v>
      </c>
      <c r="I36" s="352" t="s">
        <v>196</v>
      </c>
      <c r="J36" s="334"/>
      <c r="K36" s="334"/>
      <c r="L36" s="334"/>
    </row>
    <row r="37" spans="1:13" s="333" customFormat="1" ht="55.5" customHeight="1">
      <c r="A37" s="383"/>
      <c r="B37" s="337" t="s">
        <v>386</v>
      </c>
      <c r="C37" s="357" t="s">
        <v>387</v>
      </c>
      <c r="D37" s="294" t="s">
        <v>401</v>
      </c>
      <c r="E37" s="359" t="s">
        <v>406</v>
      </c>
      <c r="F37" s="359" t="s">
        <v>403</v>
      </c>
      <c r="G37" s="359" t="s">
        <v>412</v>
      </c>
      <c r="H37" s="359" t="s">
        <v>407</v>
      </c>
      <c r="I37" s="359" t="s">
        <v>408</v>
      </c>
      <c r="J37" s="334"/>
      <c r="K37" s="334"/>
      <c r="L37" s="334"/>
    </row>
    <row r="38" spans="1:13" s="333" customFormat="1">
      <c r="A38" s="383">
        <f>+A33+1</f>
        <v>20</v>
      </c>
      <c r="B38" s="334" t="s">
        <v>388</v>
      </c>
      <c r="C38" s="967"/>
      <c r="D38" s="980"/>
      <c r="E38" s="971"/>
      <c r="F38" s="971">
        <v>1</v>
      </c>
      <c r="G38" s="363">
        <f t="shared" ref="G38:G43" si="4">+D38/F38</f>
        <v>0</v>
      </c>
      <c r="H38" s="971">
        <v>0</v>
      </c>
      <c r="I38" s="363">
        <f t="shared" ref="I38:I43" si="5">MAX(+D38-G38-H38,0)</f>
        <v>0</v>
      </c>
      <c r="J38" s="353"/>
      <c r="K38" s="340"/>
      <c r="L38" s="334"/>
    </row>
    <row r="39" spans="1:13" s="333" customFormat="1">
      <c r="A39" s="383">
        <f>+A38+1</f>
        <v>21</v>
      </c>
      <c r="B39" s="334" t="s">
        <v>389</v>
      </c>
      <c r="C39" s="968"/>
      <c r="D39" s="980">
        <v>77</v>
      </c>
      <c r="E39" s="971">
        <v>2020</v>
      </c>
      <c r="F39" s="971">
        <v>3</v>
      </c>
      <c r="G39" s="363">
        <f t="shared" si="4"/>
        <v>25.666666666666668</v>
      </c>
      <c r="H39" s="971">
        <v>0</v>
      </c>
      <c r="I39" s="363">
        <f t="shared" si="5"/>
        <v>51.333333333333329</v>
      </c>
      <c r="J39" s="341"/>
      <c r="K39" s="334"/>
      <c r="L39" s="334"/>
      <c r="M39" s="342"/>
    </row>
    <row r="40" spans="1:13" s="333" customFormat="1">
      <c r="A40" s="383">
        <f t="shared" ref="A40:A53" si="6">+A39+1</f>
        <v>22</v>
      </c>
      <c r="B40" s="334" t="s">
        <v>390</v>
      </c>
      <c r="C40" s="968"/>
      <c r="D40" s="980">
        <v>154</v>
      </c>
      <c r="E40" s="971">
        <v>2020</v>
      </c>
      <c r="F40" s="971">
        <v>3</v>
      </c>
      <c r="G40" s="363">
        <f t="shared" si="4"/>
        <v>51.333333333333336</v>
      </c>
      <c r="H40" s="971">
        <v>0</v>
      </c>
      <c r="I40" s="363">
        <f t="shared" si="5"/>
        <v>102.66666666666666</v>
      </c>
      <c r="J40" s="341"/>
      <c r="K40" s="343"/>
      <c r="L40" s="334"/>
    </row>
    <row r="41" spans="1:13" s="333" customFormat="1">
      <c r="A41" s="383">
        <f t="shared" si="6"/>
        <v>23</v>
      </c>
      <c r="B41" s="334" t="s">
        <v>391</v>
      </c>
      <c r="C41" s="968"/>
      <c r="D41" s="980"/>
      <c r="E41" s="971"/>
      <c r="F41" s="971">
        <v>1</v>
      </c>
      <c r="G41" s="363">
        <f t="shared" si="4"/>
        <v>0</v>
      </c>
      <c r="H41" s="971">
        <v>0</v>
      </c>
      <c r="I41" s="363">
        <f t="shared" si="5"/>
        <v>0</v>
      </c>
      <c r="J41" s="334"/>
      <c r="K41" s="334"/>
      <c r="L41" s="334"/>
    </row>
    <row r="42" spans="1:13" s="333" customFormat="1">
      <c r="A42" s="383">
        <f t="shared" si="6"/>
        <v>24</v>
      </c>
      <c r="B42" s="334" t="s">
        <v>392</v>
      </c>
      <c r="C42" s="968"/>
      <c r="D42" s="980"/>
      <c r="E42" s="971"/>
      <c r="F42" s="971">
        <v>1</v>
      </c>
      <c r="G42" s="363">
        <f t="shared" si="4"/>
        <v>0</v>
      </c>
      <c r="H42" s="971">
        <v>0</v>
      </c>
      <c r="I42" s="363">
        <f t="shared" si="5"/>
        <v>0</v>
      </c>
      <c r="J42" s="341"/>
      <c r="K42" s="334"/>
      <c r="L42" s="334"/>
    </row>
    <row r="43" spans="1:13" s="333" customFormat="1">
      <c r="A43" s="383">
        <f t="shared" si="6"/>
        <v>25</v>
      </c>
      <c r="B43" s="334" t="s">
        <v>404</v>
      </c>
      <c r="C43" s="969"/>
      <c r="D43" s="980"/>
      <c r="E43" s="971"/>
      <c r="F43" s="971">
        <v>1</v>
      </c>
      <c r="G43" s="363">
        <f t="shared" si="4"/>
        <v>0</v>
      </c>
      <c r="H43" s="971">
        <v>0</v>
      </c>
      <c r="I43" s="363">
        <f t="shared" si="5"/>
        <v>0</v>
      </c>
      <c r="J43" s="341"/>
      <c r="K43" s="334"/>
      <c r="L43" s="334"/>
    </row>
    <row r="44" spans="1:13" s="333" customFormat="1">
      <c r="A44" s="383">
        <f t="shared" si="6"/>
        <v>26</v>
      </c>
      <c r="B44" s="351" t="s">
        <v>413</v>
      </c>
      <c r="C44" s="354"/>
      <c r="D44" s="585">
        <f>SUM(D38:D43)</f>
        <v>231</v>
      </c>
      <c r="E44" s="360"/>
      <c r="F44" s="351"/>
      <c r="G44" s="585">
        <f>SUM(G38:G43)</f>
        <v>77</v>
      </c>
      <c r="H44" s="825">
        <f>SUM(H38:H43)</f>
        <v>0</v>
      </c>
      <c r="I44" s="585">
        <f>SUM(I38:I43)</f>
        <v>154</v>
      </c>
      <c r="J44" s="334"/>
      <c r="K44" s="334"/>
      <c r="L44" s="334"/>
    </row>
    <row r="45" spans="1:13" s="333" customFormat="1">
      <c r="A45" s="383">
        <f t="shared" si="6"/>
        <v>27</v>
      </c>
      <c r="B45" s="334"/>
      <c r="C45" s="341"/>
      <c r="D45" s="828"/>
      <c r="E45" s="295"/>
      <c r="G45" s="826"/>
      <c r="H45" s="826"/>
      <c r="I45" s="826"/>
      <c r="J45" s="334"/>
      <c r="K45" s="340"/>
      <c r="L45" s="334"/>
    </row>
    <row r="46" spans="1:13" s="333" customFormat="1">
      <c r="A46" s="383">
        <f t="shared" si="6"/>
        <v>28</v>
      </c>
      <c r="B46" s="337" t="s">
        <v>409</v>
      </c>
      <c r="C46" s="341"/>
      <c r="D46" s="828"/>
      <c r="E46" s="295"/>
      <c r="G46" s="826"/>
      <c r="H46" s="827"/>
      <c r="I46" s="827"/>
      <c r="J46" s="334"/>
      <c r="K46" s="344"/>
      <c r="L46" s="334"/>
    </row>
    <row r="47" spans="1:13" s="333" customFormat="1">
      <c r="A47" s="383">
        <f t="shared" si="6"/>
        <v>29</v>
      </c>
      <c r="B47" s="334" t="s">
        <v>393</v>
      </c>
      <c r="C47" s="970"/>
      <c r="D47" s="980"/>
      <c r="E47" s="971">
        <v>2020</v>
      </c>
      <c r="F47" s="173" t="s">
        <v>410</v>
      </c>
      <c r="G47" s="363">
        <f>D47</f>
        <v>0</v>
      </c>
      <c r="H47" s="827" t="s">
        <v>410</v>
      </c>
      <c r="I47" s="827" t="s">
        <v>410</v>
      </c>
      <c r="J47" s="334"/>
      <c r="K47" s="344"/>
      <c r="L47" s="334"/>
    </row>
    <row r="48" spans="1:13" s="333" customFormat="1">
      <c r="A48" s="383">
        <f t="shared" si="6"/>
        <v>30</v>
      </c>
      <c r="B48" s="334" t="s">
        <v>394</v>
      </c>
      <c r="C48" s="970"/>
      <c r="D48" s="980">
        <v>12.07591</v>
      </c>
      <c r="E48" s="971">
        <v>2020</v>
      </c>
      <c r="F48" s="173" t="s">
        <v>410</v>
      </c>
      <c r="G48" s="363">
        <f>D48</f>
        <v>12.07591</v>
      </c>
      <c r="H48" s="827" t="s">
        <v>410</v>
      </c>
      <c r="I48" s="827" t="s">
        <v>410</v>
      </c>
      <c r="J48" s="334"/>
      <c r="K48" s="344"/>
      <c r="L48" s="334"/>
    </row>
    <row r="49" spans="1:12" s="333" customFormat="1">
      <c r="A49" s="383">
        <f t="shared" si="6"/>
        <v>31</v>
      </c>
      <c r="B49" s="334" t="s">
        <v>395</v>
      </c>
      <c r="C49" s="970"/>
      <c r="D49" s="980"/>
      <c r="E49" s="971">
        <v>2020</v>
      </c>
      <c r="F49" s="173" t="s">
        <v>410</v>
      </c>
      <c r="G49" s="363">
        <f>D49</f>
        <v>0</v>
      </c>
      <c r="H49" s="827" t="s">
        <v>410</v>
      </c>
      <c r="I49" s="827" t="s">
        <v>410</v>
      </c>
      <c r="J49" s="341"/>
      <c r="L49" s="334"/>
    </row>
    <row r="50" spans="1:12" s="333" customFormat="1">
      <c r="A50" s="383">
        <f t="shared" si="6"/>
        <v>32</v>
      </c>
      <c r="B50" s="334" t="s">
        <v>397</v>
      </c>
      <c r="C50" s="981"/>
      <c r="D50" s="980"/>
      <c r="E50" s="971"/>
      <c r="F50" s="173" t="s">
        <v>410</v>
      </c>
      <c r="G50" s="363">
        <f>D50</f>
        <v>0</v>
      </c>
      <c r="H50" s="827" t="s">
        <v>410</v>
      </c>
      <c r="I50" s="827" t="s">
        <v>410</v>
      </c>
      <c r="J50" s="334"/>
      <c r="K50" s="334"/>
      <c r="L50" s="334"/>
    </row>
    <row r="51" spans="1:12" s="333" customFormat="1">
      <c r="A51" s="383">
        <f t="shared" si="6"/>
        <v>33</v>
      </c>
      <c r="B51" s="351" t="s">
        <v>396</v>
      </c>
      <c r="C51" s="361"/>
      <c r="D51" s="585">
        <f>+SUM(D44:D50)</f>
        <v>243.07590999999999</v>
      </c>
      <c r="E51" s="360"/>
      <c r="F51" s="351"/>
      <c r="G51" s="585">
        <f>+SUM(G44:G50)</f>
        <v>89.075909999999993</v>
      </c>
      <c r="H51" s="825">
        <f>+SUM(H44:H50)</f>
        <v>0</v>
      </c>
      <c r="I51" s="585">
        <f>+SUM(I44:I50)</f>
        <v>154</v>
      </c>
      <c r="J51" s="334"/>
      <c r="K51" s="334"/>
      <c r="L51" s="334"/>
    </row>
    <row r="52" spans="1:12" s="333" customFormat="1">
      <c r="A52" s="383">
        <f t="shared" si="6"/>
        <v>34</v>
      </c>
      <c r="B52" s="334" t="s">
        <v>597</v>
      </c>
      <c r="C52" s="345"/>
      <c r="G52" s="295">
        <f>+E33</f>
        <v>64923.076923076922</v>
      </c>
      <c r="H52" s="380"/>
      <c r="I52" s="334"/>
      <c r="J52" s="334"/>
      <c r="K52" s="334"/>
      <c r="L52" s="334"/>
    </row>
    <row r="53" spans="1:12" s="333" customFormat="1">
      <c r="A53" s="383">
        <f t="shared" si="6"/>
        <v>35</v>
      </c>
      <c r="B53" s="334" t="s">
        <v>405</v>
      </c>
      <c r="C53" s="345"/>
      <c r="G53" s="350">
        <f>G51/G52</f>
        <v>1.3720223104265402E-3</v>
      </c>
      <c r="H53" s="380"/>
      <c r="I53" s="334"/>
      <c r="J53" s="334"/>
      <c r="K53" s="334"/>
      <c r="L53" s="334"/>
    </row>
    <row r="54" spans="1:12" s="333" customFormat="1">
      <c r="A54" s="214">
        <f>+A53+1</f>
        <v>36</v>
      </c>
      <c r="B54" s="334" t="s">
        <v>728</v>
      </c>
      <c r="C54" s="345"/>
      <c r="E54" s="792">
        <v>2.98E-2</v>
      </c>
      <c r="H54" s="603"/>
      <c r="I54" s="334"/>
      <c r="J54" s="334"/>
      <c r="K54" s="334"/>
      <c r="L54" s="334"/>
    </row>
    <row r="55" spans="1:12" s="333" customFormat="1">
      <c r="A55" s="214"/>
      <c r="B55" s="337"/>
      <c r="C55" s="345"/>
      <c r="D55" s="336"/>
      <c r="E55" s="336"/>
      <c r="H55" s="603"/>
      <c r="I55" s="334"/>
      <c r="J55" s="334"/>
      <c r="K55" s="334"/>
      <c r="L55" s="334"/>
    </row>
    <row r="56" spans="1:12" s="333" customFormat="1">
      <c r="A56" s="357" t="s">
        <v>525</v>
      </c>
      <c r="B56" s="337"/>
      <c r="C56" s="345"/>
      <c r="D56" s="336"/>
      <c r="E56" s="336"/>
      <c r="H56" s="603"/>
      <c r="I56" s="334"/>
      <c r="J56" s="334"/>
      <c r="K56" s="334"/>
      <c r="L56" s="334"/>
    </row>
    <row r="57" spans="1:12" s="333" customFormat="1" ht="18" customHeight="1">
      <c r="A57" s="806" t="s">
        <v>62</v>
      </c>
      <c r="B57" s="1033" t="s">
        <v>722</v>
      </c>
      <c r="C57" s="1033"/>
      <c r="D57" s="1033"/>
      <c r="E57" s="1033"/>
      <c r="F57" s="1033"/>
      <c r="G57" s="1033"/>
      <c r="H57" s="1033"/>
      <c r="I57" s="1033"/>
    </row>
    <row r="58" spans="1:12" s="333" customFormat="1">
      <c r="A58" s="346"/>
      <c r="B58" s="333" t="s">
        <v>700</v>
      </c>
      <c r="C58" s="792">
        <v>7.4999999999999997E-3</v>
      </c>
      <c r="J58" s="347"/>
      <c r="K58" s="347"/>
    </row>
    <row r="59" spans="1:12" s="333" customFormat="1">
      <c r="A59" s="346"/>
      <c r="B59" s="333" t="s">
        <v>701</v>
      </c>
      <c r="C59" s="792">
        <v>8.0000000000000002E-3</v>
      </c>
      <c r="J59" s="347"/>
      <c r="K59" s="347"/>
    </row>
    <row r="60" spans="1:12" s="333" customFormat="1">
      <c r="A60" s="346"/>
      <c r="B60" s="333" t="s">
        <v>13</v>
      </c>
      <c r="C60" s="791">
        <f>+C58+C59</f>
        <v>1.55E-2</v>
      </c>
      <c r="J60" s="347"/>
      <c r="K60" s="347"/>
    </row>
    <row r="133" spans="2:3">
      <c r="B133" s="333"/>
      <c r="C133" s="333"/>
    </row>
  </sheetData>
  <customSheetViews>
    <customSheetView guid="{63AFAF34-E340-4B5E-A289-FFB7051CA9B6}" showPageBreaks="1" printArea="1" view="pageBreakPreview">
      <selection activeCell="C56" sqref="C56"/>
      <pageMargins left="0.5" right="0.1" top="0.25" bottom="0.25" header="0.3" footer="0.3"/>
      <pageSetup scale="53" orientation="landscape" r:id="rId1"/>
    </customSheetView>
    <customSheetView guid="{F1DC5514-577A-46EB-866C-26F0BED2C286}" showPageBreaks="1" printArea="1" view="pageBreakPreview" topLeftCell="B1">
      <selection activeCell="G18" sqref="G18"/>
      <pageMargins left="0.5" right="0.1" top="0.25" bottom="0.25" header="0.3" footer="0.3"/>
      <printOptions horizontalCentered="1"/>
      <pageSetup scale="53" orientation="landscape" r:id="rId2"/>
    </customSheetView>
  </customSheetViews>
  <mergeCells count="10">
    <mergeCell ref="B57:I57"/>
    <mergeCell ref="B35:I35"/>
    <mergeCell ref="A1:G1"/>
    <mergeCell ref="A2:G2"/>
    <mergeCell ref="A3:G3"/>
    <mergeCell ref="A5:I5"/>
    <mergeCell ref="A6:I6"/>
    <mergeCell ref="A7:I7"/>
    <mergeCell ref="A8:I8"/>
    <mergeCell ref="A9:I9"/>
  </mergeCells>
  <pageMargins left="0.5" right="0.1" top="0.25" bottom="0.25" header="0.3" footer="0.3"/>
  <pageSetup scale="53" orientation="landscape" r:id="rId3"/>
  <drawing r:id="rId4"/>
  <legacyDrawing r:id="rId5"/>
  <oleObjects>
    <mc:AlternateContent xmlns:mc="http://schemas.openxmlformats.org/markup-compatibility/2006">
      <mc:Choice Requires="x14">
        <oleObject progId="Equation.3" shapeId="98305" r:id="rId6">
          <objectPr defaultSize="0" autoPict="0" r:id="rId7">
            <anchor moveWithCells="1" sizeWithCells="1">
              <from>
                <xdr:col>1</xdr:col>
                <xdr:colOff>373380</xdr:colOff>
                <xdr:row>4</xdr:row>
                <xdr:rowOff>7620</xdr:rowOff>
              </from>
              <to>
                <xdr:col>2</xdr:col>
                <xdr:colOff>1021080</xdr:colOff>
                <xdr:row>4</xdr:row>
                <xdr:rowOff>7620</xdr:rowOff>
              </to>
            </anchor>
          </objectPr>
        </oleObject>
      </mc:Choice>
      <mc:Fallback>
        <oleObject progId="Equation.3" shapeId="98305" r:id="rId6"/>
      </mc:Fallback>
    </mc:AlternateContent>
    <mc:AlternateContent xmlns:mc="http://schemas.openxmlformats.org/markup-compatibility/2006">
      <mc:Choice Requires="x14">
        <oleObject progId="Equation.3" shapeId="98306" r:id="rId8">
          <objectPr defaultSize="0" autoPict="0" r:id="rId7">
            <anchor moveWithCells="1" sizeWithCells="1">
              <from>
                <xdr:col>0</xdr:col>
                <xdr:colOff>373380</xdr:colOff>
                <xdr:row>4</xdr:row>
                <xdr:rowOff>7620</xdr:rowOff>
              </from>
              <to>
                <xdr:col>1</xdr:col>
                <xdr:colOff>1021080</xdr:colOff>
                <xdr:row>4</xdr:row>
                <xdr:rowOff>7620</xdr:rowOff>
              </to>
            </anchor>
          </objectPr>
        </oleObject>
      </mc:Choice>
      <mc:Fallback>
        <oleObject progId="Equation.3" shapeId="98306" r:id="rId8"/>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topLeftCell="A7" zoomScale="80" zoomScaleNormal="90" zoomScaleSheetLayoutView="80" workbookViewId="0">
      <selection activeCell="F19" sqref="F19"/>
    </sheetView>
  </sheetViews>
  <sheetFormatPr defaultColWidth="8.90625" defaultRowHeight="13.2"/>
  <cols>
    <col min="1" max="1" width="5.1796875" style="346" bestFit="1" customWidth="1"/>
    <col min="2" max="2" width="41.90625" style="347" customWidth="1"/>
    <col min="3" max="3" width="14.6328125" style="347" customWidth="1"/>
    <col min="4" max="4" width="14.36328125" style="347" customWidth="1"/>
    <col min="5" max="5" width="9.90625" style="347" customWidth="1"/>
    <col min="6" max="6" width="15.6328125" style="347" customWidth="1"/>
    <col min="7" max="9" width="13.54296875" style="347" customWidth="1"/>
    <col min="10" max="10" width="14.81640625" style="347" customWidth="1"/>
    <col min="11" max="11" width="13.54296875" style="347" customWidth="1"/>
    <col min="12" max="12" width="7.1796875" style="347" customWidth="1"/>
    <col min="13" max="13" width="12.1796875" style="347" customWidth="1"/>
    <col min="14" max="14" width="8.08984375" style="347" customWidth="1"/>
    <col min="15" max="15" width="7.6328125" style="347" bestFit="1" customWidth="1"/>
    <col min="16" max="16" width="11.6328125" style="347" bestFit="1" customWidth="1"/>
    <col min="17" max="17" width="10.90625" style="347" bestFit="1" customWidth="1"/>
    <col min="18" max="16384" width="8.90625" style="347"/>
  </cols>
  <sheetData>
    <row r="1" spans="1:12" s="333" customFormat="1" ht="25.5" customHeight="1">
      <c r="A1" s="1034" t="s">
        <v>383</v>
      </c>
      <c r="B1" s="1034"/>
      <c r="C1" s="1034"/>
      <c r="D1" s="1034"/>
      <c r="E1" s="1034"/>
      <c r="F1" s="1034"/>
      <c r="G1" s="1034"/>
      <c r="H1" s="358"/>
      <c r="I1" s="358"/>
      <c r="J1" s="358"/>
      <c r="K1" s="358"/>
    </row>
    <row r="2" spans="1:12" s="333" customFormat="1">
      <c r="A2" s="1034" t="s">
        <v>702</v>
      </c>
      <c r="B2" s="1034"/>
      <c r="C2" s="1034"/>
      <c r="D2" s="1034"/>
      <c r="E2" s="1034"/>
      <c r="F2" s="1034"/>
      <c r="G2" s="1034"/>
      <c r="H2" s="358"/>
      <c r="I2" s="358"/>
      <c r="J2" s="358"/>
      <c r="K2" s="358"/>
    </row>
    <row r="3" spans="1:12" s="333" customFormat="1" ht="15" customHeight="1">
      <c r="A3" s="1012" t="str">
        <f>+'Attachment H-29A'!D5</f>
        <v>Transource Pennsylvania, LLC</v>
      </c>
      <c r="B3" s="1012"/>
      <c r="C3" s="1012"/>
      <c r="D3" s="1012"/>
      <c r="E3" s="1012"/>
      <c r="F3" s="1012"/>
      <c r="G3" s="1012"/>
      <c r="H3" s="38"/>
      <c r="I3" s="38"/>
      <c r="J3" s="38"/>
      <c r="K3" s="38"/>
      <c r="L3" s="334"/>
    </row>
    <row r="4" spans="1:12" s="333" customFormat="1">
      <c r="A4" s="381"/>
      <c r="L4" s="334"/>
    </row>
    <row r="5" spans="1:12" s="333" customFormat="1">
      <c r="A5" s="335"/>
      <c r="B5" s="334"/>
      <c r="C5" s="334"/>
      <c r="D5" s="334"/>
      <c r="E5" s="334"/>
      <c r="F5" s="814"/>
      <c r="G5" s="814"/>
      <c r="H5" s="814"/>
      <c r="I5" s="334"/>
      <c r="J5" s="334"/>
      <c r="K5" s="334"/>
      <c r="L5" s="334"/>
    </row>
    <row r="6" spans="1:12" s="333" customFormat="1" ht="54" customHeight="1">
      <c r="A6" s="335"/>
      <c r="B6" s="1000" t="s">
        <v>769</v>
      </c>
      <c r="C6" s="1000"/>
      <c r="D6" s="1000"/>
      <c r="E6" s="1000"/>
      <c r="F6" s="1000"/>
      <c r="G6" s="349"/>
      <c r="H6" s="349"/>
      <c r="I6" s="349"/>
      <c r="J6" s="334"/>
      <c r="K6" s="334"/>
      <c r="L6" s="334"/>
    </row>
    <row r="7" spans="1:12" s="333" customFormat="1" ht="18.75" customHeight="1">
      <c r="A7" s="335"/>
      <c r="B7" s="1036" t="s">
        <v>667</v>
      </c>
      <c r="C7" s="1036"/>
      <c r="D7" s="1036"/>
      <c r="E7" s="1036"/>
      <c r="F7" s="1036"/>
      <c r="G7" s="288"/>
      <c r="H7" s="382"/>
      <c r="I7" s="382"/>
      <c r="J7" s="348"/>
      <c r="K7" s="348"/>
      <c r="L7" s="382"/>
    </row>
    <row r="8" spans="1:12" s="333" customFormat="1" ht="33.75" customHeight="1">
      <c r="A8" s="335"/>
      <c r="B8" s="1000" t="s">
        <v>710</v>
      </c>
      <c r="C8" s="1000"/>
      <c r="D8" s="1000"/>
      <c r="E8" s="1000"/>
      <c r="F8" s="1000"/>
      <c r="G8" s="349"/>
      <c r="H8" s="382"/>
      <c r="I8" s="382"/>
      <c r="J8" s="348"/>
      <c r="K8" s="348"/>
      <c r="L8" s="382"/>
    </row>
    <row r="9" spans="1:12" s="333" customFormat="1">
      <c r="A9" s="335"/>
      <c r="B9" s="380"/>
      <c r="C9" s="380"/>
      <c r="D9" s="380"/>
      <c r="E9" s="380"/>
      <c r="F9" s="380"/>
      <c r="G9" s="380"/>
      <c r="H9" s="382"/>
      <c r="I9" s="382"/>
      <c r="J9" s="348"/>
      <c r="K9" s="348"/>
      <c r="L9" s="382"/>
    </row>
    <row r="10" spans="1:12" s="333" customFormat="1" ht="26.4">
      <c r="A10" s="219" t="s">
        <v>148</v>
      </c>
      <c r="B10" s="380"/>
      <c r="C10" s="380"/>
      <c r="D10" s="380"/>
      <c r="E10" s="380"/>
      <c r="F10" s="380"/>
      <c r="G10" s="380"/>
      <c r="H10" s="382"/>
      <c r="I10" s="382"/>
      <c r="J10" s="348"/>
      <c r="K10" s="348"/>
      <c r="L10" s="382"/>
    </row>
    <row r="11" spans="1:12" s="333" customFormat="1" ht="18.75" customHeight="1" thickBot="1">
      <c r="C11" s="334"/>
      <c r="D11" s="384" t="s">
        <v>48</v>
      </c>
      <c r="E11" s="334"/>
      <c r="F11" s="334"/>
      <c r="G11" s="336"/>
      <c r="H11" s="334"/>
      <c r="I11" s="334"/>
      <c r="J11" s="334"/>
      <c r="K11" s="334"/>
      <c r="L11" s="334"/>
    </row>
    <row r="12" spans="1:12" s="333" customFormat="1" ht="16.5" customHeight="1">
      <c r="A12" s="258">
        <v>1</v>
      </c>
      <c r="B12" s="26" t="s">
        <v>860</v>
      </c>
      <c r="D12" s="972">
        <v>0</v>
      </c>
      <c r="E12" s="334"/>
      <c r="F12" s="334"/>
      <c r="G12" s="336"/>
      <c r="H12" s="334"/>
      <c r="I12" s="334"/>
      <c r="J12" s="334"/>
      <c r="K12" s="334"/>
      <c r="L12" s="334"/>
    </row>
    <row r="13" spans="1:12" s="333" customFormat="1" ht="16.5" customHeight="1">
      <c r="A13" s="394">
        <f>+A12+1</f>
        <v>2</v>
      </c>
      <c r="B13" s="395" t="s">
        <v>460</v>
      </c>
      <c r="C13" s="334"/>
      <c r="D13" s="973">
        <v>0</v>
      </c>
      <c r="E13" s="334"/>
      <c r="F13" s="334"/>
      <c r="G13" s="336"/>
      <c r="H13" s="334"/>
      <c r="I13" s="334"/>
      <c r="J13" s="334"/>
      <c r="K13" s="334"/>
      <c r="L13" s="334"/>
    </row>
    <row r="14" spans="1:12" s="333" customFormat="1" ht="16.5" customHeight="1">
      <c r="A14" s="258">
        <f>+A13+1</f>
        <v>3</v>
      </c>
      <c r="B14" s="26" t="s">
        <v>461</v>
      </c>
      <c r="D14" s="295">
        <f>SUM(D12:D13)</f>
        <v>0</v>
      </c>
      <c r="E14" s="334"/>
      <c r="F14" s="334"/>
      <c r="G14" s="336"/>
      <c r="H14" s="334"/>
      <c r="I14" s="334"/>
      <c r="J14" s="334"/>
      <c r="K14" s="334"/>
      <c r="L14" s="334"/>
    </row>
    <row r="15" spans="1:12" s="333" customFormat="1" ht="16.5" customHeight="1">
      <c r="A15" s="383"/>
      <c r="B15" s="337"/>
      <c r="C15" s="378"/>
      <c r="D15" s="833"/>
      <c r="E15" s="378"/>
      <c r="F15" s="378"/>
      <c r="H15" s="334"/>
      <c r="I15" s="334"/>
      <c r="J15" s="334"/>
      <c r="K15" s="334"/>
      <c r="L15" s="334"/>
    </row>
    <row r="16" spans="1:12" s="333" customFormat="1" ht="16.5" customHeight="1">
      <c r="A16" s="383"/>
      <c r="B16" s="337"/>
      <c r="C16" s="378"/>
      <c r="D16" s="833"/>
      <c r="E16" s="378"/>
      <c r="F16" s="378"/>
      <c r="H16" s="334"/>
      <c r="I16" s="334"/>
      <c r="J16" s="334"/>
      <c r="K16" s="334"/>
      <c r="L16" s="334"/>
    </row>
    <row r="17" spans="1:12" s="333" customFormat="1" ht="16.5" customHeight="1">
      <c r="A17" s="383"/>
      <c r="B17" s="334" t="s">
        <v>859</v>
      </c>
      <c r="C17" s="378"/>
      <c r="D17" s="833"/>
      <c r="E17" s="378"/>
      <c r="F17" s="378"/>
      <c r="H17" s="334"/>
      <c r="I17" s="334"/>
      <c r="J17" s="334"/>
      <c r="K17" s="334"/>
      <c r="L17" s="334"/>
    </row>
    <row r="18" spans="1:12" s="333" customFormat="1" ht="26.25" customHeight="1">
      <c r="A18" s="383"/>
      <c r="B18" s="400" t="s">
        <v>411</v>
      </c>
      <c r="C18" s="378"/>
      <c r="D18" s="834" t="s">
        <v>472</v>
      </c>
      <c r="E18" s="378"/>
      <c r="F18" s="378"/>
      <c r="H18" s="334"/>
      <c r="I18" s="334"/>
      <c r="J18" s="334"/>
      <c r="K18" s="334"/>
      <c r="L18" s="334"/>
    </row>
    <row r="19" spans="1:12" s="333" customFormat="1" ht="21" customHeight="1">
      <c r="A19" s="383"/>
      <c r="B19" s="379" t="s">
        <v>190</v>
      </c>
      <c r="C19" s="378"/>
      <c r="D19" s="835" t="s">
        <v>193</v>
      </c>
      <c r="E19" s="378"/>
      <c r="F19" s="378"/>
      <c r="H19" s="334"/>
      <c r="I19" s="334"/>
      <c r="J19" s="334"/>
      <c r="K19" s="334"/>
      <c r="L19" s="334"/>
    </row>
    <row r="20" spans="1:12" s="333" customFormat="1" ht="16.5" customHeight="1">
      <c r="A20" s="385">
        <f>+A14+1</f>
        <v>4</v>
      </c>
      <c r="B20" s="5" t="s">
        <v>187</v>
      </c>
      <c r="C20" s="378"/>
      <c r="D20" s="974">
        <v>0</v>
      </c>
      <c r="E20" s="378"/>
      <c r="F20" s="378"/>
      <c r="H20" s="334"/>
      <c r="I20" s="334"/>
      <c r="J20" s="334"/>
      <c r="K20" s="334"/>
      <c r="L20" s="334"/>
    </row>
    <row r="21" spans="1:12" s="333" customFormat="1" ht="16.5" customHeight="1">
      <c r="A21" s="383">
        <f>+A20+1</f>
        <v>5</v>
      </c>
      <c r="B21" s="5" t="s">
        <v>85</v>
      </c>
      <c r="C21" s="378"/>
      <c r="D21" s="974">
        <v>0</v>
      </c>
      <c r="E21" s="378"/>
      <c r="F21" s="378"/>
      <c r="H21" s="334"/>
      <c r="I21" s="334"/>
      <c r="J21" s="334"/>
      <c r="K21" s="334"/>
      <c r="L21" s="334"/>
    </row>
    <row r="22" spans="1:12" s="333" customFormat="1" ht="16.5" customHeight="1">
      <c r="A22" s="383">
        <f t="shared" ref="A22:A33" si="0">+A21+1</f>
        <v>6</v>
      </c>
      <c r="B22" s="1" t="s">
        <v>84</v>
      </c>
      <c r="C22" s="378"/>
      <c r="D22" s="974">
        <v>0</v>
      </c>
      <c r="E22" s="378"/>
      <c r="F22" s="378"/>
      <c r="H22" s="334"/>
      <c r="I22" s="334"/>
      <c r="J22" s="334"/>
      <c r="K22" s="334"/>
      <c r="L22" s="334"/>
    </row>
    <row r="23" spans="1:12" s="333" customFormat="1" ht="16.5" customHeight="1">
      <c r="A23" s="383">
        <f t="shared" si="0"/>
        <v>7</v>
      </c>
      <c r="B23" s="1" t="s">
        <v>164</v>
      </c>
      <c r="C23" s="378"/>
      <c r="D23" s="974">
        <v>0</v>
      </c>
      <c r="E23" s="378"/>
      <c r="F23" s="378"/>
      <c r="H23" s="334"/>
      <c r="I23" s="334"/>
      <c r="J23" s="334"/>
      <c r="K23" s="334"/>
      <c r="L23" s="334"/>
    </row>
    <row r="24" spans="1:12" s="333" customFormat="1" ht="16.5" customHeight="1">
      <c r="A24" s="383">
        <f t="shared" si="0"/>
        <v>8</v>
      </c>
      <c r="B24" s="1" t="s">
        <v>76</v>
      </c>
      <c r="C24" s="378"/>
      <c r="D24" s="974">
        <v>0</v>
      </c>
      <c r="E24" s="378"/>
      <c r="F24" s="378"/>
      <c r="H24" s="334"/>
      <c r="I24" s="334"/>
      <c r="J24" s="334"/>
      <c r="K24" s="334"/>
      <c r="L24" s="334"/>
    </row>
    <row r="25" spans="1:12" s="333" customFormat="1" ht="16.5" customHeight="1">
      <c r="A25" s="383">
        <f t="shared" si="0"/>
        <v>9</v>
      </c>
      <c r="B25" s="1" t="s">
        <v>75</v>
      </c>
      <c r="C25" s="378"/>
      <c r="D25" s="974">
        <v>0</v>
      </c>
      <c r="E25" s="378"/>
      <c r="F25" s="378"/>
      <c r="H25" s="334"/>
      <c r="I25" s="334"/>
      <c r="J25" s="334"/>
      <c r="K25" s="334"/>
      <c r="L25" s="334"/>
    </row>
    <row r="26" spans="1:12" s="333" customFormat="1" ht="16.5" customHeight="1">
      <c r="A26" s="383">
        <f t="shared" si="0"/>
        <v>10</v>
      </c>
      <c r="B26" s="1" t="s">
        <v>92</v>
      </c>
      <c r="C26" s="378"/>
      <c r="D26" s="974">
        <v>0</v>
      </c>
      <c r="E26" s="378"/>
      <c r="F26" s="378"/>
      <c r="H26" s="334"/>
      <c r="I26" s="334"/>
      <c r="J26" s="334"/>
      <c r="K26" s="334"/>
      <c r="L26" s="334"/>
    </row>
    <row r="27" spans="1:12" s="333" customFormat="1" ht="16.5" customHeight="1">
      <c r="A27" s="383">
        <f t="shared" si="0"/>
        <v>11</v>
      </c>
      <c r="B27" s="1" t="s">
        <v>82</v>
      </c>
      <c r="C27" s="378"/>
      <c r="D27" s="974">
        <v>0</v>
      </c>
      <c r="E27" s="378"/>
      <c r="F27" s="378"/>
      <c r="H27" s="334"/>
      <c r="I27" s="334"/>
      <c r="J27" s="334"/>
      <c r="K27" s="334"/>
      <c r="L27" s="334"/>
    </row>
    <row r="28" spans="1:12" s="333" customFormat="1" ht="16.5" customHeight="1">
      <c r="A28" s="383">
        <f t="shared" si="0"/>
        <v>12</v>
      </c>
      <c r="B28" s="1" t="s">
        <v>165</v>
      </c>
      <c r="C28" s="378"/>
      <c r="D28" s="974">
        <v>0</v>
      </c>
      <c r="E28" s="378"/>
      <c r="F28" s="378"/>
      <c r="H28" s="334"/>
      <c r="I28" s="334"/>
      <c r="J28" s="334"/>
      <c r="K28" s="334"/>
      <c r="L28" s="334"/>
    </row>
    <row r="29" spans="1:12" s="333" customFormat="1" ht="16.5" customHeight="1">
      <c r="A29" s="383">
        <f t="shared" si="0"/>
        <v>13</v>
      </c>
      <c r="B29" s="1" t="s">
        <v>80</v>
      </c>
      <c r="C29" s="378"/>
      <c r="D29" s="974">
        <v>0</v>
      </c>
      <c r="E29" s="378"/>
      <c r="F29" s="378"/>
      <c r="H29" s="334"/>
      <c r="I29" s="334"/>
      <c r="J29" s="334"/>
      <c r="K29" s="334"/>
      <c r="L29" s="334"/>
    </row>
    <row r="30" spans="1:12" s="333" customFormat="1" ht="16.5" customHeight="1">
      <c r="A30" s="383">
        <f t="shared" si="0"/>
        <v>14</v>
      </c>
      <c r="B30" s="1" t="s">
        <v>86</v>
      </c>
      <c r="C30" s="378"/>
      <c r="D30" s="974">
        <v>0</v>
      </c>
      <c r="E30" s="378"/>
      <c r="F30" s="378"/>
      <c r="H30" s="334"/>
      <c r="I30" s="334"/>
      <c r="J30" s="334"/>
      <c r="K30" s="334"/>
      <c r="L30" s="334"/>
    </row>
    <row r="31" spans="1:12" s="333" customFormat="1" ht="16.5" customHeight="1">
      <c r="A31" s="383">
        <f t="shared" si="0"/>
        <v>15</v>
      </c>
      <c r="B31" s="1" t="s">
        <v>79</v>
      </c>
      <c r="C31" s="378"/>
      <c r="D31" s="974">
        <v>0</v>
      </c>
      <c r="E31" s="378"/>
      <c r="F31" s="378"/>
      <c r="H31" s="334"/>
      <c r="I31" s="334"/>
      <c r="J31" s="334"/>
      <c r="K31" s="334"/>
      <c r="L31" s="334"/>
    </row>
    <row r="32" spans="1:12" s="333" customFormat="1" ht="16.5" customHeight="1">
      <c r="A32" s="383">
        <f t="shared" si="0"/>
        <v>16</v>
      </c>
      <c r="B32" s="1" t="s">
        <v>188</v>
      </c>
      <c r="C32" s="378"/>
      <c r="D32" s="974">
        <v>0</v>
      </c>
      <c r="E32" s="378"/>
      <c r="F32" s="378"/>
      <c r="H32" s="334"/>
      <c r="I32" s="334"/>
      <c r="J32" s="334"/>
      <c r="K32" s="334"/>
      <c r="L32" s="334"/>
    </row>
    <row r="33" spans="1:12" s="333" customFormat="1" ht="16.5" customHeight="1">
      <c r="A33" s="383">
        <f t="shared" si="0"/>
        <v>17</v>
      </c>
      <c r="B33" s="7" t="s">
        <v>242</v>
      </c>
      <c r="C33" s="378"/>
      <c r="D33" s="584">
        <f>SUM(D20:D32)/13</f>
        <v>0</v>
      </c>
      <c r="E33" s="378"/>
      <c r="F33" s="378"/>
      <c r="H33" s="334"/>
      <c r="I33" s="334"/>
      <c r="J33" s="334"/>
      <c r="K33" s="334"/>
      <c r="L33" s="334"/>
    </row>
    <row r="34" spans="1:12" s="333" customFormat="1" ht="21" customHeight="1">
      <c r="A34" s="383"/>
      <c r="C34" s="334"/>
      <c r="D34" s="334"/>
      <c r="E34" s="334"/>
      <c r="F34" s="334"/>
      <c r="G34" s="336"/>
      <c r="H34" s="334"/>
      <c r="I34" s="334"/>
      <c r="J34" s="334"/>
      <c r="K34" s="334"/>
      <c r="L34" s="334"/>
    </row>
    <row r="35" spans="1:12" s="333" customFormat="1" ht="16.5" customHeight="1">
      <c r="A35" s="383">
        <f>+A33+1</f>
        <v>18</v>
      </c>
      <c r="B35" s="333" t="s">
        <v>595</v>
      </c>
      <c r="C35" s="378"/>
      <c r="D35" s="350" t="e">
        <f>D14/D33</f>
        <v>#DIV/0!</v>
      </c>
      <c r="E35" s="378"/>
      <c r="F35" s="378"/>
      <c r="H35" s="334"/>
      <c r="I35" s="334"/>
      <c r="J35" s="334"/>
      <c r="K35" s="334"/>
      <c r="L35" s="334"/>
    </row>
    <row r="36" spans="1:12" s="333" customFormat="1" ht="16.5" customHeight="1">
      <c r="A36" s="383"/>
      <c r="B36" s="337"/>
      <c r="C36" s="378"/>
      <c r="D36" s="366"/>
      <c r="E36" s="378"/>
      <c r="F36" s="378"/>
      <c r="H36" s="334"/>
      <c r="I36" s="334"/>
      <c r="J36" s="334"/>
      <c r="K36" s="334"/>
      <c r="L36" s="334"/>
    </row>
    <row r="37" spans="1:12" s="333" customFormat="1" ht="16.5" customHeight="1">
      <c r="A37" s="668" t="s">
        <v>525</v>
      </c>
      <c r="B37" s="337"/>
      <c r="C37" s="537"/>
      <c r="D37" s="366"/>
      <c r="E37" s="537"/>
      <c r="F37" s="537"/>
      <c r="H37" s="334"/>
      <c r="I37" s="334"/>
      <c r="J37" s="334"/>
      <c r="K37" s="334"/>
      <c r="L37" s="334"/>
    </row>
    <row r="38" spans="1:12" s="333" customFormat="1" ht="48" customHeight="1">
      <c r="A38" s="704" t="s">
        <v>62</v>
      </c>
      <c r="B38" s="990" t="s">
        <v>858</v>
      </c>
      <c r="C38" s="990"/>
      <c r="D38" s="990"/>
      <c r="E38" s="990"/>
      <c r="F38" s="990"/>
      <c r="G38" s="401"/>
      <c r="H38" s="334"/>
      <c r="I38" s="338"/>
      <c r="J38" s="339"/>
      <c r="K38" s="334"/>
      <c r="L38" s="334"/>
    </row>
    <row r="39" spans="1:12" s="333" customFormat="1" ht="31.5" customHeight="1">
      <c r="A39" s="704" t="s">
        <v>63</v>
      </c>
      <c r="B39" s="990" t="s">
        <v>736</v>
      </c>
      <c r="C39" s="990"/>
      <c r="D39" s="990"/>
      <c r="E39" s="990"/>
      <c r="F39" s="990"/>
      <c r="G39" s="851"/>
      <c r="H39" s="851"/>
      <c r="I39" s="851"/>
      <c r="J39" s="347"/>
      <c r="K39" s="347"/>
    </row>
    <row r="40" spans="1:12" s="333" customFormat="1">
      <c r="A40" s="346"/>
      <c r="J40" s="347"/>
      <c r="K40" s="347"/>
    </row>
    <row r="41" spans="1:12" s="333" customFormat="1">
      <c r="A41" s="346"/>
      <c r="J41" s="347"/>
      <c r="K41" s="347"/>
    </row>
    <row r="114" spans="2:3">
      <c r="B114" s="333"/>
      <c r="C114" s="333"/>
    </row>
  </sheetData>
  <customSheetViews>
    <customSheetView guid="{63AFAF34-E340-4B5E-A289-FFB7051CA9B6}" scale="90" showPageBreaks="1" fitToPage="1" printArea="1" topLeftCell="A10">
      <selection activeCell="B6" sqref="B6:F6"/>
      <colBreaks count="1" manualBreakCount="1">
        <brk id="9" max="60" man="1"/>
      </colBreaks>
      <pageMargins left="0.5" right="0.1" top="0.25" bottom="0.25" header="0.3" footer="0.3"/>
      <pageSetup scale="80" orientation="landscape" r:id="rId1"/>
    </customSheetView>
    <customSheetView guid="{F1DC5514-577A-46EB-866C-26F0BED2C286}" scale="80" showPageBreaks="1" fitToPage="1" printArea="1" view="pageBreakPreview">
      <selection sqref="A1:G1"/>
      <colBreaks count="1" manualBreakCount="1">
        <brk id="9" max="60" man="1"/>
      </colBreaks>
      <pageMargins left="0.5" right="0.1" top="0.25" bottom="0.25" header="0.3" footer="0.3"/>
      <pageSetup scale="80" orientation="landscape" r:id="rId2"/>
    </customSheetView>
  </customSheetViews>
  <mergeCells count="8">
    <mergeCell ref="B38:F38"/>
    <mergeCell ref="B6:F6"/>
    <mergeCell ref="B39:F39"/>
    <mergeCell ref="A1:G1"/>
    <mergeCell ref="A2:G2"/>
    <mergeCell ref="A3:G3"/>
    <mergeCell ref="B7:F7"/>
    <mergeCell ref="B8:F8"/>
  </mergeCells>
  <pageMargins left="0.5" right="0.1" top="0.25" bottom="0.25" header="0.3" footer="0.3"/>
  <pageSetup scale="75" orientation="landscape" r:id="rId3"/>
  <colBreaks count="1" manualBreakCount="1">
    <brk id="9" max="60" man="1"/>
  </colBreaks>
  <drawing r:id="rId4"/>
  <legacyDrawing r:id="rId5"/>
  <oleObjects>
    <mc:AlternateContent xmlns:mc="http://schemas.openxmlformats.org/markup-compatibility/2006">
      <mc:Choice Requires="x14">
        <oleObject progId="Equation.3" shapeId="96257" r:id="rId6">
          <objectPr defaultSize="0" autoPict="0" r:id="rId7">
            <anchor moveWithCells="1" sizeWithCells="1">
              <from>
                <xdr:col>1</xdr:col>
                <xdr:colOff>365760</xdr:colOff>
                <xdr:row>3</xdr:row>
                <xdr:rowOff>152400</xdr:rowOff>
              </from>
              <to>
                <xdr:col>2</xdr:col>
                <xdr:colOff>998220</xdr:colOff>
                <xdr:row>3</xdr:row>
                <xdr:rowOff>152400</xdr:rowOff>
              </to>
            </anchor>
          </objectPr>
        </oleObject>
      </mc:Choice>
      <mc:Fallback>
        <oleObject progId="Equation.3" shapeId="96257"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sqref="A1:K1"/>
      <selection pane="bottomLeft" sqref="A1:K1"/>
    </sheetView>
  </sheetViews>
  <sheetFormatPr defaultColWidth="9.6328125" defaultRowHeight="13.2"/>
  <cols>
    <col min="1" max="1" width="7.6328125" style="728" customWidth="1"/>
    <col min="2" max="2" width="32.90625" style="728" customWidth="1"/>
    <col min="3" max="7" width="12.08984375" style="728" customWidth="1"/>
    <col min="8" max="8" width="13.453125" style="728" customWidth="1"/>
    <col min="9" max="9" width="12.6328125" style="728" customWidth="1"/>
    <col min="10" max="10" width="13.6328125" style="728" customWidth="1"/>
    <col min="11" max="256" width="9.6328125" style="728"/>
    <col min="257" max="257" width="7.6328125" style="728" customWidth="1"/>
    <col min="258" max="258" width="32.90625" style="728" customWidth="1"/>
    <col min="259" max="259" width="9.1796875" style="728" customWidth="1"/>
    <col min="260" max="260" width="6.54296875" style="728" customWidth="1"/>
    <col min="261" max="261" width="7.90625" style="728" customWidth="1"/>
    <col min="262" max="262" width="8.08984375" style="728" customWidth="1"/>
    <col min="263" max="263" width="9" style="728" customWidth="1"/>
    <col min="264" max="264" width="11.54296875" style="728" customWidth="1"/>
    <col min="265" max="265" width="12.6328125" style="728" customWidth="1"/>
    <col min="266" max="266" width="13.6328125" style="728" customWidth="1"/>
    <col min="267" max="512" width="9.6328125" style="728"/>
    <col min="513" max="513" width="7.6328125" style="728" customWidth="1"/>
    <col min="514" max="514" width="32.90625" style="728" customWidth="1"/>
    <col min="515" max="515" width="9.1796875" style="728" customWidth="1"/>
    <col min="516" max="516" width="6.54296875" style="728" customWidth="1"/>
    <col min="517" max="517" width="7.90625" style="728" customWidth="1"/>
    <col min="518" max="518" width="8.08984375" style="728" customWidth="1"/>
    <col min="519" max="519" width="9" style="728" customWidth="1"/>
    <col min="520" max="520" width="11.54296875" style="728" customWidth="1"/>
    <col min="521" max="521" width="12.6328125" style="728" customWidth="1"/>
    <col min="522" max="522" width="13.6328125" style="728" customWidth="1"/>
    <col min="523" max="768" width="9.6328125" style="728"/>
    <col min="769" max="769" width="7.6328125" style="728" customWidth="1"/>
    <col min="770" max="770" width="32.90625" style="728" customWidth="1"/>
    <col min="771" max="771" width="9.1796875" style="728" customWidth="1"/>
    <col min="772" max="772" width="6.54296875" style="728" customWidth="1"/>
    <col min="773" max="773" width="7.90625" style="728" customWidth="1"/>
    <col min="774" max="774" width="8.08984375" style="728" customWidth="1"/>
    <col min="775" max="775" width="9" style="728" customWidth="1"/>
    <col min="776" max="776" width="11.54296875" style="728" customWidth="1"/>
    <col min="777" max="777" width="12.6328125" style="728" customWidth="1"/>
    <col min="778" max="778" width="13.6328125" style="728" customWidth="1"/>
    <col min="779" max="1024" width="9.6328125" style="728"/>
    <col min="1025" max="1025" width="7.6328125" style="728" customWidth="1"/>
    <col min="1026" max="1026" width="32.90625" style="728" customWidth="1"/>
    <col min="1027" max="1027" width="9.1796875" style="728" customWidth="1"/>
    <col min="1028" max="1028" width="6.54296875" style="728" customWidth="1"/>
    <col min="1029" max="1029" width="7.90625" style="728" customWidth="1"/>
    <col min="1030" max="1030" width="8.08984375" style="728" customWidth="1"/>
    <col min="1031" max="1031" width="9" style="728" customWidth="1"/>
    <col min="1032" max="1032" width="11.54296875" style="728" customWidth="1"/>
    <col min="1033" max="1033" width="12.6328125" style="728" customWidth="1"/>
    <col min="1034" max="1034" width="13.6328125" style="728" customWidth="1"/>
    <col min="1035" max="1280" width="9.6328125" style="728"/>
    <col min="1281" max="1281" width="7.6328125" style="728" customWidth="1"/>
    <col min="1282" max="1282" width="32.90625" style="728" customWidth="1"/>
    <col min="1283" max="1283" width="9.1796875" style="728" customWidth="1"/>
    <col min="1284" max="1284" width="6.54296875" style="728" customWidth="1"/>
    <col min="1285" max="1285" width="7.90625" style="728" customWidth="1"/>
    <col min="1286" max="1286" width="8.08984375" style="728" customWidth="1"/>
    <col min="1287" max="1287" width="9" style="728" customWidth="1"/>
    <col min="1288" max="1288" width="11.54296875" style="728" customWidth="1"/>
    <col min="1289" max="1289" width="12.6328125" style="728" customWidth="1"/>
    <col min="1290" max="1290" width="13.6328125" style="728" customWidth="1"/>
    <col min="1291" max="1536" width="9.6328125" style="728"/>
    <col min="1537" max="1537" width="7.6328125" style="728" customWidth="1"/>
    <col min="1538" max="1538" width="32.90625" style="728" customWidth="1"/>
    <col min="1539" max="1539" width="9.1796875" style="728" customWidth="1"/>
    <col min="1540" max="1540" width="6.54296875" style="728" customWidth="1"/>
    <col min="1541" max="1541" width="7.90625" style="728" customWidth="1"/>
    <col min="1542" max="1542" width="8.08984375" style="728" customWidth="1"/>
    <col min="1543" max="1543" width="9" style="728" customWidth="1"/>
    <col min="1544" max="1544" width="11.54296875" style="728" customWidth="1"/>
    <col min="1545" max="1545" width="12.6328125" style="728" customWidth="1"/>
    <col min="1546" max="1546" width="13.6328125" style="728" customWidth="1"/>
    <col min="1547" max="1792" width="9.6328125" style="728"/>
    <col min="1793" max="1793" width="7.6328125" style="728" customWidth="1"/>
    <col min="1794" max="1794" width="32.90625" style="728" customWidth="1"/>
    <col min="1795" max="1795" width="9.1796875" style="728" customWidth="1"/>
    <col min="1796" max="1796" width="6.54296875" style="728" customWidth="1"/>
    <col min="1797" max="1797" width="7.90625" style="728" customWidth="1"/>
    <col min="1798" max="1798" width="8.08984375" style="728" customWidth="1"/>
    <col min="1799" max="1799" width="9" style="728" customWidth="1"/>
    <col min="1800" max="1800" width="11.54296875" style="728" customWidth="1"/>
    <col min="1801" max="1801" width="12.6328125" style="728" customWidth="1"/>
    <col min="1802" max="1802" width="13.6328125" style="728" customWidth="1"/>
    <col min="1803" max="2048" width="9.6328125" style="728"/>
    <col min="2049" max="2049" width="7.6328125" style="728" customWidth="1"/>
    <col min="2050" max="2050" width="32.90625" style="728" customWidth="1"/>
    <col min="2051" max="2051" width="9.1796875" style="728" customWidth="1"/>
    <col min="2052" max="2052" width="6.54296875" style="728" customWidth="1"/>
    <col min="2053" max="2053" width="7.90625" style="728" customWidth="1"/>
    <col min="2054" max="2054" width="8.08984375" style="728" customWidth="1"/>
    <col min="2055" max="2055" width="9" style="728" customWidth="1"/>
    <col min="2056" max="2056" width="11.54296875" style="728" customWidth="1"/>
    <col min="2057" max="2057" width="12.6328125" style="728" customWidth="1"/>
    <col min="2058" max="2058" width="13.6328125" style="728" customWidth="1"/>
    <col min="2059" max="2304" width="9.6328125" style="728"/>
    <col min="2305" max="2305" width="7.6328125" style="728" customWidth="1"/>
    <col min="2306" max="2306" width="32.90625" style="728" customWidth="1"/>
    <col min="2307" max="2307" width="9.1796875" style="728" customWidth="1"/>
    <col min="2308" max="2308" width="6.54296875" style="728" customWidth="1"/>
    <col min="2309" max="2309" width="7.90625" style="728" customWidth="1"/>
    <col min="2310" max="2310" width="8.08984375" style="728" customWidth="1"/>
    <col min="2311" max="2311" width="9" style="728" customWidth="1"/>
    <col min="2312" max="2312" width="11.54296875" style="728" customWidth="1"/>
    <col min="2313" max="2313" width="12.6328125" style="728" customWidth="1"/>
    <col min="2314" max="2314" width="13.6328125" style="728" customWidth="1"/>
    <col min="2315" max="2560" width="9.6328125" style="728"/>
    <col min="2561" max="2561" width="7.6328125" style="728" customWidth="1"/>
    <col min="2562" max="2562" width="32.90625" style="728" customWidth="1"/>
    <col min="2563" max="2563" width="9.1796875" style="728" customWidth="1"/>
    <col min="2564" max="2564" width="6.54296875" style="728" customWidth="1"/>
    <col min="2565" max="2565" width="7.90625" style="728" customWidth="1"/>
    <col min="2566" max="2566" width="8.08984375" style="728" customWidth="1"/>
    <col min="2567" max="2567" width="9" style="728" customWidth="1"/>
    <col min="2568" max="2568" width="11.54296875" style="728" customWidth="1"/>
    <col min="2569" max="2569" width="12.6328125" style="728" customWidth="1"/>
    <col min="2570" max="2570" width="13.6328125" style="728" customWidth="1"/>
    <col min="2571" max="2816" width="9.6328125" style="728"/>
    <col min="2817" max="2817" width="7.6328125" style="728" customWidth="1"/>
    <col min="2818" max="2818" width="32.90625" style="728" customWidth="1"/>
    <col min="2819" max="2819" width="9.1796875" style="728" customWidth="1"/>
    <col min="2820" max="2820" width="6.54296875" style="728" customWidth="1"/>
    <col min="2821" max="2821" width="7.90625" style="728" customWidth="1"/>
    <col min="2822" max="2822" width="8.08984375" style="728" customWidth="1"/>
    <col min="2823" max="2823" width="9" style="728" customWidth="1"/>
    <col min="2824" max="2824" width="11.54296875" style="728" customWidth="1"/>
    <col min="2825" max="2825" width="12.6328125" style="728" customWidth="1"/>
    <col min="2826" max="2826" width="13.6328125" style="728" customWidth="1"/>
    <col min="2827" max="3072" width="9.6328125" style="728"/>
    <col min="3073" max="3073" width="7.6328125" style="728" customWidth="1"/>
    <col min="3074" max="3074" width="32.90625" style="728" customWidth="1"/>
    <col min="3075" max="3075" width="9.1796875" style="728" customWidth="1"/>
    <col min="3076" max="3076" width="6.54296875" style="728" customWidth="1"/>
    <col min="3077" max="3077" width="7.90625" style="728" customWidth="1"/>
    <col min="3078" max="3078" width="8.08984375" style="728" customWidth="1"/>
    <col min="3079" max="3079" width="9" style="728" customWidth="1"/>
    <col min="3080" max="3080" width="11.54296875" style="728" customWidth="1"/>
    <col min="3081" max="3081" width="12.6328125" style="728" customWidth="1"/>
    <col min="3082" max="3082" width="13.6328125" style="728" customWidth="1"/>
    <col min="3083" max="3328" width="9.6328125" style="728"/>
    <col min="3329" max="3329" width="7.6328125" style="728" customWidth="1"/>
    <col min="3330" max="3330" width="32.90625" style="728" customWidth="1"/>
    <col min="3331" max="3331" width="9.1796875" style="728" customWidth="1"/>
    <col min="3332" max="3332" width="6.54296875" style="728" customWidth="1"/>
    <col min="3333" max="3333" width="7.90625" style="728" customWidth="1"/>
    <col min="3334" max="3334" width="8.08984375" style="728" customWidth="1"/>
    <col min="3335" max="3335" width="9" style="728" customWidth="1"/>
    <col min="3336" max="3336" width="11.54296875" style="728" customWidth="1"/>
    <col min="3337" max="3337" width="12.6328125" style="728" customWidth="1"/>
    <col min="3338" max="3338" width="13.6328125" style="728" customWidth="1"/>
    <col min="3339" max="3584" width="9.6328125" style="728"/>
    <col min="3585" max="3585" width="7.6328125" style="728" customWidth="1"/>
    <col min="3586" max="3586" width="32.90625" style="728" customWidth="1"/>
    <col min="3587" max="3587" width="9.1796875" style="728" customWidth="1"/>
    <col min="3588" max="3588" width="6.54296875" style="728" customWidth="1"/>
    <col min="3589" max="3589" width="7.90625" style="728" customWidth="1"/>
    <col min="3590" max="3590" width="8.08984375" style="728" customWidth="1"/>
    <col min="3591" max="3591" width="9" style="728" customWidth="1"/>
    <col min="3592" max="3592" width="11.54296875" style="728" customWidth="1"/>
    <col min="3593" max="3593" width="12.6328125" style="728" customWidth="1"/>
    <col min="3594" max="3594" width="13.6328125" style="728" customWidth="1"/>
    <col min="3595" max="3840" width="9.6328125" style="728"/>
    <col min="3841" max="3841" width="7.6328125" style="728" customWidth="1"/>
    <col min="3842" max="3842" width="32.90625" style="728" customWidth="1"/>
    <col min="3843" max="3843" width="9.1796875" style="728" customWidth="1"/>
    <col min="3844" max="3844" width="6.54296875" style="728" customWidth="1"/>
    <col min="3845" max="3845" width="7.90625" style="728" customWidth="1"/>
    <col min="3846" max="3846" width="8.08984375" style="728" customWidth="1"/>
    <col min="3847" max="3847" width="9" style="728" customWidth="1"/>
    <col min="3848" max="3848" width="11.54296875" style="728" customWidth="1"/>
    <col min="3849" max="3849" width="12.6328125" style="728" customWidth="1"/>
    <col min="3850" max="3850" width="13.6328125" style="728" customWidth="1"/>
    <col min="3851" max="4096" width="9.6328125" style="728"/>
    <col min="4097" max="4097" width="7.6328125" style="728" customWidth="1"/>
    <col min="4098" max="4098" width="32.90625" style="728" customWidth="1"/>
    <col min="4099" max="4099" width="9.1796875" style="728" customWidth="1"/>
    <col min="4100" max="4100" width="6.54296875" style="728" customWidth="1"/>
    <col min="4101" max="4101" width="7.90625" style="728" customWidth="1"/>
    <col min="4102" max="4102" width="8.08984375" style="728" customWidth="1"/>
    <col min="4103" max="4103" width="9" style="728" customWidth="1"/>
    <col min="4104" max="4104" width="11.54296875" style="728" customWidth="1"/>
    <col min="4105" max="4105" width="12.6328125" style="728" customWidth="1"/>
    <col min="4106" max="4106" width="13.6328125" style="728" customWidth="1"/>
    <col min="4107" max="4352" width="9.6328125" style="728"/>
    <col min="4353" max="4353" width="7.6328125" style="728" customWidth="1"/>
    <col min="4354" max="4354" width="32.90625" style="728" customWidth="1"/>
    <col min="4355" max="4355" width="9.1796875" style="728" customWidth="1"/>
    <col min="4356" max="4356" width="6.54296875" style="728" customWidth="1"/>
    <col min="4357" max="4357" width="7.90625" style="728" customWidth="1"/>
    <col min="4358" max="4358" width="8.08984375" style="728" customWidth="1"/>
    <col min="4359" max="4359" width="9" style="728" customWidth="1"/>
    <col min="4360" max="4360" width="11.54296875" style="728" customWidth="1"/>
    <col min="4361" max="4361" width="12.6328125" style="728" customWidth="1"/>
    <col min="4362" max="4362" width="13.6328125" style="728" customWidth="1"/>
    <col min="4363" max="4608" width="9.6328125" style="728"/>
    <col min="4609" max="4609" width="7.6328125" style="728" customWidth="1"/>
    <col min="4610" max="4610" width="32.90625" style="728" customWidth="1"/>
    <col min="4611" max="4611" width="9.1796875" style="728" customWidth="1"/>
    <col min="4612" max="4612" width="6.54296875" style="728" customWidth="1"/>
    <col min="4613" max="4613" width="7.90625" style="728" customWidth="1"/>
    <col min="4614" max="4614" width="8.08984375" style="728" customWidth="1"/>
    <col min="4615" max="4615" width="9" style="728" customWidth="1"/>
    <col min="4616" max="4616" width="11.54296875" style="728" customWidth="1"/>
    <col min="4617" max="4617" width="12.6328125" style="728" customWidth="1"/>
    <col min="4618" max="4618" width="13.6328125" style="728" customWidth="1"/>
    <col min="4619" max="4864" width="9.6328125" style="728"/>
    <col min="4865" max="4865" width="7.6328125" style="728" customWidth="1"/>
    <col min="4866" max="4866" width="32.90625" style="728" customWidth="1"/>
    <col min="4867" max="4867" width="9.1796875" style="728" customWidth="1"/>
    <col min="4868" max="4868" width="6.54296875" style="728" customWidth="1"/>
    <col min="4869" max="4869" width="7.90625" style="728" customWidth="1"/>
    <col min="4870" max="4870" width="8.08984375" style="728" customWidth="1"/>
    <col min="4871" max="4871" width="9" style="728" customWidth="1"/>
    <col min="4872" max="4872" width="11.54296875" style="728" customWidth="1"/>
    <col min="4873" max="4873" width="12.6328125" style="728" customWidth="1"/>
    <col min="4874" max="4874" width="13.6328125" style="728" customWidth="1"/>
    <col min="4875" max="5120" width="9.6328125" style="728"/>
    <col min="5121" max="5121" width="7.6328125" style="728" customWidth="1"/>
    <col min="5122" max="5122" width="32.90625" style="728" customWidth="1"/>
    <col min="5123" max="5123" width="9.1796875" style="728" customWidth="1"/>
    <col min="5124" max="5124" width="6.54296875" style="728" customWidth="1"/>
    <col min="5125" max="5125" width="7.90625" style="728" customWidth="1"/>
    <col min="5126" max="5126" width="8.08984375" style="728" customWidth="1"/>
    <col min="5127" max="5127" width="9" style="728" customWidth="1"/>
    <col min="5128" max="5128" width="11.54296875" style="728" customWidth="1"/>
    <col min="5129" max="5129" width="12.6328125" style="728" customWidth="1"/>
    <col min="5130" max="5130" width="13.6328125" style="728" customWidth="1"/>
    <col min="5131" max="5376" width="9.6328125" style="728"/>
    <col min="5377" max="5377" width="7.6328125" style="728" customWidth="1"/>
    <col min="5378" max="5378" width="32.90625" style="728" customWidth="1"/>
    <col min="5379" max="5379" width="9.1796875" style="728" customWidth="1"/>
    <col min="5380" max="5380" width="6.54296875" style="728" customWidth="1"/>
    <col min="5381" max="5381" width="7.90625" style="728" customWidth="1"/>
    <col min="5382" max="5382" width="8.08984375" style="728" customWidth="1"/>
    <col min="5383" max="5383" width="9" style="728" customWidth="1"/>
    <col min="5384" max="5384" width="11.54296875" style="728" customWidth="1"/>
    <col min="5385" max="5385" width="12.6328125" style="728" customWidth="1"/>
    <col min="5386" max="5386" width="13.6328125" style="728" customWidth="1"/>
    <col min="5387" max="5632" width="9.6328125" style="728"/>
    <col min="5633" max="5633" width="7.6328125" style="728" customWidth="1"/>
    <col min="5634" max="5634" width="32.90625" style="728" customWidth="1"/>
    <col min="5635" max="5635" width="9.1796875" style="728" customWidth="1"/>
    <col min="5636" max="5636" width="6.54296875" style="728" customWidth="1"/>
    <col min="5637" max="5637" width="7.90625" style="728" customWidth="1"/>
    <col min="5638" max="5638" width="8.08984375" style="728" customWidth="1"/>
    <col min="5639" max="5639" width="9" style="728" customWidth="1"/>
    <col min="5640" max="5640" width="11.54296875" style="728" customWidth="1"/>
    <col min="5641" max="5641" width="12.6328125" style="728" customWidth="1"/>
    <col min="5642" max="5642" width="13.6328125" style="728" customWidth="1"/>
    <col min="5643" max="5888" width="9.6328125" style="728"/>
    <col min="5889" max="5889" width="7.6328125" style="728" customWidth="1"/>
    <col min="5890" max="5890" width="32.90625" style="728" customWidth="1"/>
    <col min="5891" max="5891" width="9.1796875" style="728" customWidth="1"/>
    <col min="5892" max="5892" width="6.54296875" style="728" customWidth="1"/>
    <col min="5893" max="5893" width="7.90625" style="728" customWidth="1"/>
    <col min="5894" max="5894" width="8.08984375" style="728" customWidth="1"/>
    <col min="5895" max="5895" width="9" style="728" customWidth="1"/>
    <col min="5896" max="5896" width="11.54296875" style="728" customWidth="1"/>
    <col min="5897" max="5897" width="12.6328125" style="728" customWidth="1"/>
    <col min="5898" max="5898" width="13.6328125" style="728" customWidth="1"/>
    <col min="5899" max="6144" width="9.6328125" style="728"/>
    <col min="6145" max="6145" width="7.6328125" style="728" customWidth="1"/>
    <col min="6146" max="6146" width="32.90625" style="728" customWidth="1"/>
    <col min="6147" max="6147" width="9.1796875" style="728" customWidth="1"/>
    <col min="6148" max="6148" width="6.54296875" style="728" customWidth="1"/>
    <col min="6149" max="6149" width="7.90625" style="728" customWidth="1"/>
    <col min="6150" max="6150" width="8.08984375" style="728" customWidth="1"/>
    <col min="6151" max="6151" width="9" style="728" customWidth="1"/>
    <col min="6152" max="6152" width="11.54296875" style="728" customWidth="1"/>
    <col min="6153" max="6153" width="12.6328125" style="728" customWidth="1"/>
    <col min="6154" max="6154" width="13.6328125" style="728" customWidth="1"/>
    <col min="6155" max="6400" width="9.6328125" style="728"/>
    <col min="6401" max="6401" width="7.6328125" style="728" customWidth="1"/>
    <col min="6402" max="6402" width="32.90625" style="728" customWidth="1"/>
    <col min="6403" max="6403" width="9.1796875" style="728" customWidth="1"/>
    <col min="6404" max="6404" width="6.54296875" style="728" customWidth="1"/>
    <col min="6405" max="6405" width="7.90625" style="728" customWidth="1"/>
    <col min="6406" max="6406" width="8.08984375" style="728" customWidth="1"/>
    <col min="6407" max="6407" width="9" style="728" customWidth="1"/>
    <col min="6408" max="6408" width="11.54296875" style="728" customWidth="1"/>
    <col min="6409" max="6409" width="12.6328125" style="728" customWidth="1"/>
    <col min="6410" max="6410" width="13.6328125" style="728" customWidth="1"/>
    <col min="6411" max="6656" width="9.6328125" style="728"/>
    <col min="6657" max="6657" width="7.6328125" style="728" customWidth="1"/>
    <col min="6658" max="6658" width="32.90625" style="728" customWidth="1"/>
    <col min="6659" max="6659" width="9.1796875" style="728" customWidth="1"/>
    <col min="6660" max="6660" width="6.54296875" style="728" customWidth="1"/>
    <col min="6661" max="6661" width="7.90625" style="728" customWidth="1"/>
    <col min="6662" max="6662" width="8.08984375" style="728" customWidth="1"/>
    <col min="6663" max="6663" width="9" style="728" customWidth="1"/>
    <col min="6664" max="6664" width="11.54296875" style="728" customWidth="1"/>
    <col min="6665" max="6665" width="12.6328125" style="728" customWidth="1"/>
    <col min="6666" max="6666" width="13.6328125" style="728" customWidth="1"/>
    <col min="6667" max="6912" width="9.6328125" style="728"/>
    <col min="6913" max="6913" width="7.6328125" style="728" customWidth="1"/>
    <col min="6914" max="6914" width="32.90625" style="728" customWidth="1"/>
    <col min="6915" max="6915" width="9.1796875" style="728" customWidth="1"/>
    <col min="6916" max="6916" width="6.54296875" style="728" customWidth="1"/>
    <col min="6917" max="6917" width="7.90625" style="728" customWidth="1"/>
    <col min="6918" max="6918" width="8.08984375" style="728" customWidth="1"/>
    <col min="6919" max="6919" width="9" style="728" customWidth="1"/>
    <col min="6920" max="6920" width="11.54296875" style="728" customWidth="1"/>
    <col min="6921" max="6921" width="12.6328125" style="728" customWidth="1"/>
    <col min="6922" max="6922" width="13.6328125" style="728" customWidth="1"/>
    <col min="6923" max="7168" width="9.6328125" style="728"/>
    <col min="7169" max="7169" width="7.6328125" style="728" customWidth="1"/>
    <col min="7170" max="7170" width="32.90625" style="728" customWidth="1"/>
    <col min="7171" max="7171" width="9.1796875" style="728" customWidth="1"/>
    <col min="7172" max="7172" width="6.54296875" style="728" customWidth="1"/>
    <col min="7173" max="7173" width="7.90625" style="728" customWidth="1"/>
    <col min="7174" max="7174" width="8.08984375" style="728" customWidth="1"/>
    <col min="7175" max="7175" width="9" style="728" customWidth="1"/>
    <col min="7176" max="7176" width="11.54296875" style="728" customWidth="1"/>
    <col min="7177" max="7177" width="12.6328125" style="728" customWidth="1"/>
    <col min="7178" max="7178" width="13.6328125" style="728" customWidth="1"/>
    <col min="7179" max="7424" width="9.6328125" style="728"/>
    <col min="7425" max="7425" width="7.6328125" style="728" customWidth="1"/>
    <col min="7426" max="7426" width="32.90625" style="728" customWidth="1"/>
    <col min="7427" max="7427" width="9.1796875" style="728" customWidth="1"/>
    <col min="7428" max="7428" width="6.54296875" style="728" customWidth="1"/>
    <col min="7429" max="7429" width="7.90625" style="728" customWidth="1"/>
    <col min="7430" max="7430" width="8.08984375" style="728" customWidth="1"/>
    <col min="7431" max="7431" width="9" style="728" customWidth="1"/>
    <col min="7432" max="7432" width="11.54296875" style="728" customWidth="1"/>
    <col min="7433" max="7433" width="12.6328125" style="728" customWidth="1"/>
    <col min="7434" max="7434" width="13.6328125" style="728" customWidth="1"/>
    <col min="7435" max="7680" width="9.6328125" style="728"/>
    <col min="7681" max="7681" width="7.6328125" style="728" customWidth="1"/>
    <col min="7682" max="7682" width="32.90625" style="728" customWidth="1"/>
    <col min="7683" max="7683" width="9.1796875" style="728" customWidth="1"/>
    <col min="7684" max="7684" width="6.54296875" style="728" customWidth="1"/>
    <col min="7685" max="7685" width="7.90625" style="728" customWidth="1"/>
    <col min="7686" max="7686" width="8.08984375" style="728" customWidth="1"/>
    <col min="7687" max="7687" width="9" style="728" customWidth="1"/>
    <col min="7688" max="7688" width="11.54296875" style="728" customWidth="1"/>
    <col min="7689" max="7689" width="12.6328125" style="728" customWidth="1"/>
    <col min="7690" max="7690" width="13.6328125" style="728" customWidth="1"/>
    <col min="7691" max="7936" width="9.6328125" style="728"/>
    <col min="7937" max="7937" width="7.6328125" style="728" customWidth="1"/>
    <col min="7938" max="7938" width="32.90625" style="728" customWidth="1"/>
    <col min="7939" max="7939" width="9.1796875" style="728" customWidth="1"/>
    <col min="7940" max="7940" width="6.54296875" style="728" customWidth="1"/>
    <col min="7941" max="7941" width="7.90625" style="728" customWidth="1"/>
    <col min="7942" max="7942" width="8.08984375" style="728" customWidth="1"/>
    <col min="7943" max="7943" width="9" style="728" customWidth="1"/>
    <col min="7944" max="7944" width="11.54296875" style="728" customWidth="1"/>
    <col min="7945" max="7945" width="12.6328125" style="728" customWidth="1"/>
    <col min="7946" max="7946" width="13.6328125" style="728" customWidth="1"/>
    <col min="7947" max="8192" width="9.6328125" style="728"/>
    <col min="8193" max="8193" width="7.6328125" style="728" customWidth="1"/>
    <col min="8194" max="8194" width="32.90625" style="728" customWidth="1"/>
    <col min="8195" max="8195" width="9.1796875" style="728" customWidth="1"/>
    <col min="8196" max="8196" width="6.54296875" style="728" customWidth="1"/>
    <col min="8197" max="8197" width="7.90625" style="728" customWidth="1"/>
    <col min="8198" max="8198" width="8.08984375" style="728" customWidth="1"/>
    <col min="8199" max="8199" width="9" style="728" customWidth="1"/>
    <col min="8200" max="8200" width="11.54296875" style="728" customWidth="1"/>
    <col min="8201" max="8201" width="12.6328125" style="728" customWidth="1"/>
    <col min="8202" max="8202" width="13.6328125" style="728" customWidth="1"/>
    <col min="8203" max="8448" width="9.6328125" style="728"/>
    <col min="8449" max="8449" width="7.6328125" style="728" customWidth="1"/>
    <col min="8450" max="8450" width="32.90625" style="728" customWidth="1"/>
    <col min="8451" max="8451" width="9.1796875" style="728" customWidth="1"/>
    <col min="8452" max="8452" width="6.54296875" style="728" customWidth="1"/>
    <col min="8453" max="8453" width="7.90625" style="728" customWidth="1"/>
    <col min="8454" max="8454" width="8.08984375" style="728" customWidth="1"/>
    <col min="8455" max="8455" width="9" style="728" customWidth="1"/>
    <col min="8456" max="8456" width="11.54296875" style="728" customWidth="1"/>
    <col min="8457" max="8457" width="12.6328125" style="728" customWidth="1"/>
    <col min="8458" max="8458" width="13.6328125" style="728" customWidth="1"/>
    <col min="8459" max="8704" width="9.6328125" style="728"/>
    <col min="8705" max="8705" width="7.6328125" style="728" customWidth="1"/>
    <col min="8706" max="8706" width="32.90625" style="728" customWidth="1"/>
    <col min="8707" max="8707" width="9.1796875" style="728" customWidth="1"/>
    <col min="8708" max="8708" width="6.54296875" style="728" customWidth="1"/>
    <col min="8709" max="8709" width="7.90625" style="728" customWidth="1"/>
    <col min="8710" max="8710" width="8.08984375" style="728" customWidth="1"/>
    <col min="8711" max="8711" width="9" style="728" customWidth="1"/>
    <col min="8712" max="8712" width="11.54296875" style="728" customWidth="1"/>
    <col min="8713" max="8713" width="12.6328125" style="728" customWidth="1"/>
    <col min="8714" max="8714" width="13.6328125" style="728" customWidth="1"/>
    <col min="8715" max="8960" width="9.6328125" style="728"/>
    <col min="8961" max="8961" width="7.6328125" style="728" customWidth="1"/>
    <col min="8962" max="8962" width="32.90625" style="728" customWidth="1"/>
    <col min="8963" max="8963" width="9.1796875" style="728" customWidth="1"/>
    <col min="8964" max="8964" width="6.54296875" style="728" customWidth="1"/>
    <col min="8965" max="8965" width="7.90625" style="728" customWidth="1"/>
    <col min="8966" max="8966" width="8.08984375" style="728" customWidth="1"/>
    <col min="8967" max="8967" width="9" style="728" customWidth="1"/>
    <col min="8968" max="8968" width="11.54296875" style="728" customWidth="1"/>
    <col min="8969" max="8969" width="12.6328125" style="728" customWidth="1"/>
    <col min="8970" max="8970" width="13.6328125" style="728" customWidth="1"/>
    <col min="8971" max="9216" width="9.6328125" style="728"/>
    <col min="9217" max="9217" width="7.6328125" style="728" customWidth="1"/>
    <col min="9218" max="9218" width="32.90625" style="728" customWidth="1"/>
    <col min="9219" max="9219" width="9.1796875" style="728" customWidth="1"/>
    <col min="9220" max="9220" width="6.54296875" style="728" customWidth="1"/>
    <col min="9221" max="9221" width="7.90625" style="728" customWidth="1"/>
    <col min="9222" max="9222" width="8.08984375" style="728" customWidth="1"/>
    <col min="9223" max="9223" width="9" style="728" customWidth="1"/>
    <col min="9224" max="9224" width="11.54296875" style="728" customWidth="1"/>
    <col min="9225" max="9225" width="12.6328125" style="728" customWidth="1"/>
    <col min="9226" max="9226" width="13.6328125" style="728" customWidth="1"/>
    <col min="9227" max="9472" width="9.6328125" style="728"/>
    <col min="9473" max="9473" width="7.6328125" style="728" customWidth="1"/>
    <col min="9474" max="9474" width="32.90625" style="728" customWidth="1"/>
    <col min="9475" max="9475" width="9.1796875" style="728" customWidth="1"/>
    <col min="9476" max="9476" width="6.54296875" style="728" customWidth="1"/>
    <col min="9477" max="9477" width="7.90625" style="728" customWidth="1"/>
    <col min="9478" max="9478" width="8.08984375" style="728" customWidth="1"/>
    <col min="9479" max="9479" width="9" style="728" customWidth="1"/>
    <col min="9480" max="9480" width="11.54296875" style="728" customWidth="1"/>
    <col min="9481" max="9481" width="12.6328125" style="728" customWidth="1"/>
    <col min="9482" max="9482" width="13.6328125" style="728" customWidth="1"/>
    <col min="9483" max="9728" width="9.6328125" style="728"/>
    <col min="9729" max="9729" width="7.6328125" style="728" customWidth="1"/>
    <col min="9730" max="9730" width="32.90625" style="728" customWidth="1"/>
    <col min="9731" max="9731" width="9.1796875" style="728" customWidth="1"/>
    <col min="9732" max="9732" width="6.54296875" style="728" customWidth="1"/>
    <col min="9733" max="9733" width="7.90625" style="728" customWidth="1"/>
    <col min="9734" max="9734" width="8.08984375" style="728" customWidth="1"/>
    <col min="9735" max="9735" width="9" style="728" customWidth="1"/>
    <col min="9736" max="9736" width="11.54296875" style="728" customWidth="1"/>
    <col min="9737" max="9737" width="12.6328125" style="728" customWidth="1"/>
    <col min="9738" max="9738" width="13.6328125" style="728" customWidth="1"/>
    <col min="9739" max="9984" width="9.6328125" style="728"/>
    <col min="9985" max="9985" width="7.6328125" style="728" customWidth="1"/>
    <col min="9986" max="9986" width="32.90625" style="728" customWidth="1"/>
    <col min="9987" max="9987" width="9.1796875" style="728" customWidth="1"/>
    <col min="9988" max="9988" width="6.54296875" style="728" customWidth="1"/>
    <col min="9989" max="9989" width="7.90625" style="728" customWidth="1"/>
    <col min="9990" max="9990" width="8.08984375" style="728" customWidth="1"/>
    <col min="9991" max="9991" width="9" style="728" customWidth="1"/>
    <col min="9992" max="9992" width="11.54296875" style="728" customWidth="1"/>
    <col min="9993" max="9993" width="12.6328125" style="728" customWidth="1"/>
    <col min="9994" max="9994" width="13.6328125" style="728" customWidth="1"/>
    <col min="9995" max="10240" width="9.6328125" style="728"/>
    <col min="10241" max="10241" width="7.6328125" style="728" customWidth="1"/>
    <col min="10242" max="10242" width="32.90625" style="728" customWidth="1"/>
    <col min="10243" max="10243" width="9.1796875" style="728" customWidth="1"/>
    <col min="10244" max="10244" width="6.54296875" style="728" customWidth="1"/>
    <col min="10245" max="10245" width="7.90625" style="728" customWidth="1"/>
    <col min="10246" max="10246" width="8.08984375" style="728" customWidth="1"/>
    <col min="10247" max="10247" width="9" style="728" customWidth="1"/>
    <col min="10248" max="10248" width="11.54296875" style="728" customWidth="1"/>
    <col min="10249" max="10249" width="12.6328125" style="728" customWidth="1"/>
    <col min="10250" max="10250" width="13.6328125" style="728" customWidth="1"/>
    <col min="10251" max="10496" width="9.6328125" style="728"/>
    <col min="10497" max="10497" width="7.6328125" style="728" customWidth="1"/>
    <col min="10498" max="10498" width="32.90625" style="728" customWidth="1"/>
    <col min="10499" max="10499" width="9.1796875" style="728" customWidth="1"/>
    <col min="10500" max="10500" width="6.54296875" style="728" customWidth="1"/>
    <col min="10501" max="10501" width="7.90625" style="728" customWidth="1"/>
    <col min="10502" max="10502" width="8.08984375" style="728" customWidth="1"/>
    <col min="10503" max="10503" width="9" style="728" customWidth="1"/>
    <col min="10504" max="10504" width="11.54296875" style="728" customWidth="1"/>
    <col min="10505" max="10505" width="12.6328125" style="728" customWidth="1"/>
    <col min="10506" max="10506" width="13.6328125" style="728" customWidth="1"/>
    <col min="10507" max="10752" width="9.6328125" style="728"/>
    <col min="10753" max="10753" width="7.6328125" style="728" customWidth="1"/>
    <col min="10754" max="10754" width="32.90625" style="728" customWidth="1"/>
    <col min="10755" max="10755" width="9.1796875" style="728" customWidth="1"/>
    <col min="10756" max="10756" width="6.54296875" style="728" customWidth="1"/>
    <col min="10757" max="10757" width="7.90625" style="728" customWidth="1"/>
    <col min="10758" max="10758" width="8.08984375" style="728" customWidth="1"/>
    <col min="10759" max="10759" width="9" style="728" customWidth="1"/>
    <col min="10760" max="10760" width="11.54296875" style="728" customWidth="1"/>
    <col min="10761" max="10761" width="12.6328125" style="728" customWidth="1"/>
    <col min="10762" max="10762" width="13.6328125" style="728" customWidth="1"/>
    <col min="10763" max="11008" width="9.6328125" style="728"/>
    <col min="11009" max="11009" width="7.6328125" style="728" customWidth="1"/>
    <col min="11010" max="11010" width="32.90625" style="728" customWidth="1"/>
    <col min="11011" max="11011" width="9.1796875" style="728" customWidth="1"/>
    <col min="11012" max="11012" width="6.54296875" style="728" customWidth="1"/>
    <col min="11013" max="11013" width="7.90625" style="728" customWidth="1"/>
    <col min="11014" max="11014" width="8.08984375" style="728" customWidth="1"/>
    <col min="11015" max="11015" width="9" style="728" customWidth="1"/>
    <col min="11016" max="11016" width="11.54296875" style="728" customWidth="1"/>
    <col min="11017" max="11017" width="12.6328125" style="728" customWidth="1"/>
    <col min="11018" max="11018" width="13.6328125" style="728" customWidth="1"/>
    <col min="11019" max="11264" width="9.6328125" style="728"/>
    <col min="11265" max="11265" width="7.6328125" style="728" customWidth="1"/>
    <col min="11266" max="11266" width="32.90625" style="728" customWidth="1"/>
    <col min="11267" max="11267" width="9.1796875" style="728" customWidth="1"/>
    <col min="11268" max="11268" width="6.54296875" style="728" customWidth="1"/>
    <col min="11269" max="11269" width="7.90625" style="728" customWidth="1"/>
    <col min="11270" max="11270" width="8.08984375" style="728" customWidth="1"/>
    <col min="11271" max="11271" width="9" style="728" customWidth="1"/>
    <col min="11272" max="11272" width="11.54296875" style="728" customWidth="1"/>
    <col min="11273" max="11273" width="12.6328125" style="728" customWidth="1"/>
    <col min="11274" max="11274" width="13.6328125" style="728" customWidth="1"/>
    <col min="11275" max="11520" width="9.6328125" style="728"/>
    <col min="11521" max="11521" width="7.6328125" style="728" customWidth="1"/>
    <col min="11522" max="11522" width="32.90625" style="728" customWidth="1"/>
    <col min="11523" max="11523" width="9.1796875" style="728" customWidth="1"/>
    <col min="11524" max="11524" width="6.54296875" style="728" customWidth="1"/>
    <col min="11525" max="11525" width="7.90625" style="728" customWidth="1"/>
    <col min="11526" max="11526" width="8.08984375" style="728" customWidth="1"/>
    <col min="11527" max="11527" width="9" style="728" customWidth="1"/>
    <col min="11528" max="11528" width="11.54296875" style="728" customWidth="1"/>
    <col min="11529" max="11529" width="12.6328125" style="728" customWidth="1"/>
    <col min="11530" max="11530" width="13.6328125" style="728" customWidth="1"/>
    <col min="11531" max="11776" width="9.6328125" style="728"/>
    <col min="11777" max="11777" width="7.6328125" style="728" customWidth="1"/>
    <col min="11778" max="11778" width="32.90625" style="728" customWidth="1"/>
    <col min="11779" max="11779" width="9.1796875" style="728" customWidth="1"/>
    <col min="11780" max="11780" width="6.54296875" style="728" customWidth="1"/>
    <col min="11781" max="11781" width="7.90625" style="728" customWidth="1"/>
    <col min="11782" max="11782" width="8.08984375" style="728" customWidth="1"/>
    <col min="11783" max="11783" width="9" style="728" customWidth="1"/>
    <col min="11784" max="11784" width="11.54296875" style="728" customWidth="1"/>
    <col min="11785" max="11785" width="12.6328125" style="728" customWidth="1"/>
    <col min="11786" max="11786" width="13.6328125" style="728" customWidth="1"/>
    <col min="11787" max="12032" width="9.6328125" style="728"/>
    <col min="12033" max="12033" width="7.6328125" style="728" customWidth="1"/>
    <col min="12034" max="12034" width="32.90625" style="728" customWidth="1"/>
    <col min="12035" max="12035" width="9.1796875" style="728" customWidth="1"/>
    <col min="12036" max="12036" width="6.54296875" style="728" customWidth="1"/>
    <col min="12037" max="12037" width="7.90625" style="728" customWidth="1"/>
    <col min="12038" max="12038" width="8.08984375" style="728" customWidth="1"/>
    <col min="12039" max="12039" width="9" style="728" customWidth="1"/>
    <col min="12040" max="12040" width="11.54296875" style="728" customWidth="1"/>
    <col min="12041" max="12041" width="12.6328125" style="728" customWidth="1"/>
    <col min="12042" max="12042" width="13.6328125" style="728" customWidth="1"/>
    <col min="12043" max="12288" width="9.6328125" style="728"/>
    <col min="12289" max="12289" width="7.6328125" style="728" customWidth="1"/>
    <col min="12290" max="12290" width="32.90625" style="728" customWidth="1"/>
    <col min="12291" max="12291" width="9.1796875" style="728" customWidth="1"/>
    <col min="12292" max="12292" width="6.54296875" style="728" customWidth="1"/>
    <col min="12293" max="12293" width="7.90625" style="728" customWidth="1"/>
    <col min="12294" max="12294" width="8.08984375" style="728" customWidth="1"/>
    <col min="12295" max="12295" width="9" style="728" customWidth="1"/>
    <col min="12296" max="12296" width="11.54296875" style="728" customWidth="1"/>
    <col min="12297" max="12297" width="12.6328125" style="728" customWidth="1"/>
    <col min="12298" max="12298" width="13.6328125" style="728" customWidth="1"/>
    <col min="12299" max="12544" width="9.6328125" style="728"/>
    <col min="12545" max="12545" width="7.6328125" style="728" customWidth="1"/>
    <col min="12546" max="12546" width="32.90625" style="728" customWidth="1"/>
    <col min="12547" max="12547" width="9.1796875" style="728" customWidth="1"/>
    <col min="12548" max="12548" width="6.54296875" style="728" customWidth="1"/>
    <col min="12549" max="12549" width="7.90625" style="728" customWidth="1"/>
    <col min="12550" max="12550" width="8.08984375" style="728" customWidth="1"/>
    <col min="12551" max="12551" width="9" style="728" customWidth="1"/>
    <col min="12552" max="12552" width="11.54296875" style="728" customWidth="1"/>
    <col min="12553" max="12553" width="12.6328125" style="728" customWidth="1"/>
    <col min="12554" max="12554" width="13.6328125" style="728" customWidth="1"/>
    <col min="12555" max="12800" width="9.6328125" style="728"/>
    <col min="12801" max="12801" width="7.6328125" style="728" customWidth="1"/>
    <col min="12802" max="12802" width="32.90625" style="728" customWidth="1"/>
    <col min="12803" max="12803" width="9.1796875" style="728" customWidth="1"/>
    <col min="12804" max="12804" width="6.54296875" style="728" customWidth="1"/>
    <col min="12805" max="12805" width="7.90625" style="728" customWidth="1"/>
    <col min="12806" max="12806" width="8.08984375" style="728" customWidth="1"/>
    <col min="12807" max="12807" width="9" style="728" customWidth="1"/>
    <col min="12808" max="12808" width="11.54296875" style="728" customWidth="1"/>
    <col min="12809" max="12809" width="12.6328125" style="728" customWidth="1"/>
    <col min="12810" max="12810" width="13.6328125" style="728" customWidth="1"/>
    <col min="12811" max="13056" width="9.6328125" style="728"/>
    <col min="13057" max="13057" width="7.6328125" style="728" customWidth="1"/>
    <col min="13058" max="13058" width="32.90625" style="728" customWidth="1"/>
    <col min="13059" max="13059" width="9.1796875" style="728" customWidth="1"/>
    <col min="13060" max="13060" width="6.54296875" style="728" customWidth="1"/>
    <col min="13061" max="13061" width="7.90625" style="728" customWidth="1"/>
    <col min="13062" max="13062" width="8.08984375" style="728" customWidth="1"/>
    <col min="13063" max="13063" width="9" style="728" customWidth="1"/>
    <col min="13064" max="13064" width="11.54296875" style="728" customWidth="1"/>
    <col min="13065" max="13065" width="12.6328125" style="728" customWidth="1"/>
    <col min="13066" max="13066" width="13.6328125" style="728" customWidth="1"/>
    <col min="13067" max="13312" width="9.6328125" style="728"/>
    <col min="13313" max="13313" width="7.6328125" style="728" customWidth="1"/>
    <col min="13314" max="13314" width="32.90625" style="728" customWidth="1"/>
    <col min="13315" max="13315" width="9.1796875" style="728" customWidth="1"/>
    <col min="13316" max="13316" width="6.54296875" style="728" customWidth="1"/>
    <col min="13317" max="13317" width="7.90625" style="728" customWidth="1"/>
    <col min="13318" max="13318" width="8.08984375" style="728" customWidth="1"/>
    <col min="13319" max="13319" width="9" style="728" customWidth="1"/>
    <col min="13320" max="13320" width="11.54296875" style="728" customWidth="1"/>
    <col min="13321" max="13321" width="12.6328125" style="728" customWidth="1"/>
    <col min="13322" max="13322" width="13.6328125" style="728" customWidth="1"/>
    <col min="13323" max="13568" width="9.6328125" style="728"/>
    <col min="13569" max="13569" width="7.6328125" style="728" customWidth="1"/>
    <col min="13570" max="13570" width="32.90625" style="728" customWidth="1"/>
    <col min="13571" max="13571" width="9.1796875" style="728" customWidth="1"/>
    <col min="13572" max="13572" width="6.54296875" style="728" customWidth="1"/>
    <col min="13573" max="13573" width="7.90625" style="728" customWidth="1"/>
    <col min="13574" max="13574" width="8.08984375" style="728" customWidth="1"/>
    <col min="13575" max="13575" width="9" style="728" customWidth="1"/>
    <col min="13576" max="13576" width="11.54296875" style="728" customWidth="1"/>
    <col min="13577" max="13577" width="12.6328125" style="728" customWidth="1"/>
    <col min="13578" max="13578" width="13.6328125" style="728" customWidth="1"/>
    <col min="13579" max="13824" width="9.6328125" style="728"/>
    <col min="13825" max="13825" width="7.6328125" style="728" customWidth="1"/>
    <col min="13826" max="13826" width="32.90625" style="728" customWidth="1"/>
    <col min="13827" max="13827" width="9.1796875" style="728" customWidth="1"/>
    <col min="13828" max="13828" width="6.54296875" style="728" customWidth="1"/>
    <col min="13829" max="13829" width="7.90625" style="728" customWidth="1"/>
    <col min="13830" max="13830" width="8.08984375" style="728" customWidth="1"/>
    <col min="13831" max="13831" width="9" style="728" customWidth="1"/>
    <col min="13832" max="13832" width="11.54296875" style="728" customWidth="1"/>
    <col min="13833" max="13833" width="12.6328125" style="728" customWidth="1"/>
    <col min="13834" max="13834" width="13.6328125" style="728" customWidth="1"/>
    <col min="13835" max="14080" width="9.6328125" style="728"/>
    <col min="14081" max="14081" width="7.6328125" style="728" customWidth="1"/>
    <col min="14082" max="14082" width="32.90625" style="728" customWidth="1"/>
    <col min="14083" max="14083" width="9.1796875" style="728" customWidth="1"/>
    <col min="14084" max="14084" width="6.54296875" style="728" customWidth="1"/>
    <col min="14085" max="14085" width="7.90625" style="728" customWidth="1"/>
    <col min="14086" max="14086" width="8.08984375" style="728" customWidth="1"/>
    <col min="14087" max="14087" width="9" style="728" customWidth="1"/>
    <col min="14088" max="14088" width="11.54296875" style="728" customWidth="1"/>
    <col min="14089" max="14089" width="12.6328125" style="728" customWidth="1"/>
    <col min="14090" max="14090" width="13.6328125" style="728" customWidth="1"/>
    <col min="14091" max="14336" width="9.6328125" style="728"/>
    <col min="14337" max="14337" width="7.6328125" style="728" customWidth="1"/>
    <col min="14338" max="14338" width="32.90625" style="728" customWidth="1"/>
    <col min="14339" max="14339" width="9.1796875" style="728" customWidth="1"/>
    <col min="14340" max="14340" width="6.54296875" style="728" customWidth="1"/>
    <col min="14341" max="14341" width="7.90625" style="728" customWidth="1"/>
    <col min="14342" max="14342" width="8.08984375" style="728" customWidth="1"/>
    <col min="14343" max="14343" width="9" style="728" customWidth="1"/>
    <col min="14344" max="14344" width="11.54296875" style="728" customWidth="1"/>
    <col min="14345" max="14345" width="12.6328125" style="728" customWidth="1"/>
    <col min="14346" max="14346" width="13.6328125" style="728" customWidth="1"/>
    <col min="14347" max="14592" width="9.6328125" style="728"/>
    <col min="14593" max="14593" width="7.6328125" style="728" customWidth="1"/>
    <col min="14594" max="14594" width="32.90625" style="728" customWidth="1"/>
    <col min="14595" max="14595" width="9.1796875" style="728" customWidth="1"/>
    <col min="14596" max="14596" width="6.54296875" style="728" customWidth="1"/>
    <col min="14597" max="14597" width="7.90625" style="728" customWidth="1"/>
    <col min="14598" max="14598" width="8.08984375" style="728" customWidth="1"/>
    <col min="14599" max="14599" width="9" style="728" customWidth="1"/>
    <col min="14600" max="14600" width="11.54296875" style="728" customWidth="1"/>
    <col min="14601" max="14601" width="12.6328125" style="728" customWidth="1"/>
    <col min="14602" max="14602" width="13.6328125" style="728" customWidth="1"/>
    <col min="14603" max="14848" width="9.6328125" style="728"/>
    <col min="14849" max="14849" width="7.6328125" style="728" customWidth="1"/>
    <col min="14850" max="14850" width="32.90625" style="728" customWidth="1"/>
    <col min="14851" max="14851" width="9.1796875" style="728" customWidth="1"/>
    <col min="14852" max="14852" width="6.54296875" style="728" customWidth="1"/>
    <col min="14853" max="14853" width="7.90625" style="728" customWidth="1"/>
    <col min="14854" max="14854" width="8.08984375" style="728" customWidth="1"/>
    <col min="14855" max="14855" width="9" style="728" customWidth="1"/>
    <col min="14856" max="14856" width="11.54296875" style="728" customWidth="1"/>
    <col min="14857" max="14857" width="12.6328125" style="728" customWidth="1"/>
    <col min="14858" max="14858" width="13.6328125" style="728" customWidth="1"/>
    <col min="14859" max="15104" width="9.6328125" style="728"/>
    <col min="15105" max="15105" width="7.6328125" style="728" customWidth="1"/>
    <col min="15106" max="15106" width="32.90625" style="728" customWidth="1"/>
    <col min="15107" max="15107" width="9.1796875" style="728" customWidth="1"/>
    <col min="15108" max="15108" width="6.54296875" style="728" customWidth="1"/>
    <col min="15109" max="15109" width="7.90625" style="728" customWidth="1"/>
    <col min="15110" max="15110" width="8.08984375" style="728" customWidth="1"/>
    <col min="15111" max="15111" width="9" style="728" customWidth="1"/>
    <col min="15112" max="15112" width="11.54296875" style="728" customWidth="1"/>
    <col min="15113" max="15113" width="12.6328125" style="728" customWidth="1"/>
    <col min="15114" max="15114" width="13.6328125" style="728" customWidth="1"/>
    <col min="15115" max="15360" width="9.6328125" style="728"/>
    <col min="15361" max="15361" width="7.6328125" style="728" customWidth="1"/>
    <col min="15362" max="15362" width="32.90625" style="728" customWidth="1"/>
    <col min="15363" max="15363" width="9.1796875" style="728" customWidth="1"/>
    <col min="15364" max="15364" width="6.54296875" style="728" customWidth="1"/>
    <col min="15365" max="15365" width="7.90625" style="728" customWidth="1"/>
    <col min="15366" max="15366" width="8.08984375" style="728" customWidth="1"/>
    <col min="15367" max="15367" width="9" style="728" customWidth="1"/>
    <col min="15368" max="15368" width="11.54296875" style="728" customWidth="1"/>
    <col min="15369" max="15369" width="12.6328125" style="728" customWidth="1"/>
    <col min="15370" max="15370" width="13.6328125" style="728" customWidth="1"/>
    <col min="15371" max="15616" width="9.6328125" style="728"/>
    <col min="15617" max="15617" width="7.6328125" style="728" customWidth="1"/>
    <col min="15618" max="15618" width="32.90625" style="728" customWidth="1"/>
    <col min="15619" max="15619" width="9.1796875" style="728" customWidth="1"/>
    <col min="15620" max="15620" width="6.54296875" style="728" customWidth="1"/>
    <col min="15621" max="15621" width="7.90625" style="728" customWidth="1"/>
    <col min="15622" max="15622" width="8.08984375" style="728" customWidth="1"/>
    <col min="15623" max="15623" width="9" style="728" customWidth="1"/>
    <col min="15624" max="15624" width="11.54296875" style="728" customWidth="1"/>
    <col min="15625" max="15625" width="12.6328125" style="728" customWidth="1"/>
    <col min="15626" max="15626" width="13.6328125" style="728" customWidth="1"/>
    <col min="15627" max="15872" width="9.6328125" style="728"/>
    <col min="15873" max="15873" width="7.6328125" style="728" customWidth="1"/>
    <col min="15874" max="15874" width="32.90625" style="728" customWidth="1"/>
    <col min="15875" max="15875" width="9.1796875" style="728" customWidth="1"/>
    <col min="15876" max="15876" width="6.54296875" style="728" customWidth="1"/>
    <col min="15877" max="15877" width="7.90625" style="728" customWidth="1"/>
    <col min="15878" max="15878" width="8.08984375" style="728" customWidth="1"/>
    <col min="15879" max="15879" width="9" style="728" customWidth="1"/>
    <col min="15880" max="15880" width="11.54296875" style="728" customWidth="1"/>
    <col min="15881" max="15881" width="12.6328125" style="728" customWidth="1"/>
    <col min="15882" max="15882" width="13.6328125" style="728" customWidth="1"/>
    <col min="15883" max="16128" width="9.6328125" style="728"/>
    <col min="16129" max="16129" width="7.6328125" style="728" customWidth="1"/>
    <col min="16130" max="16130" width="32.90625" style="728" customWidth="1"/>
    <col min="16131" max="16131" width="9.1796875" style="728" customWidth="1"/>
    <col min="16132" max="16132" width="6.54296875" style="728" customWidth="1"/>
    <col min="16133" max="16133" width="7.90625" style="728" customWidth="1"/>
    <col min="16134" max="16134" width="8.08984375" style="728" customWidth="1"/>
    <col min="16135" max="16135" width="9" style="728" customWidth="1"/>
    <col min="16136" max="16136" width="11.54296875" style="728" customWidth="1"/>
    <col min="16137" max="16137" width="12.6328125" style="728" customWidth="1"/>
    <col min="16138" max="16138" width="13.6328125" style="728" customWidth="1"/>
    <col min="16139" max="16384" width="9.6328125" style="728"/>
  </cols>
  <sheetData>
    <row r="1" spans="1:10">
      <c r="A1" s="1010" t="s">
        <v>490</v>
      </c>
      <c r="B1" s="1010"/>
      <c r="C1" s="1010"/>
      <c r="D1" s="1010"/>
      <c r="E1" s="1010"/>
      <c r="F1" s="1010"/>
      <c r="G1" s="1010"/>
      <c r="H1" s="1010"/>
    </row>
    <row r="2" spans="1:10">
      <c r="A2" s="1039" t="s">
        <v>240</v>
      </c>
      <c r="B2" s="1039"/>
      <c r="C2" s="1039"/>
      <c r="D2" s="1039"/>
      <c r="E2" s="1039"/>
      <c r="F2" s="1039"/>
      <c r="G2" s="1039"/>
      <c r="H2" s="1039"/>
    </row>
    <row r="3" spans="1:10">
      <c r="A3" s="1040" t="str">
        <f>+'Attachment H-29A'!D5</f>
        <v>Transource Pennsylvania, LLC</v>
      </c>
      <c r="B3" s="1040"/>
      <c r="C3" s="1040"/>
      <c r="D3" s="1040"/>
      <c r="E3" s="1040"/>
      <c r="F3" s="1040"/>
      <c r="G3" s="1040"/>
      <c r="H3" s="1040"/>
    </row>
    <row r="4" spans="1:10">
      <c r="H4" s="729"/>
    </row>
    <row r="5" spans="1:10">
      <c r="H5" s="729"/>
    </row>
    <row r="7" spans="1:10">
      <c r="A7" s="1038"/>
      <c r="B7" s="1038"/>
      <c r="C7" s="1038"/>
      <c r="D7" s="1038"/>
      <c r="E7" s="1038"/>
      <c r="F7" s="1038"/>
      <c r="G7" s="1038"/>
      <c r="H7" s="1038"/>
    </row>
    <row r="8" spans="1:10">
      <c r="A8" s="1038" t="s">
        <v>415</v>
      </c>
      <c r="B8" s="1038"/>
      <c r="C8" s="1038"/>
      <c r="D8" s="1038"/>
      <c r="E8" s="1038"/>
      <c r="F8" s="1038"/>
      <c r="G8" s="1038"/>
      <c r="H8" s="1038"/>
    </row>
    <row r="9" spans="1:10">
      <c r="A9" s="1038" t="s">
        <v>416</v>
      </c>
      <c r="B9" s="1038"/>
      <c r="C9" s="1038"/>
      <c r="D9" s="1038"/>
      <c r="E9" s="1038"/>
      <c r="F9" s="1038"/>
      <c r="G9" s="1038"/>
      <c r="H9" s="1038"/>
    </row>
    <row r="10" spans="1:10">
      <c r="A10" s="1038" t="s">
        <v>641</v>
      </c>
      <c r="B10" s="1038"/>
      <c r="C10" s="1038"/>
      <c r="D10" s="1038"/>
      <c r="E10" s="1038"/>
      <c r="F10" s="1038"/>
      <c r="G10" s="1038"/>
      <c r="H10" s="1038"/>
    </row>
    <row r="11" spans="1:10">
      <c r="A11" s="730"/>
    </row>
    <row r="12" spans="1:10" ht="73.5" customHeight="1">
      <c r="C12" s="731" t="s">
        <v>335</v>
      </c>
      <c r="D12" s="731" t="s">
        <v>336</v>
      </c>
      <c r="E12" s="731" t="s">
        <v>337</v>
      </c>
      <c r="F12" s="731" t="s">
        <v>338</v>
      </c>
      <c r="G12" s="731" t="s">
        <v>339</v>
      </c>
      <c r="H12" s="731" t="s">
        <v>643</v>
      </c>
    </row>
    <row r="13" spans="1:10">
      <c r="A13" s="732" t="s">
        <v>340</v>
      </c>
    </row>
    <row r="14" spans="1:10">
      <c r="A14" s="732"/>
    </row>
    <row r="15" spans="1:10">
      <c r="A15" s="733" t="s">
        <v>417</v>
      </c>
      <c r="B15" s="728" t="s">
        <v>418</v>
      </c>
      <c r="C15" s="734">
        <v>15</v>
      </c>
      <c r="D15" s="735" t="s">
        <v>359</v>
      </c>
      <c r="E15" s="736">
        <v>0.05</v>
      </c>
      <c r="F15" s="736">
        <v>0.05</v>
      </c>
      <c r="G15" s="736">
        <f>E15-F15</f>
        <v>0</v>
      </c>
      <c r="H15" s="737">
        <f>(1-G15)/C15</f>
        <v>6.6666666666666666E-2</v>
      </c>
    </row>
    <row r="16" spans="1:10">
      <c r="A16" s="728" t="s">
        <v>342</v>
      </c>
      <c r="B16" s="728" t="s">
        <v>343</v>
      </c>
      <c r="C16" s="734">
        <v>62</v>
      </c>
      <c r="D16" s="735" t="s">
        <v>341</v>
      </c>
      <c r="E16" s="736">
        <v>0.05</v>
      </c>
      <c r="F16" s="736">
        <v>0.15</v>
      </c>
      <c r="G16" s="736">
        <f t="shared" ref="G16:G22" si="0">E16-F16</f>
        <v>-9.9999999999999992E-2</v>
      </c>
      <c r="H16" s="737">
        <f t="shared" ref="H16:H22" si="1">(1-G16)/C16</f>
        <v>1.7741935483870968E-2</v>
      </c>
      <c r="I16" s="738"/>
      <c r="J16" s="739"/>
    </row>
    <row r="17" spans="1:10">
      <c r="A17" s="728" t="s">
        <v>344</v>
      </c>
      <c r="B17" s="728" t="s">
        <v>345</v>
      </c>
      <c r="C17" s="734">
        <v>45</v>
      </c>
      <c r="D17" s="740" t="s">
        <v>419</v>
      </c>
      <c r="E17" s="736">
        <v>0.28000000000000003</v>
      </c>
      <c r="F17" s="736">
        <v>0.13</v>
      </c>
      <c r="G17" s="736">
        <f t="shared" si="0"/>
        <v>0.15000000000000002</v>
      </c>
      <c r="H17" s="737">
        <f t="shared" si="1"/>
        <v>1.8888888888888889E-2</v>
      </c>
      <c r="I17" s="738"/>
      <c r="J17" s="739"/>
    </row>
    <row r="18" spans="1:10">
      <c r="A18" s="728" t="s">
        <v>347</v>
      </c>
      <c r="B18" s="728" t="s">
        <v>348</v>
      </c>
      <c r="C18" s="734">
        <v>68</v>
      </c>
      <c r="D18" s="735" t="s">
        <v>353</v>
      </c>
      <c r="E18" s="736">
        <v>0.25</v>
      </c>
      <c r="F18" s="736">
        <v>0.35</v>
      </c>
      <c r="G18" s="736">
        <f t="shared" si="0"/>
        <v>-9.9999999999999978E-2</v>
      </c>
      <c r="H18" s="737">
        <f t="shared" si="1"/>
        <v>1.6176470588235296E-2</v>
      </c>
      <c r="I18" s="738"/>
      <c r="J18" s="739"/>
    </row>
    <row r="19" spans="1:10">
      <c r="A19" s="728" t="s">
        <v>349</v>
      </c>
      <c r="B19" s="728" t="s">
        <v>350</v>
      </c>
      <c r="C19" s="734">
        <v>42</v>
      </c>
      <c r="D19" s="740" t="s">
        <v>420</v>
      </c>
      <c r="E19" s="736">
        <v>0.05</v>
      </c>
      <c r="F19" s="736">
        <v>0.2</v>
      </c>
      <c r="G19" s="736">
        <f t="shared" si="0"/>
        <v>-0.15000000000000002</v>
      </c>
      <c r="H19" s="737">
        <f t="shared" si="1"/>
        <v>2.7380952380952377E-2</v>
      </c>
      <c r="I19" s="738"/>
      <c r="J19" s="739"/>
    </row>
    <row r="20" spans="1:10">
      <c r="A20" s="728" t="s">
        <v>351</v>
      </c>
      <c r="B20" s="728" t="s">
        <v>352</v>
      </c>
      <c r="C20" s="734">
        <v>64</v>
      </c>
      <c r="D20" s="740" t="s">
        <v>353</v>
      </c>
      <c r="E20" s="736">
        <v>0.3</v>
      </c>
      <c r="F20" s="736">
        <v>0.18</v>
      </c>
      <c r="G20" s="736">
        <f t="shared" si="0"/>
        <v>0.12</v>
      </c>
      <c r="H20" s="737">
        <f t="shared" si="1"/>
        <v>1.375E-2</v>
      </c>
      <c r="I20" s="738"/>
      <c r="J20" s="739"/>
    </row>
    <row r="21" spans="1:10">
      <c r="A21" s="741" t="s">
        <v>421</v>
      </c>
      <c r="B21" s="728" t="s">
        <v>422</v>
      </c>
      <c r="C21" s="734">
        <v>50</v>
      </c>
      <c r="D21" s="740" t="s">
        <v>346</v>
      </c>
      <c r="E21" s="736">
        <v>0</v>
      </c>
      <c r="F21" s="736">
        <v>0</v>
      </c>
      <c r="G21" s="736">
        <f t="shared" si="0"/>
        <v>0</v>
      </c>
      <c r="H21" s="737">
        <f t="shared" si="1"/>
        <v>0.02</v>
      </c>
      <c r="I21" s="738"/>
      <c r="J21" s="739"/>
    </row>
    <row r="22" spans="1:10">
      <c r="A22" s="742">
        <v>358</v>
      </c>
      <c r="B22" s="728" t="s">
        <v>354</v>
      </c>
      <c r="C22" s="734">
        <v>20</v>
      </c>
      <c r="D22" s="740" t="s">
        <v>423</v>
      </c>
      <c r="E22" s="736">
        <v>0</v>
      </c>
      <c r="F22" s="736">
        <v>0</v>
      </c>
      <c r="G22" s="736">
        <f t="shared" si="0"/>
        <v>0</v>
      </c>
      <c r="H22" s="737">
        <f t="shared" si="1"/>
        <v>0.05</v>
      </c>
      <c r="I22" s="738"/>
      <c r="J22" s="739"/>
    </row>
    <row r="23" spans="1:10">
      <c r="C23" s="734"/>
      <c r="D23" s="737"/>
      <c r="E23" s="736"/>
      <c r="F23" s="736"/>
      <c r="G23" s="736"/>
      <c r="H23" s="740"/>
      <c r="I23" s="743"/>
      <c r="J23" s="729"/>
    </row>
    <row r="24" spans="1:10" s="744" customFormat="1">
      <c r="A24" s="732" t="s">
        <v>355</v>
      </c>
      <c r="C24" s="745"/>
      <c r="D24" s="746"/>
      <c r="E24" s="747"/>
      <c r="F24" s="747"/>
      <c r="G24" s="747"/>
      <c r="H24" s="748"/>
    </row>
    <row r="25" spans="1:10" s="744" customFormat="1">
      <c r="A25" s="732"/>
      <c r="C25" s="745"/>
      <c r="D25" s="746"/>
      <c r="E25" s="747"/>
      <c r="F25" s="747"/>
      <c r="G25" s="747"/>
      <c r="H25" s="748"/>
    </row>
    <row r="26" spans="1:10">
      <c r="A26" s="728" t="s">
        <v>356</v>
      </c>
      <c r="B26" s="728" t="s">
        <v>343</v>
      </c>
      <c r="C26" s="734">
        <v>42</v>
      </c>
      <c r="D26" s="740" t="s">
        <v>359</v>
      </c>
      <c r="E26" s="736">
        <v>0.36</v>
      </c>
      <c r="F26" s="736">
        <v>0.11</v>
      </c>
      <c r="G26" s="736">
        <f t="shared" ref="G26:G34" si="2">E26-F26</f>
        <v>0.25</v>
      </c>
      <c r="H26" s="737">
        <f t="shared" ref="H26:H34" si="3">(1-G26)/C26</f>
        <v>1.7857142857142856E-2</v>
      </c>
      <c r="I26" s="738"/>
      <c r="J26" s="739"/>
    </row>
    <row r="27" spans="1:10">
      <c r="A27" s="728" t="s">
        <v>357</v>
      </c>
      <c r="B27" s="728" t="s">
        <v>358</v>
      </c>
      <c r="C27" s="734">
        <v>30</v>
      </c>
      <c r="D27" s="740" t="s">
        <v>359</v>
      </c>
      <c r="E27" s="736">
        <v>0</v>
      </c>
      <c r="F27" s="736">
        <v>0</v>
      </c>
      <c r="G27" s="736">
        <f t="shared" si="2"/>
        <v>0</v>
      </c>
      <c r="H27" s="737">
        <f t="shared" si="3"/>
        <v>3.3333333333333333E-2</v>
      </c>
      <c r="I27" s="738"/>
      <c r="J27" s="739"/>
    </row>
    <row r="28" spans="1:10">
      <c r="A28" s="749" t="s">
        <v>360</v>
      </c>
      <c r="B28" s="728" t="s">
        <v>361</v>
      </c>
      <c r="C28" s="734">
        <v>27</v>
      </c>
      <c r="D28" s="735" t="s">
        <v>359</v>
      </c>
      <c r="E28" s="736">
        <v>0</v>
      </c>
      <c r="F28" s="736">
        <v>0</v>
      </c>
      <c r="G28" s="736">
        <f t="shared" si="2"/>
        <v>0</v>
      </c>
      <c r="H28" s="737">
        <f t="shared" si="3"/>
        <v>3.7037037037037035E-2</v>
      </c>
      <c r="I28" s="738"/>
      <c r="J28" s="739"/>
    </row>
    <row r="29" spans="1:10">
      <c r="A29" s="728" t="s">
        <v>362</v>
      </c>
      <c r="B29" s="728" t="s">
        <v>363</v>
      </c>
      <c r="C29" s="734">
        <v>55</v>
      </c>
      <c r="D29" s="735" t="s">
        <v>359</v>
      </c>
      <c r="E29" s="736">
        <v>0</v>
      </c>
      <c r="F29" s="736">
        <v>0</v>
      </c>
      <c r="G29" s="736">
        <f t="shared" si="2"/>
        <v>0</v>
      </c>
      <c r="H29" s="737">
        <f t="shared" si="3"/>
        <v>1.8181818181818181E-2</v>
      </c>
      <c r="I29" s="738"/>
      <c r="J29" s="739"/>
    </row>
    <row r="30" spans="1:10">
      <c r="A30" s="728" t="s">
        <v>364</v>
      </c>
      <c r="B30" s="728" t="s">
        <v>365</v>
      </c>
      <c r="C30" s="734">
        <v>43</v>
      </c>
      <c r="D30" s="735" t="s">
        <v>359</v>
      </c>
      <c r="E30" s="736">
        <v>0</v>
      </c>
      <c r="F30" s="736">
        <v>0.1</v>
      </c>
      <c r="G30" s="736">
        <f t="shared" si="2"/>
        <v>-0.1</v>
      </c>
      <c r="H30" s="737">
        <f t="shared" si="3"/>
        <v>2.5581395348837212E-2</v>
      </c>
      <c r="I30" s="738"/>
      <c r="J30" s="739"/>
    </row>
    <row r="31" spans="1:10">
      <c r="A31" s="728" t="s">
        <v>366</v>
      </c>
      <c r="B31" s="728" t="s">
        <v>367</v>
      </c>
      <c r="C31" s="734">
        <v>37</v>
      </c>
      <c r="D31" s="735" t="s">
        <v>359</v>
      </c>
      <c r="E31" s="736">
        <v>0</v>
      </c>
      <c r="F31" s="736">
        <v>0</v>
      </c>
      <c r="G31" s="736">
        <f t="shared" si="2"/>
        <v>0</v>
      </c>
      <c r="H31" s="737">
        <f t="shared" si="3"/>
        <v>2.7027027027027029E-2</v>
      </c>
      <c r="I31" s="738"/>
      <c r="J31" s="739"/>
    </row>
    <row r="32" spans="1:10">
      <c r="A32" s="749" t="s">
        <v>368</v>
      </c>
      <c r="B32" s="728" t="s">
        <v>369</v>
      </c>
      <c r="C32" s="734">
        <v>25</v>
      </c>
      <c r="D32" s="735" t="s">
        <v>359</v>
      </c>
      <c r="E32" s="736">
        <v>0</v>
      </c>
      <c r="F32" s="736">
        <v>0</v>
      </c>
      <c r="G32" s="736">
        <f t="shared" si="2"/>
        <v>0</v>
      </c>
      <c r="H32" s="737">
        <f t="shared" si="3"/>
        <v>0.04</v>
      </c>
      <c r="I32" s="738"/>
      <c r="J32" s="739"/>
    </row>
    <row r="33" spans="1:10">
      <c r="A33" s="728" t="s">
        <v>370</v>
      </c>
      <c r="B33" s="728" t="s">
        <v>371</v>
      </c>
      <c r="C33" s="734">
        <v>24</v>
      </c>
      <c r="D33" s="735" t="s">
        <v>359</v>
      </c>
      <c r="E33" s="736">
        <v>0</v>
      </c>
      <c r="F33" s="736">
        <v>0.01</v>
      </c>
      <c r="G33" s="736">
        <f t="shared" si="2"/>
        <v>-0.01</v>
      </c>
      <c r="H33" s="737">
        <f t="shared" si="3"/>
        <v>4.2083333333333334E-2</v>
      </c>
      <c r="I33" s="738"/>
      <c r="J33" s="739"/>
    </row>
    <row r="34" spans="1:10">
      <c r="A34" s="728" t="s">
        <v>372</v>
      </c>
      <c r="B34" s="728" t="s">
        <v>373</v>
      </c>
      <c r="C34" s="734">
        <v>35</v>
      </c>
      <c r="D34" s="735" t="s">
        <v>359</v>
      </c>
      <c r="E34" s="736">
        <v>0</v>
      </c>
      <c r="F34" s="736">
        <v>0</v>
      </c>
      <c r="G34" s="736">
        <f t="shared" si="2"/>
        <v>0</v>
      </c>
      <c r="H34" s="737">
        <f t="shared" si="3"/>
        <v>2.8571428571428571E-2</v>
      </c>
      <c r="I34" s="738"/>
      <c r="J34" s="739"/>
    </row>
    <row r="35" spans="1:10">
      <c r="C35" s="750"/>
      <c r="E35" s="751"/>
      <c r="F35" s="751"/>
      <c r="G35" s="751"/>
    </row>
    <row r="36" spans="1:10">
      <c r="A36" s="732" t="s">
        <v>661</v>
      </c>
      <c r="C36" s="750"/>
      <c r="E36" s="751"/>
      <c r="F36" s="751"/>
      <c r="G36" s="751"/>
    </row>
    <row r="37" spans="1:10">
      <c r="A37" s="796">
        <v>303</v>
      </c>
      <c r="B37" s="728" t="s">
        <v>662</v>
      </c>
      <c r="C37" s="734">
        <v>5</v>
      </c>
      <c r="D37" s="752"/>
      <c r="E37" s="751"/>
      <c r="F37" s="751"/>
      <c r="G37" s="751"/>
      <c r="H37" s="737">
        <v>0.2</v>
      </c>
    </row>
    <row r="38" spans="1:10">
      <c r="C38" s="750"/>
      <c r="E38" s="751"/>
      <c r="F38" s="751"/>
      <c r="G38" s="751"/>
    </row>
    <row r="39" spans="1:10">
      <c r="A39" s="753" t="s">
        <v>525</v>
      </c>
      <c r="C39" s="750"/>
      <c r="E39" s="751"/>
      <c r="F39" s="751"/>
      <c r="G39" s="751"/>
    </row>
    <row r="40" spans="1:10" ht="39" customHeight="1">
      <c r="A40" s="754" t="s">
        <v>62</v>
      </c>
      <c r="B40" s="1037" t="s">
        <v>731</v>
      </c>
      <c r="C40" s="1037"/>
      <c r="D40" s="1037"/>
      <c r="E40" s="1037"/>
      <c r="F40" s="1037"/>
      <c r="G40" s="1037"/>
      <c r="H40" s="1037"/>
    </row>
    <row r="41" spans="1:10">
      <c r="A41" s="755" t="s">
        <v>63</v>
      </c>
      <c r="B41" s="756" t="s">
        <v>642</v>
      </c>
      <c r="C41" s="705"/>
      <c r="D41" s="705"/>
      <c r="E41" s="705"/>
      <c r="F41" s="705"/>
      <c r="G41" s="705"/>
      <c r="H41" s="705"/>
    </row>
    <row r="42" spans="1:10">
      <c r="A42" s="705"/>
      <c r="B42" s="705"/>
      <c r="C42" s="705"/>
      <c r="D42" s="705"/>
      <c r="E42" s="705"/>
      <c r="F42" s="705"/>
      <c r="G42" s="705"/>
      <c r="H42" s="705"/>
    </row>
    <row r="43" spans="1:10">
      <c r="C43" s="757"/>
      <c r="E43" s="751"/>
      <c r="F43" s="751"/>
      <c r="G43" s="751"/>
    </row>
    <row r="44" spans="1:10">
      <c r="C44" s="757"/>
      <c r="E44" s="751"/>
      <c r="F44" s="751"/>
      <c r="G44" s="751"/>
    </row>
    <row r="45" spans="1:10">
      <c r="C45" s="757"/>
      <c r="E45" s="751"/>
      <c r="F45" s="751"/>
      <c r="G45" s="751"/>
    </row>
    <row r="46" spans="1:10">
      <c r="C46" s="757"/>
      <c r="E46" s="751"/>
      <c r="F46" s="751"/>
      <c r="G46" s="751"/>
    </row>
    <row r="47" spans="1:10">
      <c r="C47" s="757"/>
      <c r="E47" s="751"/>
      <c r="F47" s="751"/>
      <c r="G47" s="751"/>
    </row>
    <row r="48" spans="1:10">
      <c r="C48" s="757"/>
      <c r="E48" s="751"/>
      <c r="F48" s="751"/>
      <c r="G48" s="751"/>
    </row>
    <row r="49" spans="3:7">
      <c r="C49" s="757"/>
      <c r="E49" s="751"/>
      <c r="F49" s="751"/>
      <c r="G49" s="751"/>
    </row>
    <row r="50" spans="3:7">
      <c r="C50" s="757"/>
      <c r="E50" s="751"/>
      <c r="F50" s="751"/>
      <c r="G50" s="751"/>
    </row>
    <row r="51" spans="3:7">
      <c r="C51" s="757"/>
      <c r="E51" s="751"/>
      <c r="F51" s="751"/>
      <c r="G51" s="751"/>
    </row>
    <row r="52" spans="3:7">
      <c r="E52" s="751"/>
      <c r="F52" s="751"/>
      <c r="G52" s="751"/>
    </row>
    <row r="53" spans="3:7">
      <c r="E53" s="751"/>
      <c r="F53" s="751"/>
      <c r="G53" s="751"/>
    </row>
    <row r="54" spans="3:7">
      <c r="E54" s="751"/>
      <c r="F54" s="751"/>
      <c r="G54" s="751"/>
    </row>
    <row r="55" spans="3:7">
      <c r="E55" s="751"/>
      <c r="F55" s="751"/>
      <c r="G55" s="751"/>
    </row>
    <row r="56" spans="3:7">
      <c r="E56" s="751"/>
      <c r="F56" s="751"/>
      <c r="G56" s="751"/>
    </row>
    <row r="57" spans="3:7">
      <c r="E57" s="751"/>
      <c r="F57" s="751"/>
      <c r="G57" s="751"/>
    </row>
    <row r="58" spans="3:7">
      <c r="E58" s="751"/>
      <c r="F58" s="751"/>
      <c r="G58" s="751"/>
    </row>
    <row r="59" spans="3:7">
      <c r="E59" s="751"/>
      <c r="F59" s="751"/>
      <c r="G59" s="751"/>
    </row>
    <row r="60" spans="3:7">
      <c r="E60" s="751"/>
      <c r="F60" s="751"/>
      <c r="G60" s="751"/>
    </row>
    <row r="61" spans="3:7">
      <c r="E61" s="751"/>
      <c r="F61" s="751"/>
      <c r="G61" s="751"/>
    </row>
    <row r="62" spans="3:7">
      <c r="E62" s="751"/>
      <c r="F62" s="751"/>
      <c r="G62" s="751"/>
    </row>
    <row r="63" spans="3:7">
      <c r="E63" s="751"/>
      <c r="F63" s="751"/>
      <c r="G63" s="751"/>
    </row>
    <row r="64" spans="3:7">
      <c r="E64" s="751"/>
      <c r="F64" s="751"/>
      <c r="G64" s="751"/>
    </row>
    <row r="65" spans="5:7">
      <c r="E65" s="751"/>
      <c r="F65" s="751"/>
      <c r="G65" s="751"/>
    </row>
    <row r="66" spans="5:7">
      <c r="E66" s="751"/>
      <c r="F66" s="751"/>
      <c r="G66" s="751"/>
    </row>
    <row r="67" spans="5:7">
      <c r="E67" s="751"/>
      <c r="F67" s="751"/>
      <c r="G67" s="751"/>
    </row>
    <row r="68" spans="5:7">
      <c r="E68" s="751"/>
      <c r="F68" s="751"/>
      <c r="G68" s="751"/>
    </row>
    <row r="69" spans="5:7">
      <c r="E69" s="751"/>
      <c r="F69" s="751"/>
      <c r="G69" s="751"/>
    </row>
    <row r="70" spans="5:7">
      <c r="E70" s="751"/>
      <c r="F70" s="751"/>
      <c r="G70" s="751"/>
    </row>
    <row r="71" spans="5:7">
      <c r="E71" s="751"/>
      <c r="F71" s="751"/>
      <c r="G71" s="751"/>
    </row>
    <row r="72" spans="5:7">
      <c r="E72" s="751"/>
      <c r="F72" s="751"/>
      <c r="G72" s="751"/>
    </row>
    <row r="73" spans="5:7">
      <c r="E73" s="751"/>
      <c r="F73" s="751"/>
      <c r="G73" s="751"/>
    </row>
    <row r="74" spans="5:7">
      <c r="E74" s="751"/>
      <c r="F74" s="751"/>
      <c r="G74" s="751"/>
    </row>
    <row r="75" spans="5:7">
      <c r="E75" s="751"/>
      <c r="F75" s="751"/>
      <c r="G75" s="751"/>
    </row>
    <row r="76" spans="5:7">
      <c r="E76" s="751"/>
      <c r="F76" s="751"/>
      <c r="G76" s="751"/>
    </row>
    <row r="77" spans="5:7">
      <c r="E77" s="751"/>
      <c r="F77" s="751"/>
      <c r="G77" s="751"/>
    </row>
    <row r="78" spans="5:7">
      <c r="E78" s="751"/>
      <c r="F78" s="751"/>
      <c r="G78" s="751"/>
    </row>
    <row r="79" spans="5:7">
      <c r="E79" s="751"/>
      <c r="F79" s="751"/>
      <c r="G79" s="751"/>
    </row>
    <row r="80" spans="5:7">
      <c r="E80" s="751"/>
      <c r="F80" s="751"/>
      <c r="G80" s="751"/>
    </row>
    <row r="81" spans="5:7">
      <c r="E81" s="751"/>
      <c r="F81" s="751"/>
      <c r="G81" s="751"/>
    </row>
    <row r="82" spans="5:7">
      <c r="E82" s="751"/>
      <c r="F82" s="751"/>
      <c r="G82" s="751"/>
    </row>
    <row r="83" spans="5:7">
      <c r="E83" s="751"/>
      <c r="F83" s="751"/>
      <c r="G83" s="751"/>
    </row>
    <row r="84" spans="5:7">
      <c r="E84" s="751"/>
      <c r="F84" s="751"/>
      <c r="G84" s="751"/>
    </row>
    <row r="85" spans="5:7">
      <c r="E85" s="751"/>
      <c r="F85" s="751"/>
      <c r="G85" s="751"/>
    </row>
    <row r="86" spans="5:7">
      <c r="E86" s="751"/>
      <c r="F86" s="751"/>
      <c r="G86" s="751"/>
    </row>
    <row r="87" spans="5:7">
      <c r="E87" s="751"/>
      <c r="F87" s="751"/>
      <c r="G87" s="751"/>
    </row>
    <row r="88" spans="5:7">
      <c r="E88" s="751"/>
      <c r="F88" s="751"/>
      <c r="G88" s="751"/>
    </row>
    <row r="89" spans="5:7">
      <c r="E89" s="751"/>
      <c r="F89" s="751"/>
      <c r="G89" s="751"/>
    </row>
    <row r="90" spans="5:7">
      <c r="E90" s="751"/>
      <c r="F90" s="751"/>
      <c r="G90" s="751"/>
    </row>
    <row r="91" spans="5:7">
      <c r="E91" s="751"/>
      <c r="F91" s="751"/>
      <c r="G91" s="751"/>
    </row>
    <row r="92" spans="5:7">
      <c r="E92" s="751"/>
      <c r="F92" s="751"/>
      <c r="G92" s="751"/>
    </row>
    <row r="93" spans="5:7">
      <c r="E93" s="751"/>
      <c r="F93" s="751"/>
      <c r="G93" s="751"/>
    </row>
    <row r="94" spans="5:7">
      <c r="E94" s="751"/>
      <c r="F94" s="751"/>
      <c r="G94" s="751"/>
    </row>
    <row r="95" spans="5:7">
      <c r="E95" s="751"/>
      <c r="F95" s="751"/>
      <c r="G95" s="751"/>
    </row>
    <row r="96" spans="5:7">
      <c r="E96" s="751"/>
      <c r="F96" s="751"/>
      <c r="G96" s="751"/>
    </row>
    <row r="97" spans="5:7">
      <c r="E97" s="751"/>
      <c r="F97" s="751"/>
      <c r="G97" s="751"/>
    </row>
    <row r="98" spans="5:7">
      <c r="E98" s="751"/>
      <c r="F98" s="751"/>
      <c r="G98" s="751"/>
    </row>
    <row r="99" spans="5:7">
      <c r="E99" s="751"/>
      <c r="F99" s="751"/>
      <c r="G99" s="751"/>
    </row>
    <row r="100" spans="5:7">
      <c r="E100" s="751"/>
      <c r="F100" s="751"/>
      <c r="G100" s="751"/>
    </row>
    <row r="101" spans="5:7">
      <c r="E101" s="751"/>
      <c r="F101" s="751"/>
      <c r="G101" s="751"/>
    </row>
    <row r="102" spans="5:7">
      <c r="E102" s="751"/>
      <c r="F102" s="751"/>
      <c r="G102" s="751"/>
    </row>
    <row r="103" spans="5:7">
      <c r="E103" s="751"/>
      <c r="F103" s="751"/>
      <c r="G103" s="751"/>
    </row>
    <row r="104" spans="5:7">
      <c r="E104" s="751"/>
      <c r="F104" s="751"/>
      <c r="G104" s="751"/>
    </row>
    <row r="105" spans="5:7">
      <c r="E105" s="751"/>
      <c r="F105" s="751"/>
      <c r="G105" s="751"/>
    </row>
    <row r="106" spans="5:7">
      <c r="E106" s="751"/>
      <c r="F106" s="751"/>
      <c r="G106" s="751"/>
    </row>
    <row r="107" spans="5:7">
      <c r="E107" s="751"/>
      <c r="F107" s="751"/>
      <c r="G107" s="751"/>
    </row>
    <row r="108" spans="5:7">
      <c r="E108" s="751"/>
      <c r="F108" s="751"/>
      <c r="G108" s="751"/>
    </row>
    <row r="109" spans="5:7">
      <c r="E109" s="751"/>
      <c r="F109" s="751"/>
      <c r="G109" s="751"/>
    </row>
    <row r="110" spans="5:7">
      <c r="E110" s="751"/>
      <c r="F110" s="751"/>
      <c r="G110" s="751"/>
    </row>
    <row r="111" spans="5:7">
      <c r="E111" s="751"/>
      <c r="F111" s="751"/>
      <c r="G111" s="751"/>
    </row>
    <row r="112" spans="5:7">
      <c r="E112" s="751"/>
      <c r="F112" s="751"/>
      <c r="G112" s="751"/>
    </row>
    <row r="113" spans="5:7">
      <c r="E113" s="751"/>
      <c r="F113" s="751"/>
      <c r="G113" s="751"/>
    </row>
    <row r="114" spans="5:7">
      <c r="E114" s="751"/>
      <c r="F114" s="751"/>
      <c r="G114" s="751"/>
    </row>
    <row r="115" spans="5:7">
      <c r="E115" s="751"/>
      <c r="F115" s="751"/>
      <c r="G115" s="751"/>
    </row>
    <row r="116" spans="5:7">
      <c r="E116" s="751"/>
      <c r="F116" s="751"/>
      <c r="G116" s="751"/>
    </row>
    <row r="117" spans="5:7">
      <c r="E117" s="751"/>
      <c r="F117" s="751"/>
      <c r="G117" s="751"/>
    </row>
    <row r="118" spans="5:7">
      <c r="E118" s="751"/>
      <c r="F118" s="751"/>
      <c r="G118" s="751"/>
    </row>
    <row r="119" spans="5:7">
      <c r="E119" s="751"/>
      <c r="F119" s="751"/>
      <c r="G119" s="751"/>
    </row>
    <row r="120" spans="5:7">
      <c r="E120" s="751"/>
      <c r="F120" s="751"/>
      <c r="G120" s="751"/>
    </row>
    <row r="121" spans="5:7">
      <c r="E121" s="751"/>
      <c r="F121" s="751"/>
      <c r="G121" s="751"/>
    </row>
    <row r="122" spans="5:7">
      <c r="E122" s="751"/>
      <c r="F122" s="751"/>
      <c r="G122" s="751"/>
    </row>
    <row r="123" spans="5:7">
      <c r="E123" s="751"/>
      <c r="F123" s="751"/>
      <c r="G123" s="751"/>
    </row>
    <row r="124" spans="5:7">
      <c r="E124" s="751"/>
      <c r="F124" s="751"/>
      <c r="G124" s="751"/>
    </row>
    <row r="125" spans="5:7">
      <c r="E125" s="751"/>
      <c r="F125" s="751"/>
      <c r="G125" s="751"/>
    </row>
    <row r="126" spans="5:7">
      <c r="E126" s="751"/>
      <c r="F126" s="751"/>
      <c r="G126" s="751"/>
    </row>
    <row r="127" spans="5:7">
      <c r="E127" s="751"/>
      <c r="F127" s="751"/>
      <c r="G127" s="751"/>
    </row>
    <row r="128" spans="5:7">
      <c r="E128" s="751"/>
      <c r="F128" s="751"/>
      <c r="G128" s="751"/>
    </row>
    <row r="129" spans="5:7">
      <c r="E129" s="751"/>
      <c r="F129" s="751"/>
      <c r="G129" s="751"/>
    </row>
    <row r="130" spans="5:7">
      <c r="E130" s="751"/>
      <c r="F130" s="751"/>
      <c r="G130" s="751"/>
    </row>
    <row r="131" spans="5:7">
      <c r="E131" s="751"/>
      <c r="F131" s="751"/>
      <c r="G131" s="751"/>
    </row>
    <row r="132" spans="5:7">
      <c r="E132" s="751"/>
      <c r="F132" s="751"/>
      <c r="G132" s="751"/>
    </row>
    <row r="133" spans="5:7">
      <c r="E133" s="751"/>
      <c r="F133" s="751"/>
      <c r="G133" s="751"/>
    </row>
    <row r="134" spans="5:7">
      <c r="E134" s="751"/>
      <c r="F134" s="751"/>
      <c r="G134" s="751"/>
    </row>
    <row r="135" spans="5:7">
      <c r="E135" s="751"/>
      <c r="F135" s="751"/>
      <c r="G135" s="751"/>
    </row>
    <row r="136" spans="5:7">
      <c r="E136" s="751"/>
      <c r="F136" s="751"/>
      <c r="G136" s="751"/>
    </row>
    <row r="137" spans="5:7">
      <c r="E137" s="751"/>
      <c r="F137" s="751"/>
      <c r="G137" s="751"/>
    </row>
    <row r="138" spans="5:7">
      <c r="E138" s="751"/>
      <c r="F138" s="751"/>
      <c r="G138" s="751"/>
    </row>
    <row r="139" spans="5:7">
      <c r="E139" s="751"/>
      <c r="F139" s="751"/>
      <c r="G139" s="751"/>
    </row>
    <row r="140" spans="5:7">
      <c r="E140" s="751"/>
      <c r="F140" s="751"/>
      <c r="G140" s="751"/>
    </row>
    <row r="141" spans="5:7">
      <c r="E141" s="751"/>
      <c r="F141" s="751"/>
      <c r="G141" s="751"/>
    </row>
    <row r="142" spans="5:7">
      <c r="E142" s="751"/>
      <c r="F142" s="751"/>
      <c r="G142" s="751"/>
    </row>
    <row r="143" spans="5:7">
      <c r="E143" s="751"/>
      <c r="F143" s="751"/>
      <c r="G143" s="751"/>
    </row>
    <row r="144" spans="5:7">
      <c r="E144" s="751"/>
      <c r="F144" s="751"/>
      <c r="G144" s="751"/>
    </row>
    <row r="145" spans="5:7">
      <c r="E145" s="751"/>
      <c r="F145" s="751"/>
      <c r="G145" s="751"/>
    </row>
    <row r="146" spans="5:7">
      <c r="E146" s="751"/>
      <c r="F146" s="751"/>
      <c r="G146" s="751"/>
    </row>
    <row r="147" spans="5:7">
      <c r="E147" s="751"/>
      <c r="F147" s="751"/>
      <c r="G147" s="751"/>
    </row>
    <row r="148" spans="5:7">
      <c r="E148" s="751"/>
      <c r="F148" s="751"/>
      <c r="G148" s="751"/>
    </row>
    <row r="149" spans="5:7">
      <c r="E149" s="751"/>
      <c r="F149" s="751"/>
      <c r="G149" s="751"/>
    </row>
    <row r="150" spans="5:7">
      <c r="E150" s="751"/>
      <c r="F150" s="751"/>
      <c r="G150" s="751"/>
    </row>
    <row r="151" spans="5:7">
      <c r="E151" s="751"/>
      <c r="F151" s="751"/>
      <c r="G151" s="751"/>
    </row>
    <row r="152" spans="5:7">
      <c r="E152" s="751"/>
      <c r="F152" s="751"/>
      <c r="G152" s="751"/>
    </row>
    <row r="153" spans="5:7">
      <c r="E153" s="751"/>
      <c r="F153" s="751"/>
      <c r="G153" s="751"/>
    </row>
    <row r="154" spans="5:7">
      <c r="E154" s="751"/>
      <c r="F154" s="751"/>
      <c r="G154" s="751"/>
    </row>
    <row r="155" spans="5:7">
      <c r="E155" s="751"/>
      <c r="F155" s="751"/>
      <c r="G155" s="751"/>
    </row>
    <row r="156" spans="5:7">
      <c r="E156" s="751"/>
      <c r="F156" s="751"/>
      <c r="G156" s="751"/>
    </row>
    <row r="157" spans="5:7">
      <c r="E157" s="751"/>
      <c r="F157" s="751"/>
      <c r="G157" s="751"/>
    </row>
    <row r="158" spans="5:7">
      <c r="E158" s="751"/>
      <c r="F158" s="751"/>
      <c r="G158" s="751"/>
    </row>
    <row r="159" spans="5:7">
      <c r="E159" s="751"/>
      <c r="F159" s="751"/>
      <c r="G159" s="751"/>
    </row>
    <row r="160" spans="5:7">
      <c r="E160" s="751"/>
      <c r="F160" s="751"/>
      <c r="G160" s="751"/>
    </row>
    <row r="161" spans="5:7">
      <c r="E161" s="751"/>
      <c r="F161" s="751"/>
      <c r="G161" s="751"/>
    </row>
    <row r="162" spans="5:7">
      <c r="E162" s="751"/>
      <c r="F162" s="751"/>
      <c r="G162" s="751"/>
    </row>
    <row r="163" spans="5:7">
      <c r="E163" s="751"/>
      <c r="F163" s="751"/>
      <c r="G163" s="751"/>
    </row>
    <row r="164" spans="5:7">
      <c r="E164" s="751"/>
      <c r="F164" s="751"/>
      <c r="G164" s="751"/>
    </row>
    <row r="165" spans="5:7">
      <c r="E165" s="751"/>
      <c r="F165" s="751"/>
      <c r="G165" s="751"/>
    </row>
    <row r="166" spans="5:7">
      <c r="E166" s="751"/>
      <c r="F166" s="751"/>
      <c r="G166" s="751"/>
    </row>
    <row r="167" spans="5:7">
      <c r="E167" s="751"/>
      <c r="F167" s="751"/>
      <c r="G167" s="751"/>
    </row>
    <row r="168" spans="5:7">
      <c r="E168" s="751"/>
      <c r="F168" s="751"/>
      <c r="G168" s="751"/>
    </row>
    <row r="169" spans="5:7">
      <c r="E169" s="751"/>
      <c r="F169" s="751"/>
      <c r="G169" s="751"/>
    </row>
    <row r="170" spans="5:7">
      <c r="E170" s="751"/>
      <c r="F170" s="751"/>
      <c r="G170" s="751"/>
    </row>
    <row r="171" spans="5:7">
      <c r="E171" s="751"/>
      <c r="F171" s="751"/>
      <c r="G171" s="751"/>
    </row>
    <row r="172" spans="5:7">
      <c r="E172" s="751"/>
      <c r="F172" s="751"/>
      <c r="G172" s="751"/>
    </row>
    <row r="173" spans="5:7">
      <c r="E173" s="751"/>
      <c r="F173" s="751"/>
      <c r="G173" s="751"/>
    </row>
    <row r="174" spans="5:7">
      <c r="E174" s="751"/>
      <c r="F174" s="751"/>
      <c r="G174" s="751"/>
    </row>
    <row r="175" spans="5:7">
      <c r="E175" s="751"/>
      <c r="F175" s="751"/>
      <c r="G175" s="751"/>
    </row>
    <row r="176" spans="5:7">
      <c r="E176" s="751"/>
      <c r="F176" s="751"/>
      <c r="G176" s="751"/>
    </row>
    <row r="177" spans="5:7">
      <c r="E177" s="751"/>
      <c r="F177" s="751"/>
      <c r="G177" s="751"/>
    </row>
    <row r="178" spans="5:7">
      <c r="E178" s="751"/>
      <c r="F178" s="751"/>
      <c r="G178" s="751"/>
    </row>
    <row r="179" spans="5:7">
      <c r="E179" s="751"/>
      <c r="F179" s="751"/>
      <c r="G179" s="751"/>
    </row>
    <row r="180" spans="5:7">
      <c r="E180" s="751"/>
      <c r="F180" s="751"/>
      <c r="G180" s="751"/>
    </row>
    <row r="181" spans="5:7">
      <c r="E181" s="751"/>
      <c r="F181" s="751"/>
      <c r="G181" s="751"/>
    </row>
    <row r="182" spans="5:7">
      <c r="E182" s="751"/>
      <c r="F182" s="751"/>
      <c r="G182" s="751"/>
    </row>
    <row r="183" spans="5:7">
      <c r="E183" s="751"/>
      <c r="F183" s="751"/>
      <c r="G183" s="751"/>
    </row>
    <row r="184" spans="5:7">
      <c r="E184" s="751"/>
      <c r="F184" s="751"/>
      <c r="G184" s="751"/>
    </row>
    <row r="185" spans="5:7">
      <c r="E185" s="751"/>
      <c r="F185" s="751"/>
      <c r="G185" s="751"/>
    </row>
    <row r="186" spans="5:7">
      <c r="E186" s="751"/>
      <c r="F186" s="751"/>
      <c r="G186" s="751"/>
    </row>
    <row r="187" spans="5:7">
      <c r="E187" s="751"/>
      <c r="F187" s="751"/>
      <c r="G187" s="751"/>
    </row>
    <row r="188" spans="5:7">
      <c r="E188" s="751"/>
      <c r="F188" s="751"/>
      <c r="G188" s="751"/>
    </row>
    <row r="189" spans="5:7">
      <c r="E189" s="751"/>
      <c r="F189" s="751"/>
      <c r="G189" s="751"/>
    </row>
    <row r="190" spans="5:7">
      <c r="E190" s="751"/>
      <c r="F190" s="751"/>
      <c r="G190" s="751"/>
    </row>
    <row r="191" spans="5:7">
      <c r="E191" s="751"/>
      <c r="F191" s="751"/>
      <c r="G191" s="751"/>
    </row>
    <row r="192" spans="5:7">
      <c r="E192" s="751"/>
      <c r="F192" s="751"/>
      <c r="G192" s="751"/>
    </row>
    <row r="193" spans="5:7">
      <c r="E193" s="751"/>
      <c r="F193" s="751"/>
      <c r="G193" s="751"/>
    </row>
    <row r="194" spans="5:7">
      <c r="E194" s="751"/>
      <c r="F194" s="751"/>
      <c r="G194" s="751"/>
    </row>
    <row r="195" spans="5:7">
      <c r="E195" s="751"/>
      <c r="F195" s="751"/>
      <c r="G195" s="751"/>
    </row>
    <row r="196" spans="5:7">
      <c r="E196" s="751"/>
      <c r="F196" s="751"/>
      <c r="G196" s="751"/>
    </row>
    <row r="197" spans="5:7">
      <c r="E197" s="751"/>
      <c r="F197" s="751"/>
      <c r="G197" s="751"/>
    </row>
    <row r="198" spans="5:7">
      <c r="E198" s="751"/>
      <c r="F198" s="751"/>
      <c r="G198" s="751"/>
    </row>
    <row r="199" spans="5:7">
      <c r="E199" s="751"/>
      <c r="F199" s="751"/>
      <c r="G199" s="751"/>
    </row>
    <row r="200" spans="5:7">
      <c r="E200" s="751"/>
      <c r="F200" s="751"/>
      <c r="G200" s="751"/>
    </row>
    <row r="201" spans="5:7">
      <c r="E201" s="751"/>
      <c r="F201" s="751"/>
      <c r="G201" s="751"/>
    </row>
    <row r="202" spans="5:7">
      <c r="E202" s="751"/>
      <c r="F202" s="751"/>
      <c r="G202" s="751"/>
    </row>
    <row r="203" spans="5:7">
      <c r="E203" s="751"/>
      <c r="F203" s="751"/>
      <c r="G203" s="751"/>
    </row>
    <row r="204" spans="5:7">
      <c r="E204" s="751"/>
      <c r="F204" s="751"/>
      <c r="G204" s="751"/>
    </row>
    <row r="205" spans="5:7">
      <c r="E205" s="751"/>
      <c r="F205" s="751"/>
      <c r="G205" s="751"/>
    </row>
    <row r="206" spans="5:7">
      <c r="E206" s="751"/>
      <c r="F206" s="751"/>
      <c r="G206" s="751"/>
    </row>
    <row r="207" spans="5:7">
      <c r="E207" s="751"/>
      <c r="F207" s="751"/>
      <c r="G207" s="751"/>
    </row>
    <row r="208" spans="5:7">
      <c r="E208" s="751"/>
      <c r="F208" s="751"/>
      <c r="G208" s="751"/>
    </row>
    <row r="209" spans="5:7">
      <c r="E209" s="751"/>
      <c r="F209" s="751"/>
      <c r="G209" s="751"/>
    </row>
    <row r="210" spans="5:7">
      <c r="E210" s="751"/>
      <c r="F210" s="751"/>
      <c r="G210" s="751"/>
    </row>
    <row r="211" spans="5:7">
      <c r="E211" s="751"/>
      <c r="F211" s="751"/>
      <c r="G211" s="751"/>
    </row>
    <row r="212" spans="5:7">
      <c r="E212" s="751"/>
      <c r="F212" s="751"/>
      <c r="G212" s="751"/>
    </row>
    <row r="213" spans="5:7">
      <c r="E213" s="751"/>
      <c r="F213" s="751"/>
      <c r="G213" s="751"/>
    </row>
    <row r="214" spans="5:7">
      <c r="E214" s="751"/>
      <c r="F214" s="751"/>
      <c r="G214" s="751"/>
    </row>
    <row r="215" spans="5:7">
      <c r="E215" s="751"/>
      <c r="F215" s="751"/>
      <c r="G215" s="751"/>
    </row>
    <row r="216" spans="5:7">
      <c r="E216" s="751"/>
      <c r="F216" s="751"/>
      <c r="G216" s="751"/>
    </row>
    <row r="217" spans="5:7">
      <c r="E217" s="751"/>
      <c r="F217" s="751"/>
      <c r="G217" s="751"/>
    </row>
    <row r="218" spans="5:7">
      <c r="E218" s="751"/>
      <c r="F218" s="751"/>
      <c r="G218" s="751"/>
    </row>
    <row r="219" spans="5:7">
      <c r="E219" s="751"/>
      <c r="F219" s="751"/>
      <c r="G219" s="751"/>
    </row>
    <row r="220" spans="5:7">
      <c r="E220" s="751"/>
      <c r="F220" s="751"/>
      <c r="G220" s="751"/>
    </row>
    <row r="221" spans="5:7">
      <c r="E221" s="751"/>
      <c r="F221" s="751"/>
      <c r="G221" s="751"/>
    </row>
    <row r="222" spans="5:7">
      <c r="E222" s="751"/>
      <c r="F222" s="751"/>
      <c r="G222" s="751"/>
    </row>
    <row r="223" spans="5:7">
      <c r="E223" s="751"/>
      <c r="F223" s="751"/>
      <c r="G223" s="751"/>
    </row>
    <row r="224" spans="5:7">
      <c r="E224" s="751"/>
      <c r="F224" s="751"/>
      <c r="G224" s="751"/>
    </row>
    <row r="225" spans="5:7">
      <c r="E225" s="751"/>
      <c r="F225" s="751"/>
      <c r="G225" s="751"/>
    </row>
    <row r="226" spans="5:7">
      <c r="E226" s="751"/>
      <c r="F226" s="751"/>
      <c r="G226" s="751"/>
    </row>
    <row r="227" spans="5:7">
      <c r="E227" s="751"/>
      <c r="F227" s="751"/>
      <c r="G227" s="751"/>
    </row>
    <row r="228" spans="5:7">
      <c r="E228" s="751"/>
      <c r="F228" s="751"/>
      <c r="G228" s="751"/>
    </row>
    <row r="229" spans="5:7">
      <c r="E229" s="751"/>
      <c r="F229" s="751"/>
      <c r="G229" s="751"/>
    </row>
    <row r="230" spans="5:7">
      <c r="E230" s="751"/>
      <c r="F230" s="751"/>
      <c r="G230" s="751"/>
    </row>
    <row r="231" spans="5:7">
      <c r="E231" s="751"/>
      <c r="F231" s="751"/>
      <c r="G231" s="751"/>
    </row>
    <row r="232" spans="5:7">
      <c r="E232" s="751"/>
      <c r="F232" s="751"/>
      <c r="G232" s="751"/>
    </row>
    <row r="233" spans="5:7">
      <c r="E233" s="751"/>
      <c r="F233" s="751"/>
      <c r="G233" s="751"/>
    </row>
    <row r="234" spans="5:7">
      <c r="E234" s="751"/>
      <c r="F234" s="751"/>
      <c r="G234" s="751"/>
    </row>
    <row r="235" spans="5:7">
      <c r="E235" s="751"/>
      <c r="F235" s="751"/>
      <c r="G235" s="751"/>
    </row>
    <row r="236" spans="5:7">
      <c r="E236" s="751"/>
      <c r="F236" s="751"/>
      <c r="G236" s="751"/>
    </row>
    <row r="237" spans="5:7">
      <c r="E237" s="751"/>
      <c r="F237" s="751"/>
      <c r="G237" s="751"/>
    </row>
    <row r="238" spans="5:7">
      <c r="E238" s="751"/>
      <c r="F238" s="751"/>
      <c r="G238" s="751"/>
    </row>
    <row r="239" spans="5:7">
      <c r="E239" s="751"/>
      <c r="F239" s="751"/>
      <c r="G239" s="751"/>
    </row>
    <row r="240" spans="5:7">
      <c r="E240" s="751"/>
      <c r="F240" s="751"/>
      <c r="G240" s="751"/>
    </row>
    <row r="241" spans="5:7">
      <c r="E241" s="751"/>
      <c r="F241" s="751"/>
      <c r="G241" s="751"/>
    </row>
    <row r="242" spans="5:7">
      <c r="E242" s="751"/>
      <c r="F242" s="751"/>
      <c r="G242" s="751"/>
    </row>
    <row r="243" spans="5:7">
      <c r="E243" s="751"/>
      <c r="F243" s="751"/>
      <c r="G243" s="751"/>
    </row>
    <row r="244" spans="5:7">
      <c r="E244" s="751"/>
      <c r="F244" s="751"/>
      <c r="G244" s="751"/>
    </row>
    <row r="245" spans="5:7">
      <c r="E245" s="751"/>
      <c r="F245" s="751"/>
      <c r="G245" s="751"/>
    </row>
    <row r="246" spans="5:7">
      <c r="E246" s="751"/>
      <c r="F246" s="751"/>
      <c r="G246" s="751"/>
    </row>
    <row r="247" spans="5:7">
      <c r="E247" s="751"/>
      <c r="F247" s="751"/>
      <c r="G247" s="751"/>
    </row>
    <row r="248" spans="5:7">
      <c r="E248" s="751"/>
      <c r="F248" s="751"/>
      <c r="G248" s="751"/>
    </row>
    <row r="249" spans="5:7">
      <c r="E249" s="751"/>
      <c r="F249" s="751"/>
      <c r="G249" s="751"/>
    </row>
    <row r="250" spans="5:7">
      <c r="E250" s="751"/>
      <c r="F250" s="751"/>
      <c r="G250" s="751"/>
    </row>
    <row r="251" spans="5:7">
      <c r="E251" s="751"/>
      <c r="F251" s="751"/>
      <c r="G251" s="751"/>
    </row>
    <row r="252" spans="5:7">
      <c r="E252" s="751"/>
      <c r="F252" s="751"/>
      <c r="G252" s="751"/>
    </row>
    <row r="253" spans="5:7">
      <c r="E253" s="751"/>
      <c r="F253" s="751"/>
      <c r="G253" s="751"/>
    </row>
    <row r="254" spans="5:7">
      <c r="E254" s="751"/>
      <c r="F254" s="751"/>
      <c r="G254" s="751"/>
    </row>
    <row r="255" spans="5:7">
      <c r="E255" s="751"/>
      <c r="F255" s="751"/>
      <c r="G255" s="751"/>
    </row>
    <row r="256" spans="5:7">
      <c r="E256" s="751"/>
      <c r="F256" s="751"/>
      <c r="G256" s="751"/>
    </row>
    <row r="257" spans="5:7">
      <c r="E257" s="751"/>
      <c r="F257" s="751"/>
      <c r="G257" s="751"/>
    </row>
    <row r="258" spans="5:7">
      <c r="E258" s="751"/>
      <c r="F258" s="751"/>
      <c r="G258" s="751"/>
    </row>
    <row r="259" spans="5:7">
      <c r="E259" s="751"/>
      <c r="F259" s="751"/>
      <c r="G259" s="751"/>
    </row>
    <row r="260" spans="5:7">
      <c r="E260" s="751"/>
      <c r="F260" s="751"/>
      <c r="G260" s="751"/>
    </row>
    <row r="261" spans="5:7">
      <c r="E261" s="751"/>
      <c r="F261" s="751"/>
      <c r="G261" s="751"/>
    </row>
    <row r="262" spans="5:7">
      <c r="E262" s="751"/>
      <c r="F262" s="751"/>
      <c r="G262" s="751"/>
    </row>
    <row r="263" spans="5:7">
      <c r="E263" s="751"/>
      <c r="F263" s="751"/>
      <c r="G263" s="751"/>
    </row>
    <row r="264" spans="5:7">
      <c r="E264" s="751"/>
      <c r="F264" s="751"/>
      <c r="G264" s="751"/>
    </row>
    <row r="265" spans="5:7">
      <c r="E265" s="751"/>
      <c r="F265" s="751"/>
      <c r="G265" s="751"/>
    </row>
    <row r="266" spans="5:7">
      <c r="E266" s="751"/>
      <c r="F266" s="751"/>
      <c r="G266" s="751"/>
    </row>
    <row r="267" spans="5:7">
      <c r="E267" s="751"/>
      <c r="F267" s="751"/>
      <c r="G267" s="751"/>
    </row>
    <row r="268" spans="5:7">
      <c r="E268" s="751"/>
      <c r="F268" s="751"/>
      <c r="G268" s="751"/>
    </row>
    <row r="269" spans="5:7">
      <c r="E269" s="751"/>
      <c r="F269" s="751"/>
      <c r="G269" s="751"/>
    </row>
    <row r="270" spans="5:7">
      <c r="E270" s="751"/>
      <c r="F270" s="751"/>
      <c r="G270" s="751"/>
    </row>
    <row r="271" spans="5:7">
      <c r="E271" s="751"/>
      <c r="F271" s="751"/>
      <c r="G271" s="751"/>
    </row>
    <row r="272" spans="5:7">
      <c r="E272" s="751"/>
      <c r="F272" s="751"/>
      <c r="G272" s="751"/>
    </row>
    <row r="273" spans="5:7">
      <c r="E273" s="751"/>
      <c r="F273" s="751"/>
      <c r="G273" s="751"/>
    </row>
    <row r="274" spans="5:7">
      <c r="E274" s="751"/>
      <c r="F274" s="751"/>
      <c r="G274" s="751"/>
    </row>
    <row r="275" spans="5:7">
      <c r="E275" s="751"/>
      <c r="F275" s="751"/>
      <c r="G275" s="751"/>
    </row>
    <row r="276" spans="5:7">
      <c r="E276" s="751"/>
      <c r="F276" s="751"/>
      <c r="G276" s="751"/>
    </row>
    <row r="277" spans="5:7">
      <c r="E277" s="751"/>
      <c r="F277" s="751"/>
      <c r="G277" s="751"/>
    </row>
    <row r="278" spans="5:7">
      <c r="E278" s="751"/>
      <c r="F278" s="751"/>
      <c r="G278" s="751"/>
    </row>
    <row r="279" spans="5:7">
      <c r="E279" s="751"/>
      <c r="F279" s="751"/>
      <c r="G279" s="751"/>
    </row>
    <row r="280" spans="5:7">
      <c r="E280" s="751"/>
      <c r="F280" s="751"/>
      <c r="G280" s="751"/>
    </row>
    <row r="281" spans="5:7">
      <c r="E281" s="751"/>
      <c r="F281" s="751"/>
      <c r="G281" s="751"/>
    </row>
    <row r="282" spans="5:7">
      <c r="E282" s="751"/>
      <c r="F282" s="751"/>
      <c r="G282" s="751"/>
    </row>
    <row r="283" spans="5:7">
      <c r="E283" s="751"/>
      <c r="F283" s="751"/>
      <c r="G283" s="751"/>
    </row>
    <row r="284" spans="5:7">
      <c r="E284" s="751"/>
      <c r="F284" s="751"/>
      <c r="G284" s="751"/>
    </row>
    <row r="285" spans="5:7">
      <c r="E285" s="751"/>
      <c r="F285" s="751"/>
      <c r="G285" s="751"/>
    </row>
    <row r="286" spans="5:7">
      <c r="E286" s="751"/>
      <c r="F286" s="751"/>
      <c r="G286" s="751"/>
    </row>
    <row r="287" spans="5:7">
      <c r="E287" s="751"/>
      <c r="F287" s="751"/>
      <c r="G287" s="751"/>
    </row>
    <row r="288" spans="5:7">
      <c r="E288" s="751"/>
      <c r="F288" s="751"/>
      <c r="G288" s="751"/>
    </row>
    <row r="289" spans="5:7">
      <c r="E289" s="751"/>
      <c r="F289" s="751"/>
      <c r="G289" s="751"/>
    </row>
    <row r="290" spans="5:7">
      <c r="E290" s="751"/>
      <c r="F290" s="751"/>
      <c r="G290" s="751"/>
    </row>
    <row r="291" spans="5:7">
      <c r="E291" s="751"/>
      <c r="F291" s="751"/>
      <c r="G291" s="751"/>
    </row>
    <row r="292" spans="5:7">
      <c r="E292" s="751"/>
      <c r="F292" s="751"/>
      <c r="G292" s="751"/>
    </row>
    <row r="293" spans="5:7">
      <c r="E293" s="751"/>
      <c r="F293" s="751"/>
      <c r="G293" s="751"/>
    </row>
    <row r="294" spans="5:7">
      <c r="E294" s="751"/>
      <c r="F294" s="751"/>
      <c r="G294" s="751"/>
    </row>
    <row r="295" spans="5:7">
      <c r="E295" s="751"/>
      <c r="F295" s="751"/>
      <c r="G295" s="751"/>
    </row>
    <row r="296" spans="5:7">
      <c r="E296" s="751"/>
      <c r="F296" s="751"/>
      <c r="G296" s="751"/>
    </row>
    <row r="297" spans="5:7">
      <c r="E297" s="751"/>
      <c r="F297" s="751"/>
      <c r="G297" s="751"/>
    </row>
    <row r="298" spans="5:7">
      <c r="E298" s="751"/>
      <c r="F298" s="751"/>
      <c r="G298" s="751"/>
    </row>
    <row r="299" spans="5:7">
      <c r="E299" s="751"/>
      <c r="F299" s="751"/>
      <c r="G299" s="751"/>
    </row>
    <row r="300" spans="5:7">
      <c r="E300" s="751"/>
      <c r="F300" s="751"/>
      <c r="G300" s="751"/>
    </row>
    <row r="301" spans="5:7">
      <c r="E301" s="751"/>
      <c r="F301" s="751"/>
      <c r="G301" s="751"/>
    </row>
    <row r="302" spans="5:7">
      <c r="E302" s="751"/>
      <c r="F302" s="751"/>
      <c r="G302" s="751"/>
    </row>
    <row r="303" spans="5:7">
      <c r="E303" s="751"/>
      <c r="F303" s="751"/>
      <c r="G303" s="751"/>
    </row>
    <row r="304" spans="5:7">
      <c r="E304" s="751"/>
      <c r="F304" s="751"/>
      <c r="G304" s="751"/>
    </row>
    <row r="305" spans="5:7">
      <c r="E305" s="751"/>
      <c r="F305" s="751"/>
      <c r="G305" s="751"/>
    </row>
    <row r="306" spans="5:7">
      <c r="E306" s="751"/>
      <c r="F306" s="751"/>
      <c r="G306" s="751"/>
    </row>
    <row r="307" spans="5:7">
      <c r="E307" s="751"/>
      <c r="F307" s="751"/>
      <c r="G307" s="751"/>
    </row>
    <row r="308" spans="5:7">
      <c r="E308" s="751"/>
      <c r="F308" s="751"/>
      <c r="G308" s="751"/>
    </row>
    <row r="309" spans="5:7">
      <c r="E309" s="751"/>
      <c r="F309" s="751"/>
      <c r="G309" s="751"/>
    </row>
    <row r="310" spans="5:7">
      <c r="E310" s="751"/>
      <c r="F310" s="751"/>
      <c r="G310" s="751"/>
    </row>
    <row r="311" spans="5:7">
      <c r="E311" s="751"/>
      <c r="F311" s="751"/>
      <c r="G311" s="751"/>
    </row>
    <row r="312" spans="5:7">
      <c r="E312" s="751"/>
      <c r="F312" s="751"/>
      <c r="G312" s="751"/>
    </row>
    <row r="313" spans="5:7">
      <c r="E313" s="751"/>
      <c r="F313" s="751"/>
      <c r="G313" s="751"/>
    </row>
    <row r="314" spans="5:7">
      <c r="E314" s="751"/>
      <c r="F314" s="751"/>
      <c r="G314" s="751"/>
    </row>
    <row r="315" spans="5:7">
      <c r="E315" s="751"/>
      <c r="F315" s="751"/>
      <c r="G315" s="751"/>
    </row>
    <row r="316" spans="5:7">
      <c r="E316" s="751"/>
      <c r="F316" s="751"/>
      <c r="G316" s="751"/>
    </row>
    <row r="317" spans="5:7">
      <c r="E317" s="751"/>
      <c r="F317" s="751"/>
      <c r="G317" s="751"/>
    </row>
    <row r="318" spans="5:7">
      <c r="E318" s="751"/>
      <c r="F318" s="751"/>
      <c r="G318" s="751"/>
    </row>
    <row r="319" spans="5:7">
      <c r="E319" s="751"/>
      <c r="F319" s="751"/>
      <c r="G319" s="751"/>
    </row>
    <row r="320" spans="5:7">
      <c r="E320" s="751"/>
      <c r="F320" s="751"/>
      <c r="G320" s="751"/>
    </row>
    <row r="321" spans="5:7">
      <c r="E321" s="751"/>
      <c r="F321" s="751"/>
      <c r="G321" s="751"/>
    </row>
    <row r="322" spans="5:7">
      <c r="E322" s="751"/>
      <c r="F322" s="751"/>
      <c r="G322" s="751"/>
    </row>
    <row r="323" spans="5:7">
      <c r="E323" s="751"/>
      <c r="F323" s="751"/>
      <c r="G323" s="751"/>
    </row>
    <row r="324" spans="5:7">
      <c r="E324" s="751"/>
      <c r="F324" s="751"/>
      <c r="G324" s="751"/>
    </row>
    <row r="325" spans="5:7">
      <c r="E325" s="751"/>
      <c r="F325" s="751"/>
      <c r="G325" s="751"/>
    </row>
    <row r="326" spans="5:7">
      <c r="E326" s="751"/>
      <c r="F326" s="751"/>
      <c r="G326" s="751"/>
    </row>
    <row r="327" spans="5:7">
      <c r="E327" s="751"/>
      <c r="F327" s="751"/>
      <c r="G327" s="751"/>
    </row>
    <row r="328" spans="5:7">
      <c r="E328" s="751"/>
      <c r="F328" s="751"/>
      <c r="G328" s="751"/>
    </row>
    <row r="329" spans="5:7">
      <c r="E329" s="751"/>
      <c r="F329" s="751"/>
      <c r="G329" s="751"/>
    </row>
    <row r="330" spans="5:7">
      <c r="E330" s="751"/>
      <c r="F330" s="751"/>
      <c r="G330" s="751"/>
    </row>
    <row r="331" spans="5:7">
      <c r="E331" s="751"/>
      <c r="F331" s="751"/>
      <c r="G331" s="751"/>
    </row>
    <row r="332" spans="5:7">
      <c r="E332" s="751"/>
      <c r="F332" s="751"/>
      <c r="G332" s="751"/>
    </row>
    <row r="333" spans="5:7">
      <c r="E333" s="751"/>
      <c r="F333" s="751"/>
      <c r="G333" s="751"/>
    </row>
    <row r="334" spans="5:7">
      <c r="E334" s="751"/>
      <c r="F334" s="751"/>
      <c r="G334" s="751"/>
    </row>
    <row r="335" spans="5:7">
      <c r="E335" s="751"/>
      <c r="F335" s="751"/>
      <c r="G335" s="751"/>
    </row>
    <row r="336" spans="5:7">
      <c r="E336" s="751"/>
      <c r="F336" s="751"/>
      <c r="G336" s="751"/>
    </row>
    <row r="337" spans="5:7">
      <c r="E337" s="751"/>
      <c r="F337" s="751"/>
      <c r="G337" s="751"/>
    </row>
    <row r="338" spans="5:7">
      <c r="E338" s="751"/>
      <c r="F338" s="751"/>
      <c r="G338" s="751"/>
    </row>
    <row r="339" spans="5:7">
      <c r="E339" s="751"/>
      <c r="F339" s="751"/>
      <c r="G339" s="751"/>
    </row>
    <row r="340" spans="5:7">
      <c r="E340" s="751"/>
      <c r="F340" s="751"/>
      <c r="G340" s="751"/>
    </row>
    <row r="341" spans="5:7">
      <c r="E341" s="751"/>
      <c r="F341" s="751"/>
      <c r="G341" s="751"/>
    </row>
    <row r="342" spans="5:7">
      <c r="E342" s="751"/>
      <c r="F342" s="751"/>
      <c r="G342" s="751"/>
    </row>
    <row r="343" spans="5:7">
      <c r="E343" s="751"/>
      <c r="F343" s="751"/>
      <c r="G343" s="751"/>
    </row>
    <row r="344" spans="5:7">
      <c r="E344" s="751"/>
      <c r="F344" s="751"/>
      <c r="G344" s="751"/>
    </row>
    <row r="345" spans="5:7">
      <c r="E345" s="751"/>
      <c r="F345" s="751"/>
      <c r="G345" s="751"/>
    </row>
    <row r="346" spans="5:7">
      <c r="E346" s="751"/>
      <c r="F346" s="751"/>
      <c r="G346" s="751"/>
    </row>
    <row r="347" spans="5:7">
      <c r="E347" s="751"/>
      <c r="F347" s="751"/>
      <c r="G347" s="751"/>
    </row>
    <row r="348" spans="5:7">
      <c r="E348" s="751"/>
      <c r="F348" s="751"/>
      <c r="G348" s="751"/>
    </row>
    <row r="349" spans="5:7">
      <c r="E349" s="751"/>
      <c r="F349" s="751"/>
      <c r="G349" s="751"/>
    </row>
    <row r="350" spans="5:7">
      <c r="E350" s="751"/>
      <c r="F350" s="751"/>
      <c r="G350" s="751"/>
    </row>
    <row r="351" spans="5:7">
      <c r="E351" s="751"/>
      <c r="F351" s="751"/>
      <c r="G351" s="751"/>
    </row>
    <row r="352" spans="5:7">
      <c r="E352" s="751"/>
      <c r="F352" s="751"/>
      <c r="G352" s="751"/>
    </row>
    <row r="353" spans="5:7">
      <c r="E353" s="751"/>
      <c r="F353" s="751"/>
      <c r="G353" s="751"/>
    </row>
    <row r="354" spans="5:7">
      <c r="E354" s="751"/>
      <c r="F354" s="751"/>
      <c r="G354" s="751"/>
    </row>
    <row r="355" spans="5:7">
      <c r="E355" s="751"/>
      <c r="F355" s="751"/>
      <c r="G355" s="751"/>
    </row>
    <row r="356" spans="5:7">
      <c r="E356" s="751"/>
      <c r="F356" s="751"/>
      <c r="G356" s="751"/>
    </row>
    <row r="357" spans="5:7">
      <c r="E357" s="751"/>
      <c r="F357" s="751"/>
      <c r="G357" s="751"/>
    </row>
    <row r="358" spans="5:7">
      <c r="E358" s="751"/>
      <c r="F358" s="751"/>
      <c r="G358" s="751"/>
    </row>
    <row r="359" spans="5:7">
      <c r="E359" s="751"/>
      <c r="F359" s="751"/>
      <c r="G359" s="751"/>
    </row>
    <row r="360" spans="5:7">
      <c r="E360" s="751"/>
      <c r="F360" s="751"/>
      <c r="G360" s="751"/>
    </row>
    <row r="361" spans="5:7">
      <c r="E361" s="751"/>
      <c r="F361" s="751"/>
      <c r="G361" s="751"/>
    </row>
    <row r="362" spans="5:7">
      <c r="E362" s="751"/>
      <c r="F362" s="751"/>
      <c r="G362" s="751"/>
    </row>
    <row r="363" spans="5:7">
      <c r="E363" s="751"/>
      <c r="F363" s="751"/>
      <c r="G363" s="751"/>
    </row>
    <row r="364" spans="5:7">
      <c r="E364" s="751"/>
      <c r="F364" s="751"/>
      <c r="G364" s="751"/>
    </row>
    <row r="365" spans="5:7">
      <c r="E365" s="751"/>
      <c r="F365" s="751"/>
      <c r="G365" s="751"/>
    </row>
    <row r="366" spans="5:7">
      <c r="E366" s="751"/>
      <c r="F366" s="751"/>
      <c r="G366" s="751"/>
    </row>
    <row r="367" spans="5:7">
      <c r="E367" s="751"/>
      <c r="F367" s="751"/>
      <c r="G367" s="751"/>
    </row>
    <row r="368" spans="5:7">
      <c r="E368" s="751"/>
      <c r="F368" s="751"/>
      <c r="G368" s="751"/>
    </row>
    <row r="369" spans="5:7">
      <c r="E369" s="751"/>
      <c r="F369" s="751"/>
      <c r="G369" s="751"/>
    </row>
    <row r="370" spans="5:7">
      <c r="E370" s="751"/>
      <c r="F370" s="751"/>
      <c r="G370" s="751"/>
    </row>
    <row r="371" spans="5:7">
      <c r="E371" s="751"/>
      <c r="F371" s="751"/>
      <c r="G371" s="751"/>
    </row>
    <row r="372" spans="5:7">
      <c r="E372" s="751"/>
      <c r="F372" s="751"/>
      <c r="G372" s="751"/>
    </row>
    <row r="373" spans="5:7">
      <c r="E373" s="751"/>
      <c r="F373" s="751"/>
      <c r="G373" s="751"/>
    </row>
    <row r="374" spans="5:7">
      <c r="E374" s="751"/>
      <c r="F374" s="751"/>
      <c r="G374" s="751"/>
    </row>
    <row r="375" spans="5:7">
      <c r="E375" s="751"/>
      <c r="F375" s="751"/>
      <c r="G375" s="751"/>
    </row>
    <row r="376" spans="5:7">
      <c r="E376" s="751"/>
      <c r="F376" s="751"/>
      <c r="G376" s="751"/>
    </row>
    <row r="377" spans="5:7">
      <c r="E377" s="751"/>
      <c r="F377" s="751"/>
      <c r="G377" s="751"/>
    </row>
    <row r="378" spans="5:7">
      <c r="E378" s="751"/>
      <c r="F378" s="751"/>
      <c r="G378" s="751"/>
    </row>
    <row r="379" spans="5:7">
      <c r="E379" s="751"/>
      <c r="F379" s="751"/>
      <c r="G379" s="751"/>
    </row>
    <row r="380" spans="5:7">
      <c r="E380" s="751"/>
      <c r="F380" s="751"/>
      <c r="G380" s="751"/>
    </row>
    <row r="381" spans="5:7">
      <c r="E381" s="751"/>
      <c r="F381" s="751"/>
      <c r="G381" s="751"/>
    </row>
    <row r="382" spans="5:7">
      <c r="E382" s="751"/>
      <c r="F382" s="751"/>
      <c r="G382" s="751"/>
    </row>
    <row r="383" spans="5:7">
      <c r="E383" s="751"/>
      <c r="F383" s="751"/>
      <c r="G383" s="751"/>
    </row>
    <row r="384" spans="5:7">
      <c r="E384" s="751"/>
      <c r="F384" s="751"/>
      <c r="G384" s="751"/>
    </row>
    <row r="385" spans="5:7">
      <c r="E385" s="751"/>
      <c r="F385" s="751"/>
      <c r="G385" s="751"/>
    </row>
    <row r="386" spans="5:7">
      <c r="E386" s="751"/>
      <c r="F386" s="751"/>
      <c r="G386" s="751"/>
    </row>
    <row r="387" spans="5:7">
      <c r="E387" s="751"/>
      <c r="F387" s="751"/>
      <c r="G387" s="751"/>
    </row>
    <row r="388" spans="5:7">
      <c r="E388" s="751"/>
      <c r="F388" s="751"/>
      <c r="G388" s="751"/>
    </row>
    <row r="389" spans="5:7">
      <c r="E389" s="751"/>
      <c r="F389" s="751"/>
      <c r="G389" s="751"/>
    </row>
    <row r="390" spans="5:7">
      <c r="E390" s="751"/>
      <c r="F390" s="751"/>
      <c r="G390" s="751"/>
    </row>
    <row r="391" spans="5:7">
      <c r="E391" s="751"/>
      <c r="F391" s="751"/>
      <c r="G391" s="751"/>
    </row>
    <row r="392" spans="5:7">
      <c r="E392" s="751"/>
      <c r="F392" s="751"/>
      <c r="G392" s="751"/>
    </row>
    <row r="393" spans="5:7">
      <c r="E393" s="751"/>
      <c r="F393" s="751"/>
      <c r="G393" s="751"/>
    </row>
    <row r="394" spans="5:7">
      <c r="E394" s="751"/>
      <c r="F394" s="751"/>
      <c r="G394" s="751"/>
    </row>
    <row r="395" spans="5:7">
      <c r="E395" s="751"/>
      <c r="F395" s="751"/>
      <c r="G395" s="751"/>
    </row>
    <row r="396" spans="5:7">
      <c r="E396" s="751"/>
      <c r="F396" s="751"/>
      <c r="G396" s="751"/>
    </row>
    <row r="397" spans="5:7">
      <c r="E397" s="751"/>
      <c r="F397" s="751"/>
      <c r="G397" s="751"/>
    </row>
    <row r="398" spans="5:7">
      <c r="E398" s="751"/>
      <c r="F398" s="751"/>
      <c r="G398" s="751"/>
    </row>
    <row r="399" spans="5:7">
      <c r="E399" s="751"/>
      <c r="F399" s="751"/>
      <c r="G399" s="751"/>
    </row>
    <row r="400" spans="5:7">
      <c r="E400" s="751"/>
      <c r="F400" s="751"/>
      <c r="G400" s="751"/>
    </row>
    <row r="401" spans="5:7">
      <c r="E401" s="751"/>
      <c r="F401" s="751"/>
      <c r="G401" s="751"/>
    </row>
    <row r="402" spans="5:7">
      <c r="E402" s="751"/>
      <c r="F402" s="751"/>
      <c r="G402" s="751"/>
    </row>
    <row r="403" spans="5:7">
      <c r="E403" s="751"/>
      <c r="F403" s="751"/>
      <c r="G403" s="751"/>
    </row>
    <row r="404" spans="5:7">
      <c r="E404" s="751"/>
      <c r="F404" s="751"/>
      <c r="G404" s="751"/>
    </row>
    <row r="405" spans="5:7">
      <c r="E405" s="751"/>
      <c r="F405" s="751"/>
      <c r="G405" s="751"/>
    </row>
    <row r="406" spans="5:7">
      <c r="E406" s="751"/>
      <c r="F406" s="751"/>
      <c r="G406" s="751"/>
    </row>
    <row r="407" spans="5:7">
      <c r="E407" s="751"/>
      <c r="F407" s="751"/>
      <c r="G407" s="751"/>
    </row>
    <row r="408" spans="5:7">
      <c r="E408" s="751"/>
      <c r="F408" s="751"/>
      <c r="G408" s="751"/>
    </row>
    <row r="409" spans="5:7">
      <c r="E409" s="751"/>
      <c r="F409" s="751"/>
      <c r="G409" s="751"/>
    </row>
    <row r="410" spans="5:7">
      <c r="E410" s="751"/>
      <c r="F410" s="751"/>
      <c r="G410" s="751"/>
    </row>
    <row r="411" spans="5:7">
      <c r="E411" s="751"/>
      <c r="F411" s="751"/>
      <c r="G411" s="751"/>
    </row>
    <row r="412" spans="5:7">
      <c r="E412" s="751"/>
      <c r="F412" s="751"/>
      <c r="G412" s="751"/>
    </row>
    <row r="413" spans="5:7">
      <c r="E413" s="751"/>
      <c r="F413" s="751"/>
      <c r="G413" s="751"/>
    </row>
    <row r="414" spans="5:7">
      <c r="E414" s="751"/>
      <c r="F414" s="751"/>
      <c r="G414" s="751"/>
    </row>
    <row r="415" spans="5:7">
      <c r="E415" s="751"/>
      <c r="F415" s="751"/>
      <c r="G415" s="751"/>
    </row>
    <row r="416" spans="5:7">
      <c r="E416" s="751"/>
      <c r="F416" s="751"/>
      <c r="G416" s="751"/>
    </row>
    <row r="417" spans="5:7">
      <c r="E417" s="751"/>
      <c r="F417" s="751"/>
      <c r="G417" s="751"/>
    </row>
    <row r="418" spans="5:7">
      <c r="E418" s="751"/>
      <c r="F418" s="751"/>
      <c r="G418" s="751"/>
    </row>
    <row r="419" spans="5:7">
      <c r="E419" s="751"/>
      <c r="F419" s="751"/>
      <c r="G419" s="751"/>
    </row>
    <row r="420" spans="5:7">
      <c r="E420" s="751"/>
      <c r="F420" s="751"/>
      <c r="G420" s="751"/>
    </row>
    <row r="421" spans="5:7">
      <c r="E421" s="751"/>
      <c r="F421" s="751"/>
      <c r="G421" s="751"/>
    </row>
    <row r="422" spans="5:7">
      <c r="E422" s="751"/>
      <c r="F422" s="751"/>
      <c r="G422" s="751"/>
    </row>
    <row r="423" spans="5:7">
      <c r="E423" s="751"/>
      <c r="F423" s="751"/>
      <c r="G423" s="751"/>
    </row>
    <row r="424" spans="5:7">
      <c r="E424" s="751"/>
      <c r="F424" s="751"/>
      <c r="G424" s="751"/>
    </row>
    <row r="425" spans="5:7">
      <c r="E425" s="751"/>
      <c r="F425" s="751"/>
      <c r="G425" s="751"/>
    </row>
    <row r="426" spans="5:7">
      <c r="E426" s="751"/>
      <c r="F426" s="751"/>
      <c r="G426" s="751"/>
    </row>
    <row r="427" spans="5:7">
      <c r="E427" s="751"/>
      <c r="F427" s="751"/>
      <c r="G427" s="751"/>
    </row>
    <row r="428" spans="5:7">
      <c r="E428" s="751"/>
      <c r="F428" s="751"/>
      <c r="G428" s="751"/>
    </row>
    <row r="429" spans="5:7">
      <c r="E429" s="751"/>
      <c r="F429" s="751"/>
      <c r="G429" s="751"/>
    </row>
    <row r="430" spans="5:7">
      <c r="E430" s="751"/>
      <c r="F430" s="751"/>
      <c r="G430" s="751"/>
    </row>
    <row r="431" spans="5:7">
      <c r="E431" s="751"/>
      <c r="F431" s="751"/>
      <c r="G431" s="751"/>
    </row>
    <row r="432" spans="5:7">
      <c r="E432" s="751"/>
      <c r="F432" s="751"/>
      <c r="G432" s="751"/>
    </row>
    <row r="433" spans="5:7">
      <c r="E433" s="751"/>
      <c r="F433" s="751"/>
      <c r="G433" s="751"/>
    </row>
    <row r="434" spans="5:7">
      <c r="E434" s="751"/>
      <c r="F434" s="751"/>
      <c r="G434" s="751"/>
    </row>
    <row r="435" spans="5:7">
      <c r="E435" s="751"/>
      <c r="F435" s="751"/>
      <c r="G435" s="751"/>
    </row>
    <row r="436" spans="5:7">
      <c r="E436" s="751"/>
      <c r="F436" s="751"/>
      <c r="G436" s="751"/>
    </row>
    <row r="437" spans="5:7">
      <c r="E437" s="751"/>
      <c r="F437" s="751"/>
      <c r="G437" s="751"/>
    </row>
    <row r="438" spans="5:7">
      <c r="E438" s="751"/>
      <c r="F438" s="751"/>
      <c r="G438" s="751"/>
    </row>
    <row r="439" spans="5:7">
      <c r="E439" s="751"/>
      <c r="F439" s="751"/>
      <c r="G439" s="751"/>
    </row>
    <row r="440" spans="5:7">
      <c r="E440" s="751"/>
      <c r="F440" s="751"/>
      <c r="G440" s="751"/>
    </row>
    <row r="441" spans="5:7">
      <c r="E441" s="751"/>
      <c r="F441" s="751"/>
      <c r="G441" s="751"/>
    </row>
    <row r="442" spans="5:7">
      <c r="E442" s="751"/>
      <c r="F442" s="751"/>
      <c r="G442" s="751"/>
    </row>
    <row r="443" spans="5:7">
      <c r="E443" s="751"/>
      <c r="F443" s="751"/>
      <c r="G443" s="751"/>
    </row>
    <row r="444" spans="5:7">
      <c r="E444" s="751"/>
      <c r="F444" s="751"/>
      <c r="G444" s="751"/>
    </row>
    <row r="445" spans="5:7">
      <c r="E445" s="751"/>
      <c r="F445" s="751"/>
      <c r="G445" s="751"/>
    </row>
    <row r="446" spans="5:7">
      <c r="E446" s="751"/>
      <c r="F446" s="751"/>
      <c r="G446" s="751"/>
    </row>
    <row r="447" spans="5:7">
      <c r="E447" s="751"/>
      <c r="F447" s="751"/>
      <c r="G447" s="751"/>
    </row>
    <row r="448" spans="5:7">
      <c r="E448" s="751"/>
      <c r="F448" s="751"/>
      <c r="G448" s="751"/>
    </row>
    <row r="449" spans="5:7">
      <c r="E449" s="751"/>
      <c r="F449" s="751"/>
      <c r="G449" s="751"/>
    </row>
    <row r="450" spans="5:7">
      <c r="E450" s="751"/>
      <c r="F450" s="751"/>
      <c r="G450" s="751"/>
    </row>
  </sheetData>
  <customSheetViews>
    <customSheetView guid="{63AFAF34-E340-4B5E-A289-FFB7051CA9B6}" scale="80" outlineSymbols="0" fitToPage="1" view="pageBreakPreview">
      <pane ySplit="12" topLeftCell="A13" activePane="bottomLeft" state="frozen"/>
      <selection pane="bottomLeft" activeCell="G15" sqref="G15"/>
      <rowBreaks count="1" manualBreakCount="1">
        <brk id="11" max="16383" man="1"/>
      </rowBreaks>
      <pageMargins left="0.75" right="0.5" top="0.5" bottom="1" header="0.5" footer="0.5"/>
      <printOptions horizontalCentered="1"/>
      <pageSetup scale="67" firstPageNumber="28" orientation="portrait" useFirstPageNumber="1" horizontalDpi="4294967292" verticalDpi="4294967292" r:id="rId1"/>
      <headerFooter alignWithMargins="0"/>
    </customSheetView>
    <customSheetView guid="{F1DC5514-577A-46EB-866C-26F0BED2C286}" scale="80" outlineSymbols="0" fitToPage="1" view="pageBreakPreview">
      <pane ySplit="12" topLeftCell="A13" activePane="bottomLeft" state="frozen"/>
      <selection pane="bottomLeft" sqref="A1:H1"/>
      <rowBreaks count="1" manualBreakCount="1">
        <brk id="11" max="16383" man="1"/>
      </rowBreaks>
      <pageMargins left="0.75" right="0.5" top="0.5" bottom="1" header="0.5" footer="0.5"/>
      <printOptions horizontalCentered="1"/>
      <pageSetup scale="83" firstPageNumber="28" orientation="landscape" useFirstPageNumber="1" horizontalDpi="4294967292" verticalDpi="4294967292" r:id="rId2"/>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1" firstPageNumber="28" orientation="landscape" useFirstPageNumber="1" horizontalDpi="4294967292" verticalDpi="4294967292" r:id="rId3"/>
  <headerFooter alignWithMargins="0"/>
  <rowBreaks count="1" manualBreakCount="1">
    <brk id="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sqref="A1:K1"/>
    </sheetView>
  </sheetViews>
  <sheetFormatPr defaultColWidth="8.81640625" defaultRowHeight="15.6"/>
  <cols>
    <col min="1" max="1" width="8.81640625" style="225"/>
    <col min="2" max="2" width="51.81640625" style="225" customWidth="1"/>
    <col min="3" max="3" width="15.6328125" style="225" customWidth="1"/>
    <col min="4" max="4" width="14.81640625" style="225" bestFit="1" customWidth="1"/>
    <col min="5" max="5" width="1.6328125" style="225" customWidth="1"/>
    <col min="6" max="6" width="15.90625" style="225" customWidth="1"/>
    <col min="7" max="7" width="1.453125" style="225" customWidth="1"/>
    <col min="8" max="8" width="8.81640625" style="225"/>
    <col min="9" max="9" width="35.36328125" style="225" customWidth="1"/>
    <col min="10" max="10" width="16.08984375" style="225" customWidth="1"/>
    <col min="11" max="11" width="9.08984375" style="225" bestFit="1" customWidth="1"/>
    <col min="12" max="12" width="10.08984375" style="225" bestFit="1" customWidth="1"/>
    <col min="13" max="13" width="10.81640625" style="225" customWidth="1"/>
    <col min="14" max="257" width="8.81640625" style="225"/>
    <col min="258" max="258" width="35.1796875" style="225" customWidth="1"/>
    <col min="259" max="259" width="15.6328125" style="225" customWidth="1"/>
    <col min="260" max="260" width="14.81640625" style="225" bestFit="1" customWidth="1"/>
    <col min="261" max="261" width="1.6328125" style="225" customWidth="1"/>
    <col min="262" max="262" width="15.90625" style="225" customWidth="1"/>
    <col min="263" max="263" width="1.453125" style="225" customWidth="1"/>
    <col min="264" max="264" width="8.81640625" style="225"/>
    <col min="265" max="265" width="35.36328125" style="225" customWidth="1"/>
    <col min="266" max="266" width="16.08984375" style="225" customWidth="1"/>
    <col min="267" max="267" width="9.08984375" style="225" bestFit="1" customWidth="1"/>
    <col min="268" max="268" width="10.08984375" style="225" bestFit="1" customWidth="1"/>
    <col min="269" max="269" width="10.81640625" style="225" customWidth="1"/>
    <col min="270" max="513" width="8.81640625" style="225"/>
    <col min="514" max="514" width="35.1796875" style="225" customWidth="1"/>
    <col min="515" max="515" width="15.6328125" style="225" customWidth="1"/>
    <col min="516" max="516" width="14.81640625" style="225" bestFit="1" customWidth="1"/>
    <col min="517" max="517" width="1.6328125" style="225" customWidth="1"/>
    <col min="518" max="518" width="15.90625" style="225" customWidth="1"/>
    <col min="519" max="519" width="1.453125" style="225" customWidth="1"/>
    <col min="520" max="520" width="8.81640625" style="225"/>
    <col min="521" max="521" width="35.36328125" style="225" customWidth="1"/>
    <col min="522" max="522" width="16.08984375" style="225" customWidth="1"/>
    <col min="523" max="523" width="9.08984375" style="225" bestFit="1" customWidth="1"/>
    <col min="524" max="524" width="10.08984375" style="225" bestFit="1" customWidth="1"/>
    <col min="525" max="525" width="10.81640625" style="225" customWidth="1"/>
    <col min="526" max="769" width="8.81640625" style="225"/>
    <col min="770" max="770" width="35.1796875" style="225" customWidth="1"/>
    <col min="771" max="771" width="15.6328125" style="225" customWidth="1"/>
    <col min="772" max="772" width="14.81640625" style="225" bestFit="1" customWidth="1"/>
    <col min="773" max="773" width="1.6328125" style="225" customWidth="1"/>
    <col min="774" max="774" width="15.90625" style="225" customWidth="1"/>
    <col min="775" max="775" width="1.453125" style="225" customWidth="1"/>
    <col min="776" max="776" width="8.81640625" style="225"/>
    <col min="777" max="777" width="35.36328125" style="225" customWidth="1"/>
    <col min="778" max="778" width="16.08984375" style="225" customWidth="1"/>
    <col min="779" max="779" width="9.08984375" style="225" bestFit="1" customWidth="1"/>
    <col min="780" max="780" width="10.08984375" style="225" bestFit="1" customWidth="1"/>
    <col min="781" max="781" width="10.81640625" style="225" customWidth="1"/>
    <col min="782" max="1025" width="8.81640625" style="225"/>
    <col min="1026" max="1026" width="35.1796875" style="225" customWidth="1"/>
    <col min="1027" max="1027" width="15.6328125" style="225" customWidth="1"/>
    <col min="1028" max="1028" width="14.81640625" style="225" bestFit="1" customWidth="1"/>
    <col min="1029" max="1029" width="1.6328125" style="225" customWidth="1"/>
    <col min="1030" max="1030" width="15.90625" style="225" customWidth="1"/>
    <col min="1031" max="1031" width="1.453125" style="225" customWidth="1"/>
    <col min="1032" max="1032" width="8.81640625" style="225"/>
    <col min="1033" max="1033" width="35.36328125" style="225" customWidth="1"/>
    <col min="1034" max="1034" width="16.08984375" style="225" customWidth="1"/>
    <col min="1035" max="1035" width="9.08984375" style="225" bestFit="1" customWidth="1"/>
    <col min="1036" max="1036" width="10.08984375" style="225" bestFit="1" customWidth="1"/>
    <col min="1037" max="1037" width="10.81640625" style="225" customWidth="1"/>
    <col min="1038" max="1281" width="8.81640625" style="225"/>
    <col min="1282" max="1282" width="35.1796875" style="225" customWidth="1"/>
    <col min="1283" max="1283" width="15.6328125" style="225" customWidth="1"/>
    <col min="1284" max="1284" width="14.81640625" style="225" bestFit="1" customWidth="1"/>
    <col min="1285" max="1285" width="1.6328125" style="225" customWidth="1"/>
    <col min="1286" max="1286" width="15.90625" style="225" customWidth="1"/>
    <col min="1287" max="1287" width="1.453125" style="225" customWidth="1"/>
    <col min="1288" max="1288" width="8.81640625" style="225"/>
    <col min="1289" max="1289" width="35.36328125" style="225" customWidth="1"/>
    <col min="1290" max="1290" width="16.08984375" style="225" customWidth="1"/>
    <col min="1291" max="1291" width="9.08984375" style="225" bestFit="1" customWidth="1"/>
    <col min="1292" max="1292" width="10.08984375" style="225" bestFit="1" customWidth="1"/>
    <col min="1293" max="1293" width="10.81640625" style="225" customWidth="1"/>
    <col min="1294" max="1537" width="8.81640625" style="225"/>
    <col min="1538" max="1538" width="35.1796875" style="225" customWidth="1"/>
    <col min="1539" max="1539" width="15.6328125" style="225" customWidth="1"/>
    <col min="1540" max="1540" width="14.81640625" style="225" bestFit="1" customWidth="1"/>
    <col min="1541" max="1541" width="1.6328125" style="225" customWidth="1"/>
    <col min="1542" max="1542" width="15.90625" style="225" customWidth="1"/>
    <col min="1543" max="1543" width="1.453125" style="225" customWidth="1"/>
    <col min="1544" max="1544" width="8.81640625" style="225"/>
    <col min="1545" max="1545" width="35.36328125" style="225" customWidth="1"/>
    <col min="1546" max="1546" width="16.08984375" style="225" customWidth="1"/>
    <col min="1547" max="1547" width="9.08984375" style="225" bestFit="1" customWidth="1"/>
    <col min="1548" max="1548" width="10.08984375" style="225" bestFit="1" customWidth="1"/>
    <col min="1549" max="1549" width="10.81640625" style="225" customWidth="1"/>
    <col min="1550" max="1793" width="8.81640625" style="225"/>
    <col min="1794" max="1794" width="35.1796875" style="225" customWidth="1"/>
    <col min="1795" max="1795" width="15.6328125" style="225" customWidth="1"/>
    <col min="1796" max="1796" width="14.81640625" style="225" bestFit="1" customWidth="1"/>
    <col min="1797" max="1797" width="1.6328125" style="225" customWidth="1"/>
    <col min="1798" max="1798" width="15.90625" style="225" customWidth="1"/>
    <col min="1799" max="1799" width="1.453125" style="225" customWidth="1"/>
    <col min="1800" max="1800" width="8.81640625" style="225"/>
    <col min="1801" max="1801" width="35.36328125" style="225" customWidth="1"/>
    <col min="1802" max="1802" width="16.08984375" style="225" customWidth="1"/>
    <col min="1803" max="1803" width="9.08984375" style="225" bestFit="1" customWidth="1"/>
    <col min="1804" max="1804" width="10.08984375" style="225" bestFit="1" customWidth="1"/>
    <col min="1805" max="1805" width="10.81640625" style="225" customWidth="1"/>
    <col min="1806" max="2049" width="8.81640625" style="225"/>
    <col min="2050" max="2050" width="35.1796875" style="225" customWidth="1"/>
    <col min="2051" max="2051" width="15.6328125" style="225" customWidth="1"/>
    <col min="2052" max="2052" width="14.81640625" style="225" bestFit="1" customWidth="1"/>
    <col min="2053" max="2053" width="1.6328125" style="225" customWidth="1"/>
    <col min="2054" max="2054" width="15.90625" style="225" customWidth="1"/>
    <col min="2055" max="2055" width="1.453125" style="225" customWidth="1"/>
    <col min="2056" max="2056" width="8.81640625" style="225"/>
    <col min="2057" max="2057" width="35.36328125" style="225" customWidth="1"/>
    <col min="2058" max="2058" width="16.08984375" style="225" customWidth="1"/>
    <col min="2059" max="2059" width="9.08984375" style="225" bestFit="1" customWidth="1"/>
    <col min="2060" max="2060" width="10.08984375" style="225" bestFit="1" customWidth="1"/>
    <col min="2061" max="2061" width="10.81640625" style="225" customWidth="1"/>
    <col min="2062" max="2305" width="8.81640625" style="225"/>
    <col min="2306" max="2306" width="35.1796875" style="225" customWidth="1"/>
    <col min="2307" max="2307" width="15.6328125" style="225" customWidth="1"/>
    <col min="2308" max="2308" width="14.81640625" style="225" bestFit="1" customWidth="1"/>
    <col min="2309" max="2309" width="1.6328125" style="225" customWidth="1"/>
    <col min="2310" max="2310" width="15.90625" style="225" customWidth="1"/>
    <col min="2311" max="2311" width="1.453125" style="225" customWidth="1"/>
    <col min="2312" max="2312" width="8.81640625" style="225"/>
    <col min="2313" max="2313" width="35.36328125" style="225" customWidth="1"/>
    <col min="2314" max="2314" width="16.08984375" style="225" customWidth="1"/>
    <col min="2315" max="2315" width="9.08984375" style="225" bestFit="1" customWidth="1"/>
    <col min="2316" max="2316" width="10.08984375" style="225" bestFit="1" customWidth="1"/>
    <col min="2317" max="2317" width="10.81640625" style="225" customWidth="1"/>
    <col min="2318" max="2561" width="8.81640625" style="225"/>
    <col min="2562" max="2562" width="35.1796875" style="225" customWidth="1"/>
    <col min="2563" max="2563" width="15.6328125" style="225" customWidth="1"/>
    <col min="2564" max="2564" width="14.81640625" style="225" bestFit="1" customWidth="1"/>
    <col min="2565" max="2565" width="1.6328125" style="225" customWidth="1"/>
    <col min="2566" max="2566" width="15.90625" style="225" customWidth="1"/>
    <col min="2567" max="2567" width="1.453125" style="225" customWidth="1"/>
    <col min="2568" max="2568" width="8.81640625" style="225"/>
    <col min="2569" max="2569" width="35.36328125" style="225" customWidth="1"/>
    <col min="2570" max="2570" width="16.08984375" style="225" customWidth="1"/>
    <col min="2571" max="2571" width="9.08984375" style="225" bestFit="1" customWidth="1"/>
    <col min="2572" max="2572" width="10.08984375" style="225" bestFit="1" customWidth="1"/>
    <col min="2573" max="2573" width="10.81640625" style="225" customWidth="1"/>
    <col min="2574" max="2817" width="8.81640625" style="225"/>
    <col min="2818" max="2818" width="35.1796875" style="225" customWidth="1"/>
    <col min="2819" max="2819" width="15.6328125" style="225" customWidth="1"/>
    <col min="2820" max="2820" width="14.81640625" style="225" bestFit="1" customWidth="1"/>
    <col min="2821" max="2821" width="1.6328125" style="225" customWidth="1"/>
    <col min="2822" max="2822" width="15.90625" style="225" customWidth="1"/>
    <col min="2823" max="2823" width="1.453125" style="225" customWidth="1"/>
    <col min="2824" max="2824" width="8.81640625" style="225"/>
    <col min="2825" max="2825" width="35.36328125" style="225" customWidth="1"/>
    <col min="2826" max="2826" width="16.08984375" style="225" customWidth="1"/>
    <col min="2827" max="2827" width="9.08984375" style="225" bestFit="1" customWidth="1"/>
    <col min="2828" max="2828" width="10.08984375" style="225" bestFit="1" customWidth="1"/>
    <col min="2829" max="2829" width="10.81640625" style="225" customWidth="1"/>
    <col min="2830" max="3073" width="8.81640625" style="225"/>
    <col min="3074" max="3074" width="35.1796875" style="225" customWidth="1"/>
    <col min="3075" max="3075" width="15.6328125" style="225" customWidth="1"/>
    <col min="3076" max="3076" width="14.81640625" style="225" bestFit="1" customWidth="1"/>
    <col min="3077" max="3077" width="1.6328125" style="225" customWidth="1"/>
    <col min="3078" max="3078" width="15.90625" style="225" customWidth="1"/>
    <col min="3079" max="3079" width="1.453125" style="225" customWidth="1"/>
    <col min="3080" max="3080" width="8.81640625" style="225"/>
    <col min="3081" max="3081" width="35.36328125" style="225" customWidth="1"/>
    <col min="3082" max="3082" width="16.08984375" style="225" customWidth="1"/>
    <col min="3083" max="3083" width="9.08984375" style="225" bestFit="1" customWidth="1"/>
    <col min="3084" max="3084" width="10.08984375" style="225" bestFit="1" customWidth="1"/>
    <col min="3085" max="3085" width="10.81640625" style="225" customWidth="1"/>
    <col min="3086" max="3329" width="8.81640625" style="225"/>
    <col min="3330" max="3330" width="35.1796875" style="225" customWidth="1"/>
    <col min="3331" max="3331" width="15.6328125" style="225" customWidth="1"/>
    <col min="3332" max="3332" width="14.81640625" style="225" bestFit="1" customWidth="1"/>
    <col min="3333" max="3333" width="1.6328125" style="225" customWidth="1"/>
    <col min="3334" max="3334" width="15.90625" style="225" customWidth="1"/>
    <col min="3335" max="3335" width="1.453125" style="225" customWidth="1"/>
    <col min="3336" max="3336" width="8.81640625" style="225"/>
    <col min="3337" max="3337" width="35.36328125" style="225" customWidth="1"/>
    <col min="3338" max="3338" width="16.08984375" style="225" customWidth="1"/>
    <col min="3339" max="3339" width="9.08984375" style="225" bestFit="1" customWidth="1"/>
    <col min="3340" max="3340" width="10.08984375" style="225" bestFit="1" customWidth="1"/>
    <col min="3341" max="3341" width="10.81640625" style="225" customWidth="1"/>
    <col min="3342" max="3585" width="8.81640625" style="225"/>
    <col min="3586" max="3586" width="35.1796875" style="225" customWidth="1"/>
    <col min="3587" max="3587" width="15.6328125" style="225" customWidth="1"/>
    <col min="3588" max="3588" width="14.81640625" style="225" bestFit="1" customWidth="1"/>
    <col min="3589" max="3589" width="1.6328125" style="225" customWidth="1"/>
    <col min="3590" max="3590" width="15.90625" style="225" customWidth="1"/>
    <col min="3591" max="3591" width="1.453125" style="225" customWidth="1"/>
    <col min="3592" max="3592" width="8.81640625" style="225"/>
    <col min="3593" max="3593" width="35.36328125" style="225" customWidth="1"/>
    <col min="3594" max="3594" width="16.08984375" style="225" customWidth="1"/>
    <col min="3595" max="3595" width="9.08984375" style="225" bestFit="1" customWidth="1"/>
    <col min="3596" max="3596" width="10.08984375" style="225" bestFit="1" customWidth="1"/>
    <col min="3597" max="3597" width="10.81640625" style="225" customWidth="1"/>
    <col min="3598" max="3841" width="8.81640625" style="225"/>
    <col min="3842" max="3842" width="35.1796875" style="225" customWidth="1"/>
    <col min="3843" max="3843" width="15.6328125" style="225" customWidth="1"/>
    <col min="3844" max="3844" width="14.81640625" style="225" bestFit="1" customWidth="1"/>
    <col min="3845" max="3845" width="1.6328125" style="225" customWidth="1"/>
    <col min="3846" max="3846" width="15.90625" style="225" customWidth="1"/>
    <col min="3847" max="3847" width="1.453125" style="225" customWidth="1"/>
    <col min="3848" max="3848" width="8.81640625" style="225"/>
    <col min="3849" max="3849" width="35.36328125" style="225" customWidth="1"/>
    <col min="3850" max="3850" width="16.08984375" style="225" customWidth="1"/>
    <col min="3851" max="3851" width="9.08984375" style="225" bestFit="1" customWidth="1"/>
    <col min="3852" max="3852" width="10.08984375" style="225" bestFit="1" customWidth="1"/>
    <col min="3853" max="3853" width="10.81640625" style="225" customWidth="1"/>
    <col min="3854" max="4097" width="8.81640625" style="225"/>
    <col min="4098" max="4098" width="35.1796875" style="225" customWidth="1"/>
    <col min="4099" max="4099" width="15.6328125" style="225" customWidth="1"/>
    <col min="4100" max="4100" width="14.81640625" style="225" bestFit="1" customWidth="1"/>
    <col min="4101" max="4101" width="1.6328125" style="225" customWidth="1"/>
    <col min="4102" max="4102" width="15.90625" style="225" customWidth="1"/>
    <col min="4103" max="4103" width="1.453125" style="225" customWidth="1"/>
    <col min="4104" max="4104" width="8.81640625" style="225"/>
    <col min="4105" max="4105" width="35.36328125" style="225" customWidth="1"/>
    <col min="4106" max="4106" width="16.08984375" style="225" customWidth="1"/>
    <col min="4107" max="4107" width="9.08984375" style="225" bestFit="1" customWidth="1"/>
    <col min="4108" max="4108" width="10.08984375" style="225" bestFit="1" customWidth="1"/>
    <col min="4109" max="4109" width="10.81640625" style="225" customWidth="1"/>
    <col min="4110" max="4353" width="8.81640625" style="225"/>
    <col min="4354" max="4354" width="35.1796875" style="225" customWidth="1"/>
    <col min="4355" max="4355" width="15.6328125" style="225" customWidth="1"/>
    <col min="4356" max="4356" width="14.81640625" style="225" bestFit="1" customWidth="1"/>
    <col min="4357" max="4357" width="1.6328125" style="225" customWidth="1"/>
    <col min="4358" max="4358" width="15.90625" style="225" customWidth="1"/>
    <col min="4359" max="4359" width="1.453125" style="225" customWidth="1"/>
    <col min="4360" max="4360" width="8.81640625" style="225"/>
    <col min="4361" max="4361" width="35.36328125" style="225" customWidth="1"/>
    <col min="4362" max="4362" width="16.08984375" style="225" customWidth="1"/>
    <col min="4363" max="4363" width="9.08984375" style="225" bestFit="1" customWidth="1"/>
    <col min="4364" max="4364" width="10.08984375" style="225" bestFit="1" customWidth="1"/>
    <col min="4365" max="4365" width="10.81640625" style="225" customWidth="1"/>
    <col min="4366" max="4609" width="8.81640625" style="225"/>
    <col min="4610" max="4610" width="35.1796875" style="225" customWidth="1"/>
    <col min="4611" max="4611" width="15.6328125" style="225" customWidth="1"/>
    <col min="4612" max="4612" width="14.81640625" style="225" bestFit="1" customWidth="1"/>
    <col min="4613" max="4613" width="1.6328125" style="225" customWidth="1"/>
    <col min="4614" max="4614" width="15.90625" style="225" customWidth="1"/>
    <col min="4615" max="4615" width="1.453125" style="225" customWidth="1"/>
    <col min="4616" max="4616" width="8.81640625" style="225"/>
    <col min="4617" max="4617" width="35.36328125" style="225" customWidth="1"/>
    <col min="4618" max="4618" width="16.08984375" style="225" customWidth="1"/>
    <col min="4619" max="4619" width="9.08984375" style="225" bestFit="1" customWidth="1"/>
    <col min="4620" max="4620" width="10.08984375" style="225" bestFit="1" customWidth="1"/>
    <col min="4621" max="4621" width="10.81640625" style="225" customWidth="1"/>
    <col min="4622" max="4865" width="8.81640625" style="225"/>
    <col min="4866" max="4866" width="35.1796875" style="225" customWidth="1"/>
    <col min="4867" max="4867" width="15.6328125" style="225" customWidth="1"/>
    <col min="4868" max="4868" width="14.81640625" style="225" bestFit="1" customWidth="1"/>
    <col min="4869" max="4869" width="1.6328125" style="225" customWidth="1"/>
    <col min="4870" max="4870" width="15.90625" style="225" customWidth="1"/>
    <col min="4871" max="4871" width="1.453125" style="225" customWidth="1"/>
    <col min="4872" max="4872" width="8.81640625" style="225"/>
    <col min="4873" max="4873" width="35.36328125" style="225" customWidth="1"/>
    <col min="4874" max="4874" width="16.08984375" style="225" customWidth="1"/>
    <col min="4875" max="4875" width="9.08984375" style="225" bestFit="1" customWidth="1"/>
    <col min="4876" max="4876" width="10.08984375" style="225" bestFit="1" customWidth="1"/>
    <col min="4877" max="4877" width="10.81640625" style="225" customWidth="1"/>
    <col min="4878" max="5121" width="8.81640625" style="225"/>
    <col min="5122" max="5122" width="35.1796875" style="225" customWidth="1"/>
    <col min="5123" max="5123" width="15.6328125" style="225" customWidth="1"/>
    <col min="5124" max="5124" width="14.81640625" style="225" bestFit="1" customWidth="1"/>
    <col min="5125" max="5125" width="1.6328125" style="225" customWidth="1"/>
    <col min="5126" max="5126" width="15.90625" style="225" customWidth="1"/>
    <col min="5127" max="5127" width="1.453125" style="225" customWidth="1"/>
    <col min="5128" max="5128" width="8.81640625" style="225"/>
    <col min="5129" max="5129" width="35.36328125" style="225" customWidth="1"/>
    <col min="5130" max="5130" width="16.08984375" style="225" customWidth="1"/>
    <col min="5131" max="5131" width="9.08984375" style="225" bestFit="1" customWidth="1"/>
    <col min="5132" max="5132" width="10.08984375" style="225" bestFit="1" customWidth="1"/>
    <col min="5133" max="5133" width="10.81640625" style="225" customWidth="1"/>
    <col min="5134" max="5377" width="8.81640625" style="225"/>
    <col min="5378" max="5378" width="35.1796875" style="225" customWidth="1"/>
    <col min="5379" max="5379" width="15.6328125" style="225" customWidth="1"/>
    <col min="5380" max="5380" width="14.81640625" style="225" bestFit="1" customWidth="1"/>
    <col min="5381" max="5381" width="1.6328125" style="225" customWidth="1"/>
    <col min="5382" max="5382" width="15.90625" style="225" customWidth="1"/>
    <col min="5383" max="5383" width="1.453125" style="225" customWidth="1"/>
    <col min="5384" max="5384" width="8.81640625" style="225"/>
    <col min="5385" max="5385" width="35.36328125" style="225" customWidth="1"/>
    <col min="5386" max="5386" width="16.08984375" style="225" customWidth="1"/>
    <col min="5387" max="5387" width="9.08984375" style="225" bestFit="1" customWidth="1"/>
    <col min="5388" max="5388" width="10.08984375" style="225" bestFit="1" customWidth="1"/>
    <col min="5389" max="5389" width="10.81640625" style="225" customWidth="1"/>
    <col min="5390" max="5633" width="8.81640625" style="225"/>
    <col min="5634" max="5634" width="35.1796875" style="225" customWidth="1"/>
    <col min="5635" max="5635" width="15.6328125" style="225" customWidth="1"/>
    <col min="5636" max="5636" width="14.81640625" style="225" bestFit="1" customWidth="1"/>
    <col min="5637" max="5637" width="1.6328125" style="225" customWidth="1"/>
    <col min="5638" max="5638" width="15.90625" style="225" customWidth="1"/>
    <col min="5639" max="5639" width="1.453125" style="225" customWidth="1"/>
    <col min="5640" max="5640" width="8.81640625" style="225"/>
    <col min="5641" max="5641" width="35.36328125" style="225" customWidth="1"/>
    <col min="5642" max="5642" width="16.08984375" style="225" customWidth="1"/>
    <col min="5643" max="5643" width="9.08984375" style="225" bestFit="1" customWidth="1"/>
    <col min="5644" max="5644" width="10.08984375" style="225" bestFit="1" customWidth="1"/>
    <col min="5645" max="5645" width="10.81640625" style="225" customWidth="1"/>
    <col min="5646" max="5889" width="8.81640625" style="225"/>
    <col min="5890" max="5890" width="35.1796875" style="225" customWidth="1"/>
    <col min="5891" max="5891" width="15.6328125" style="225" customWidth="1"/>
    <col min="5892" max="5892" width="14.81640625" style="225" bestFit="1" customWidth="1"/>
    <col min="5893" max="5893" width="1.6328125" style="225" customWidth="1"/>
    <col min="5894" max="5894" width="15.90625" style="225" customWidth="1"/>
    <col min="5895" max="5895" width="1.453125" style="225" customWidth="1"/>
    <col min="5896" max="5896" width="8.81640625" style="225"/>
    <col min="5897" max="5897" width="35.36328125" style="225" customWidth="1"/>
    <col min="5898" max="5898" width="16.08984375" style="225" customWidth="1"/>
    <col min="5899" max="5899" width="9.08984375" style="225" bestFit="1" customWidth="1"/>
    <col min="5900" max="5900" width="10.08984375" style="225" bestFit="1" customWidth="1"/>
    <col min="5901" max="5901" width="10.81640625" style="225" customWidth="1"/>
    <col min="5902" max="6145" width="8.81640625" style="225"/>
    <col min="6146" max="6146" width="35.1796875" style="225" customWidth="1"/>
    <col min="6147" max="6147" width="15.6328125" style="225" customWidth="1"/>
    <col min="6148" max="6148" width="14.81640625" style="225" bestFit="1" customWidth="1"/>
    <col min="6149" max="6149" width="1.6328125" style="225" customWidth="1"/>
    <col min="6150" max="6150" width="15.90625" style="225" customWidth="1"/>
    <col min="6151" max="6151" width="1.453125" style="225" customWidth="1"/>
    <col min="6152" max="6152" width="8.81640625" style="225"/>
    <col min="6153" max="6153" width="35.36328125" style="225" customWidth="1"/>
    <col min="6154" max="6154" width="16.08984375" style="225" customWidth="1"/>
    <col min="6155" max="6155" width="9.08984375" style="225" bestFit="1" customWidth="1"/>
    <col min="6156" max="6156" width="10.08984375" style="225" bestFit="1" customWidth="1"/>
    <col min="6157" max="6157" width="10.81640625" style="225" customWidth="1"/>
    <col min="6158" max="6401" width="8.81640625" style="225"/>
    <col min="6402" max="6402" width="35.1796875" style="225" customWidth="1"/>
    <col min="6403" max="6403" width="15.6328125" style="225" customWidth="1"/>
    <col min="6404" max="6404" width="14.81640625" style="225" bestFit="1" customWidth="1"/>
    <col min="6405" max="6405" width="1.6328125" style="225" customWidth="1"/>
    <col min="6406" max="6406" width="15.90625" style="225" customWidth="1"/>
    <col min="6407" max="6407" width="1.453125" style="225" customWidth="1"/>
    <col min="6408" max="6408" width="8.81640625" style="225"/>
    <col min="6409" max="6409" width="35.36328125" style="225" customWidth="1"/>
    <col min="6410" max="6410" width="16.08984375" style="225" customWidth="1"/>
    <col min="6411" max="6411" width="9.08984375" style="225" bestFit="1" customWidth="1"/>
    <col min="6412" max="6412" width="10.08984375" style="225" bestFit="1" customWidth="1"/>
    <col min="6413" max="6413" width="10.81640625" style="225" customWidth="1"/>
    <col min="6414" max="6657" width="8.81640625" style="225"/>
    <col min="6658" max="6658" width="35.1796875" style="225" customWidth="1"/>
    <col min="6659" max="6659" width="15.6328125" style="225" customWidth="1"/>
    <col min="6660" max="6660" width="14.81640625" style="225" bestFit="1" customWidth="1"/>
    <col min="6661" max="6661" width="1.6328125" style="225" customWidth="1"/>
    <col min="6662" max="6662" width="15.90625" style="225" customWidth="1"/>
    <col min="6663" max="6663" width="1.453125" style="225" customWidth="1"/>
    <col min="6664" max="6664" width="8.81640625" style="225"/>
    <col min="6665" max="6665" width="35.36328125" style="225" customWidth="1"/>
    <col min="6666" max="6666" width="16.08984375" style="225" customWidth="1"/>
    <col min="6667" max="6667" width="9.08984375" style="225" bestFit="1" customWidth="1"/>
    <col min="6668" max="6668" width="10.08984375" style="225" bestFit="1" customWidth="1"/>
    <col min="6669" max="6669" width="10.81640625" style="225" customWidth="1"/>
    <col min="6670" max="6913" width="8.81640625" style="225"/>
    <col min="6914" max="6914" width="35.1796875" style="225" customWidth="1"/>
    <col min="6915" max="6915" width="15.6328125" style="225" customWidth="1"/>
    <col min="6916" max="6916" width="14.81640625" style="225" bestFit="1" customWidth="1"/>
    <col min="6917" max="6917" width="1.6328125" style="225" customWidth="1"/>
    <col min="6918" max="6918" width="15.90625" style="225" customWidth="1"/>
    <col min="6919" max="6919" width="1.453125" style="225" customWidth="1"/>
    <col min="6920" max="6920" width="8.81640625" style="225"/>
    <col min="6921" max="6921" width="35.36328125" style="225" customWidth="1"/>
    <col min="6922" max="6922" width="16.08984375" style="225" customWidth="1"/>
    <col min="6923" max="6923" width="9.08984375" style="225" bestFit="1" customWidth="1"/>
    <col min="6924" max="6924" width="10.08984375" style="225" bestFit="1" customWidth="1"/>
    <col min="6925" max="6925" width="10.81640625" style="225" customWidth="1"/>
    <col min="6926" max="7169" width="8.81640625" style="225"/>
    <col min="7170" max="7170" width="35.1796875" style="225" customWidth="1"/>
    <col min="7171" max="7171" width="15.6328125" style="225" customWidth="1"/>
    <col min="7172" max="7172" width="14.81640625" style="225" bestFit="1" customWidth="1"/>
    <col min="7173" max="7173" width="1.6328125" style="225" customWidth="1"/>
    <col min="7174" max="7174" width="15.90625" style="225" customWidth="1"/>
    <col min="7175" max="7175" width="1.453125" style="225" customWidth="1"/>
    <col min="7176" max="7176" width="8.81640625" style="225"/>
    <col min="7177" max="7177" width="35.36328125" style="225" customWidth="1"/>
    <col min="7178" max="7178" width="16.08984375" style="225" customWidth="1"/>
    <col min="7179" max="7179" width="9.08984375" style="225" bestFit="1" customWidth="1"/>
    <col min="7180" max="7180" width="10.08984375" style="225" bestFit="1" customWidth="1"/>
    <col min="7181" max="7181" width="10.81640625" style="225" customWidth="1"/>
    <col min="7182" max="7425" width="8.81640625" style="225"/>
    <col min="7426" max="7426" width="35.1796875" style="225" customWidth="1"/>
    <col min="7427" max="7427" width="15.6328125" style="225" customWidth="1"/>
    <col min="7428" max="7428" width="14.81640625" style="225" bestFit="1" customWidth="1"/>
    <col min="7429" max="7429" width="1.6328125" style="225" customWidth="1"/>
    <col min="7430" max="7430" width="15.90625" style="225" customWidth="1"/>
    <col min="7431" max="7431" width="1.453125" style="225" customWidth="1"/>
    <col min="7432" max="7432" width="8.81640625" style="225"/>
    <col min="7433" max="7433" width="35.36328125" style="225" customWidth="1"/>
    <col min="7434" max="7434" width="16.08984375" style="225" customWidth="1"/>
    <col min="7435" max="7435" width="9.08984375" style="225" bestFit="1" customWidth="1"/>
    <col min="7436" max="7436" width="10.08984375" style="225" bestFit="1" customWidth="1"/>
    <col min="7437" max="7437" width="10.81640625" style="225" customWidth="1"/>
    <col min="7438" max="7681" width="8.81640625" style="225"/>
    <col min="7682" max="7682" width="35.1796875" style="225" customWidth="1"/>
    <col min="7683" max="7683" width="15.6328125" style="225" customWidth="1"/>
    <col min="7684" max="7684" width="14.81640625" style="225" bestFit="1" customWidth="1"/>
    <col min="7685" max="7685" width="1.6328125" style="225" customWidth="1"/>
    <col min="7686" max="7686" width="15.90625" style="225" customWidth="1"/>
    <col min="7687" max="7687" width="1.453125" style="225" customWidth="1"/>
    <col min="7688" max="7688" width="8.81640625" style="225"/>
    <col min="7689" max="7689" width="35.36328125" style="225" customWidth="1"/>
    <col min="7690" max="7690" width="16.08984375" style="225" customWidth="1"/>
    <col min="7691" max="7691" width="9.08984375" style="225" bestFit="1" customWidth="1"/>
    <col min="7692" max="7692" width="10.08984375" style="225" bestFit="1" customWidth="1"/>
    <col min="7693" max="7693" width="10.81640625" style="225" customWidth="1"/>
    <col min="7694" max="7937" width="8.81640625" style="225"/>
    <col min="7938" max="7938" width="35.1796875" style="225" customWidth="1"/>
    <col min="7939" max="7939" width="15.6328125" style="225" customWidth="1"/>
    <col min="7940" max="7940" width="14.81640625" style="225" bestFit="1" customWidth="1"/>
    <col min="7941" max="7941" width="1.6328125" style="225" customWidth="1"/>
    <col min="7942" max="7942" width="15.90625" style="225" customWidth="1"/>
    <col min="7943" max="7943" width="1.453125" style="225" customWidth="1"/>
    <col min="7944" max="7944" width="8.81640625" style="225"/>
    <col min="7945" max="7945" width="35.36328125" style="225" customWidth="1"/>
    <col min="7946" max="7946" width="16.08984375" style="225" customWidth="1"/>
    <col min="7947" max="7947" width="9.08984375" style="225" bestFit="1" customWidth="1"/>
    <col min="7948" max="7948" width="10.08984375" style="225" bestFit="1" customWidth="1"/>
    <col min="7949" max="7949" width="10.81640625" style="225" customWidth="1"/>
    <col min="7950" max="8193" width="8.81640625" style="225"/>
    <col min="8194" max="8194" width="35.1796875" style="225" customWidth="1"/>
    <col min="8195" max="8195" width="15.6328125" style="225" customWidth="1"/>
    <col min="8196" max="8196" width="14.81640625" style="225" bestFit="1" customWidth="1"/>
    <col min="8197" max="8197" width="1.6328125" style="225" customWidth="1"/>
    <col min="8198" max="8198" width="15.90625" style="225" customWidth="1"/>
    <col min="8199" max="8199" width="1.453125" style="225" customWidth="1"/>
    <col min="8200" max="8200" width="8.81640625" style="225"/>
    <col min="8201" max="8201" width="35.36328125" style="225" customWidth="1"/>
    <col min="8202" max="8202" width="16.08984375" style="225" customWidth="1"/>
    <col min="8203" max="8203" width="9.08984375" style="225" bestFit="1" customWidth="1"/>
    <col min="8204" max="8204" width="10.08984375" style="225" bestFit="1" customWidth="1"/>
    <col min="8205" max="8205" width="10.81640625" style="225" customWidth="1"/>
    <col min="8206" max="8449" width="8.81640625" style="225"/>
    <col min="8450" max="8450" width="35.1796875" style="225" customWidth="1"/>
    <col min="8451" max="8451" width="15.6328125" style="225" customWidth="1"/>
    <col min="8452" max="8452" width="14.81640625" style="225" bestFit="1" customWidth="1"/>
    <col min="8453" max="8453" width="1.6328125" style="225" customWidth="1"/>
    <col min="8454" max="8454" width="15.90625" style="225" customWidth="1"/>
    <col min="8455" max="8455" width="1.453125" style="225" customWidth="1"/>
    <col min="8456" max="8456" width="8.81640625" style="225"/>
    <col min="8457" max="8457" width="35.36328125" style="225" customWidth="1"/>
    <col min="8458" max="8458" width="16.08984375" style="225" customWidth="1"/>
    <col min="8459" max="8459" width="9.08984375" style="225" bestFit="1" customWidth="1"/>
    <col min="8460" max="8460" width="10.08984375" style="225" bestFit="1" customWidth="1"/>
    <col min="8461" max="8461" width="10.81640625" style="225" customWidth="1"/>
    <col min="8462" max="8705" width="8.81640625" style="225"/>
    <col min="8706" max="8706" width="35.1796875" style="225" customWidth="1"/>
    <col min="8707" max="8707" width="15.6328125" style="225" customWidth="1"/>
    <col min="8708" max="8708" width="14.81640625" style="225" bestFit="1" customWidth="1"/>
    <col min="8709" max="8709" width="1.6328125" style="225" customWidth="1"/>
    <col min="8710" max="8710" width="15.90625" style="225" customWidth="1"/>
    <col min="8711" max="8711" width="1.453125" style="225" customWidth="1"/>
    <col min="8712" max="8712" width="8.81640625" style="225"/>
    <col min="8713" max="8713" width="35.36328125" style="225" customWidth="1"/>
    <col min="8714" max="8714" width="16.08984375" style="225" customWidth="1"/>
    <col min="8715" max="8715" width="9.08984375" style="225" bestFit="1" customWidth="1"/>
    <col min="8716" max="8716" width="10.08984375" style="225" bestFit="1" customWidth="1"/>
    <col min="8717" max="8717" width="10.81640625" style="225" customWidth="1"/>
    <col min="8718" max="8961" width="8.81640625" style="225"/>
    <col min="8962" max="8962" width="35.1796875" style="225" customWidth="1"/>
    <col min="8963" max="8963" width="15.6328125" style="225" customWidth="1"/>
    <col min="8964" max="8964" width="14.81640625" style="225" bestFit="1" customWidth="1"/>
    <col min="8965" max="8965" width="1.6328125" style="225" customWidth="1"/>
    <col min="8966" max="8966" width="15.90625" style="225" customWidth="1"/>
    <col min="8967" max="8967" width="1.453125" style="225" customWidth="1"/>
    <col min="8968" max="8968" width="8.81640625" style="225"/>
    <col min="8969" max="8969" width="35.36328125" style="225" customWidth="1"/>
    <col min="8970" max="8970" width="16.08984375" style="225" customWidth="1"/>
    <col min="8971" max="8971" width="9.08984375" style="225" bestFit="1" customWidth="1"/>
    <col min="8972" max="8972" width="10.08984375" style="225" bestFit="1" customWidth="1"/>
    <col min="8973" max="8973" width="10.81640625" style="225" customWidth="1"/>
    <col min="8974" max="9217" width="8.81640625" style="225"/>
    <col min="9218" max="9218" width="35.1796875" style="225" customWidth="1"/>
    <col min="9219" max="9219" width="15.6328125" style="225" customWidth="1"/>
    <col min="9220" max="9220" width="14.81640625" style="225" bestFit="1" customWidth="1"/>
    <col min="9221" max="9221" width="1.6328125" style="225" customWidth="1"/>
    <col min="9222" max="9222" width="15.90625" style="225" customWidth="1"/>
    <col min="9223" max="9223" width="1.453125" style="225" customWidth="1"/>
    <col min="9224" max="9224" width="8.81640625" style="225"/>
    <col min="9225" max="9225" width="35.36328125" style="225" customWidth="1"/>
    <col min="9226" max="9226" width="16.08984375" style="225" customWidth="1"/>
    <col min="9227" max="9227" width="9.08984375" style="225" bestFit="1" customWidth="1"/>
    <col min="9228" max="9228" width="10.08984375" style="225" bestFit="1" customWidth="1"/>
    <col min="9229" max="9229" width="10.81640625" style="225" customWidth="1"/>
    <col min="9230" max="9473" width="8.81640625" style="225"/>
    <col min="9474" max="9474" width="35.1796875" style="225" customWidth="1"/>
    <col min="9475" max="9475" width="15.6328125" style="225" customWidth="1"/>
    <col min="9476" max="9476" width="14.81640625" style="225" bestFit="1" customWidth="1"/>
    <col min="9477" max="9477" width="1.6328125" style="225" customWidth="1"/>
    <col min="9478" max="9478" width="15.90625" style="225" customWidth="1"/>
    <col min="9479" max="9479" width="1.453125" style="225" customWidth="1"/>
    <col min="9480" max="9480" width="8.81640625" style="225"/>
    <col min="9481" max="9481" width="35.36328125" style="225" customWidth="1"/>
    <col min="9482" max="9482" width="16.08984375" style="225" customWidth="1"/>
    <col min="9483" max="9483" width="9.08984375" style="225" bestFit="1" customWidth="1"/>
    <col min="9484" max="9484" width="10.08984375" style="225" bestFit="1" customWidth="1"/>
    <col min="9485" max="9485" width="10.81640625" style="225" customWidth="1"/>
    <col min="9486" max="9729" width="8.81640625" style="225"/>
    <col min="9730" max="9730" width="35.1796875" style="225" customWidth="1"/>
    <col min="9731" max="9731" width="15.6328125" style="225" customWidth="1"/>
    <col min="9732" max="9732" width="14.81640625" style="225" bestFit="1" customWidth="1"/>
    <col min="9733" max="9733" width="1.6328125" style="225" customWidth="1"/>
    <col min="9734" max="9734" width="15.90625" style="225" customWidth="1"/>
    <col min="9735" max="9735" width="1.453125" style="225" customWidth="1"/>
    <col min="9736" max="9736" width="8.81640625" style="225"/>
    <col min="9737" max="9737" width="35.36328125" style="225" customWidth="1"/>
    <col min="9738" max="9738" width="16.08984375" style="225" customWidth="1"/>
    <col min="9739" max="9739" width="9.08984375" style="225" bestFit="1" customWidth="1"/>
    <col min="9740" max="9740" width="10.08984375" style="225" bestFit="1" customWidth="1"/>
    <col min="9741" max="9741" width="10.81640625" style="225" customWidth="1"/>
    <col min="9742" max="9985" width="8.81640625" style="225"/>
    <col min="9986" max="9986" width="35.1796875" style="225" customWidth="1"/>
    <col min="9987" max="9987" width="15.6328125" style="225" customWidth="1"/>
    <col min="9988" max="9988" width="14.81640625" style="225" bestFit="1" customWidth="1"/>
    <col min="9989" max="9989" width="1.6328125" style="225" customWidth="1"/>
    <col min="9990" max="9990" width="15.90625" style="225" customWidth="1"/>
    <col min="9991" max="9991" width="1.453125" style="225" customWidth="1"/>
    <col min="9992" max="9992" width="8.81640625" style="225"/>
    <col min="9993" max="9993" width="35.36328125" style="225" customWidth="1"/>
    <col min="9994" max="9994" width="16.08984375" style="225" customWidth="1"/>
    <col min="9995" max="9995" width="9.08984375" style="225" bestFit="1" customWidth="1"/>
    <col min="9996" max="9996" width="10.08984375" style="225" bestFit="1" customWidth="1"/>
    <col min="9997" max="9997" width="10.81640625" style="225" customWidth="1"/>
    <col min="9998" max="10241" width="8.81640625" style="225"/>
    <col min="10242" max="10242" width="35.1796875" style="225" customWidth="1"/>
    <col min="10243" max="10243" width="15.6328125" style="225" customWidth="1"/>
    <col min="10244" max="10244" width="14.81640625" style="225" bestFit="1" customWidth="1"/>
    <col min="10245" max="10245" width="1.6328125" style="225" customWidth="1"/>
    <col min="10246" max="10246" width="15.90625" style="225" customWidth="1"/>
    <col min="10247" max="10247" width="1.453125" style="225" customWidth="1"/>
    <col min="10248" max="10248" width="8.81640625" style="225"/>
    <col min="10249" max="10249" width="35.36328125" style="225" customWidth="1"/>
    <col min="10250" max="10250" width="16.08984375" style="225" customWidth="1"/>
    <col min="10251" max="10251" width="9.08984375" style="225" bestFit="1" customWidth="1"/>
    <col min="10252" max="10252" width="10.08984375" style="225" bestFit="1" customWidth="1"/>
    <col min="10253" max="10253" width="10.81640625" style="225" customWidth="1"/>
    <col min="10254" max="10497" width="8.81640625" style="225"/>
    <col min="10498" max="10498" width="35.1796875" style="225" customWidth="1"/>
    <col min="10499" max="10499" width="15.6328125" style="225" customWidth="1"/>
    <col min="10500" max="10500" width="14.81640625" style="225" bestFit="1" customWidth="1"/>
    <col min="10501" max="10501" width="1.6328125" style="225" customWidth="1"/>
    <col min="10502" max="10502" width="15.90625" style="225" customWidth="1"/>
    <col min="10503" max="10503" width="1.453125" style="225" customWidth="1"/>
    <col min="10504" max="10504" width="8.81640625" style="225"/>
    <col min="10505" max="10505" width="35.36328125" style="225" customWidth="1"/>
    <col min="10506" max="10506" width="16.08984375" style="225" customWidth="1"/>
    <col min="10507" max="10507" width="9.08984375" style="225" bestFit="1" customWidth="1"/>
    <col min="10508" max="10508" width="10.08984375" style="225" bestFit="1" customWidth="1"/>
    <col min="10509" max="10509" width="10.81640625" style="225" customWidth="1"/>
    <col min="10510" max="10753" width="8.81640625" style="225"/>
    <col min="10754" max="10754" width="35.1796875" style="225" customWidth="1"/>
    <col min="10755" max="10755" width="15.6328125" style="225" customWidth="1"/>
    <col min="10756" max="10756" width="14.81640625" style="225" bestFit="1" customWidth="1"/>
    <col min="10757" max="10757" width="1.6328125" style="225" customWidth="1"/>
    <col min="10758" max="10758" width="15.90625" style="225" customWidth="1"/>
    <col min="10759" max="10759" width="1.453125" style="225" customWidth="1"/>
    <col min="10760" max="10760" width="8.81640625" style="225"/>
    <col min="10761" max="10761" width="35.36328125" style="225" customWidth="1"/>
    <col min="10762" max="10762" width="16.08984375" style="225" customWidth="1"/>
    <col min="10763" max="10763" width="9.08984375" style="225" bestFit="1" customWidth="1"/>
    <col min="10764" max="10764" width="10.08984375" style="225" bestFit="1" customWidth="1"/>
    <col min="10765" max="10765" width="10.81640625" style="225" customWidth="1"/>
    <col min="10766" max="11009" width="8.81640625" style="225"/>
    <col min="11010" max="11010" width="35.1796875" style="225" customWidth="1"/>
    <col min="11011" max="11011" width="15.6328125" style="225" customWidth="1"/>
    <col min="11012" max="11012" width="14.81640625" style="225" bestFit="1" customWidth="1"/>
    <col min="11013" max="11013" width="1.6328125" style="225" customWidth="1"/>
    <col min="11014" max="11014" width="15.90625" style="225" customWidth="1"/>
    <col min="11015" max="11015" width="1.453125" style="225" customWidth="1"/>
    <col min="11016" max="11016" width="8.81640625" style="225"/>
    <col min="11017" max="11017" width="35.36328125" style="225" customWidth="1"/>
    <col min="11018" max="11018" width="16.08984375" style="225" customWidth="1"/>
    <col min="11019" max="11019" width="9.08984375" style="225" bestFit="1" customWidth="1"/>
    <col min="11020" max="11020" width="10.08984375" style="225" bestFit="1" customWidth="1"/>
    <col min="11021" max="11021" width="10.81640625" style="225" customWidth="1"/>
    <col min="11022" max="11265" width="8.81640625" style="225"/>
    <col min="11266" max="11266" width="35.1796875" style="225" customWidth="1"/>
    <col min="11267" max="11267" width="15.6328125" style="225" customWidth="1"/>
    <col min="11268" max="11268" width="14.81640625" style="225" bestFit="1" customWidth="1"/>
    <col min="11269" max="11269" width="1.6328125" style="225" customWidth="1"/>
    <col min="11270" max="11270" width="15.90625" style="225" customWidth="1"/>
    <col min="11271" max="11271" width="1.453125" style="225" customWidth="1"/>
    <col min="11272" max="11272" width="8.81640625" style="225"/>
    <col min="11273" max="11273" width="35.36328125" style="225" customWidth="1"/>
    <col min="11274" max="11274" width="16.08984375" style="225" customWidth="1"/>
    <col min="11275" max="11275" width="9.08984375" style="225" bestFit="1" customWidth="1"/>
    <col min="11276" max="11276" width="10.08984375" style="225" bestFit="1" customWidth="1"/>
    <col min="11277" max="11277" width="10.81640625" style="225" customWidth="1"/>
    <col min="11278" max="11521" width="8.81640625" style="225"/>
    <col min="11522" max="11522" width="35.1796875" style="225" customWidth="1"/>
    <col min="11523" max="11523" width="15.6328125" style="225" customWidth="1"/>
    <col min="11524" max="11524" width="14.81640625" style="225" bestFit="1" customWidth="1"/>
    <col min="11525" max="11525" width="1.6328125" style="225" customWidth="1"/>
    <col min="11526" max="11526" width="15.90625" style="225" customWidth="1"/>
    <col min="11527" max="11527" width="1.453125" style="225" customWidth="1"/>
    <col min="11528" max="11528" width="8.81640625" style="225"/>
    <col min="11529" max="11529" width="35.36328125" style="225" customWidth="1"/>
    <col min="11530" max="11530" width="16.08984375" style="225" customWidth="1"/>
    <col min="11531" max="11531" width="9.08984375" style="225" bestFit="1" customWidth="1"/>
    <col min="11532" max="11532" width="10.08984375" style="225" bestFit="1" customWidth="1"/>
    <col min="11533" max="11533" width="10.81640625" style="225" customWidth="1"/>
    <col min="11534" max="11777" width="8.81640625" style="225"/>
    <col min="11778" max="11778" width="35.1796875" style="225" customWidth="1"/>
    <col min="11779" max="11779" width="15.6328125" style="225" customWidth="1"/>
    <col min="11780" max="11780" width="14.81640625" style="225" bestFit="1" customWidth="1"/>
    <col min="11781" max="11781" width="1.6328125" style="225" customWidth="1"/>
    <col min="11782" max="11782" width="15.90625" style="225" customWidth="1"/>
    <col min="11783" max="11783" width="1.453125" style="225" customWidth="1"/>
    <col min="11784" max="11784" width="8.81640625" style="225"/>
    <col min="11785" max="11785" width="35.36328125" style="225" customWidth="1"/>
    <col min="11786" max="11786" width="16.08984375" style="225" customWidth="1"/>
    <col min="11787" max="11787" width="9.08984375" style="225" bestFit="1" customWidth="1"/>
    <col min="11788" max="11788" width="10.08984375" style="225" bestFit="1" customWidth="1"/>
    <col min="11789" max="11789" width="10.81640625" style="225" customWidth="1"/>
    <col min="11790" max="12033" width="8.81640625" style="225"/>
    <col min="12034" max="12034" width="35.1796875" style="225" customWidth="1"/>
    <col min="12035" max="12035" width="15.6328125" style="225" customWidth="1"/>
    <col min="12036" max="12036" width="14.81640625" style="225" bestFit="1" customWidth="1"/>
    <col min="12037" max="12037" width="1.6328125" style="225" customWidth="1"/>
    <col min="12038" max="12038" width="15.90625" style="225" customWidth="1"/>
    <col min="12039" max="12039" width="1.453125" style="225" customWidth="1"/>
    <col min="12040" max="12040" width="8.81640625" style="225"/>
    <col min="12041" max="12041" width="35.36328125" style="225" customWidth="1"/>
    <col min="12042" max="12042" width="16.08984375" style="225" customWidth="1"/>
    <col min="12043" max="12043" width="9.08984375" style="225" bestFit="1" customWidth="1"/>
    <col min="12044" max="12044" width="10.08984375" style="225" bestFit="1" customWidth="1"/>
    <col min="12045" max="12045" width="10.81640625" style="225" customWidth="1"/>
    <col min="12046" max="12289" width="8.81640625" style="225"/>
    <col min="12290" max="12290" width="35.1796875" style="225" customWidth="1"/>
    <col min="12291" max="12291" width="15.6328125" style="225" customWidth="1"/>
    <col min="12292" max="12292" width="14.81640625" style="225" bestFit="1" customWidth="1"/>
    <col min="12293" max="12293" width="1.6328125" style="225" customWidth="1"/>
    <col min="12294" max="12294" width="15.90625" style="225" customWidth="1"/>
    <col min="12295" max="12295" width="1.453125" style="225" customWidth="1"/>
    <col min="12296" max="12296" width="8.81640625" style="225"/>
    <col min="12297" max="12297" width="35.36328125" style="225" customWidth="1"/>
    <col min="12298" max="12298" width="16.08984375" style="225" customWidth="1"/>
    <col min="12299" max="12299" width="9.08984375" style="225" bestFit="1" customWidth="1"/>
    <col min="12300" max="12300" width="10.08984375" style="225" bestFit="1" customWidth="1"/>
    <col min="12301" max="12301" width="10.81640625" style="225" customWidth="1"/>
    <col min="12302" max="12545" width="8.81640625" style="225"/>
    <col min="12546" max="12546" width="35.1796875" style="225" customWidth="1"/>
    <col min="12547" max="12547" width="15.6328125" style="225" customWidth="1"/>
    <col min="12548" max="12548" width="14.81640625" style="225" bestFit="1" customWidth="1"/>
    <col min="12549" max="12549" width="1.6328125" style="225" customWidth="1"/>
    <col min="12550" max="12550" width="15.90625" style="225" customWidth="1"/>
    <col min="12551" max="12551" width="1.453125" style="225" customWidth="1"/>
    <col min="12552" max="12552" width="8.81640625" style="225"/>
    <col min="12553" max="12553" width="35.36328125" style="225" customWidth="1"/>
    <col min="12554" max="12554" width="16.08984375" style="225" customWidth="1"/>
    <col min="12555" max="12555" width="9.08984375" style="225" bestFit="1" customWidth="1"/>
    <col min="12556" max="12556" width="10.08984375" style="225" bestFit="1" customWidth="1"/>
    <col min="12557" max="12557" width="10.81640625" style="225" customWidth="1"/>
    <col min="12558" max="12801" width="8.81640625" style="225"/>
    <col min="12802" max="12802" width="35.1796875" style="225" customWidth="1"/>
    <col min="12803" max="12803" width="15.6328125" style="225" customWidth="1"/>
    <col min="12804" max="12804" width="14.81640625" style="225" bestFit="1" customWidth="1"/>
    <col min="12805" max="12805" width="1.6328125" style="225" customWidth="1"/>
    <col min="12806" max="12806" width="15.90625" style="225" customWidth="1"/>
    <col min="12807" max="12807" width="1.453125" style="225" customWidth="1"/>
    <col min="12808" max="12808" width="8.81640625" style="225"/>
    <col min="12809" max="12809" width="35.36328125" style="225" customWidth="1"/>
    <col min="12810" max="12810" width="16.08984375" style="225" customWidth="1"/>
    <col min="12811" max="12811" width="9.08984375" style="225" bestFit="1" customWidth="1"/>
    <col min="12812" max="12812" width="10.08984375" style="225" bestFit="1" customWidth="1"/>
    <col min="12813" max="12813" width="10.81640625" style="225" customWidth="1"/>
    <col min="12814" max="13057" width="8.81640625" style="225"/>
    <col min="13058" max="13058" width="35.1796875" style="225" customWidth="1"/>
    <col min="13059" max="13059" width="15.6328125" style="225" customWidth="1"/>
    <col min="13060" max="13060" width="14.81640625" style="225" bestFit="1" customWidth="1"/>
    <col min="13061" max="13061" width="1.6328125" style="225" customWidth="1"/>
    <col min="13062" max="13062" width="15.90625" style="225" customWidth="1"/>
    <col min="13063" max="13063" width="1.453125" style="225" customWidth="1"/>
    <col min="13064" max="13064" width="8.81640625" style="225"/>
    <col min="13065" max="13065" width="35.36328125" style="225" customWidth="1"/>
    <col min="13066" max="13066" width="16.08984375" style="225" customWidth="1"/>
    <col min="13067" max="13067" width="9.08984375" style="225" bestFit="1" customWidth="1"/>
    <col min="13068" max="13068" width="10.08984375" style="225" bestFit="1" customWidth="1"/>
    <col min="13069" max="13069" width="10.81640625" style="225" customWidth="1"/>
    <col min="13070" max="13313" width="8.81640625" style="225"/>
    <col min="13314" max="13314" width="35.1796875" style="225" customWidth="1"/>
    <col min="13315" max="13315" width="15.6328125" style="225" customWidth="1"/>
    <col min="13316" max="13316" width="14.81640625" style="225" bestFit="1" customWidth="1"/>
    <col min="13317" max="13317" width="1.6328125" style="225" customWidth="1"/>
    <col min="13318" max="13318" width="15.90625" style="225" customWidth="1"/>
    <col min="13319" max="13319" width="1.453125" style="225" customWidth="1"/>
    <col min="13320" max="13320" width="8.81640625" style="225"/>
    <col min="13321" max="13321" width="35.36328125" style="225" customWidth="1"/>
    <col min="13322" max="13322" width="16.08984375" style="225" customWidth="1"/>
    <col min="13323" max="13323" width="9.08984375" style="225" bestFit="1" customWidth="1"/>
    <col min="13324" max="13324" width="10.08984375" style="225" bestFit="1" customWidth="1"/>
    <col min="13325" max="13325" width="10.81640625" style="225" customWidth="1"/>
    <col min="13326" max="13569" width="8.81640625" style="225"/>
    <col min="13570" max="13570" width="35.1796875" style="225" customWidth="1"/>
    <col min="13571" max="13571" width="15.6328125" style="225" customWidth="1"/>
    <col min="13572" max="13572" width="14.81640625" style="225" bestFit="1" customWidth="1"/>
    <col min="13573" max="13573" width="1.6328125" style="225" customWidth="1"/>
    <col min="13574" max="13574" width="15.90625" style="225" customWidth="1"/>
    <col min="13575" max="13575" width="1.453125" style="225" customWidth="1"/>
    <col min="13576" max="13576" width="8.81640625" style="225"/>
    <col min="13577" max="13577" width="35.36328125" style="225" customWidth="1"/>
    <col min="13578" max="13578" width="16.08984375" style="225" customWidth="1"/>
    <col min="13579" max="13579" width="9.08984375" style="225" bestFit="1" customWidth="1"/>
    <col min="13580" max="13580" width="10.08984375" style="225" bestFit="1" customWidth="1"/>
    <col min="13581" max="13581" width="10.81640625" style="225" customWidth="1"/>
    <col min="13582" max="13825" width="8.81640625" style="225"/>
    <col min="13826" max="13826" width="35.1796875" style="225" customWidth="1"/>
    <col min="13827" max="13827" width="15.6328125" style="225" customWidth="1"/>
    <col min="13828" max="13828" width="14.81640625" style="225" bestFit="1" customWidth="1"/>
    <col min="13829" max="13829" width="1.6328125" style="225" customWidth="1"/>
    <col min="13830" max="13830" width="15.90625" style="225" customWidth="1"/>
    <col min="13831" max="13831" width="1.453125" style="225" customWidth="1"/>
    <col min="13832" max="13832" width="8.81640625" style="225"/>
    <col min="13833" max="13833" width="35.36328125" style="225" customWidth="1"/>
    <col min="13834" max="13834" width="16.08984375" style="225" customWidth="1"/>
    <col min="13835" max="13835" width="9.08984375" style="225" bestFit="1" customWidth="1"/>
    <col min="13836" max="13836" width="10.08984375" style="225" bestFit="1" customWidth="1"/>
    <col min="13837" max="13837" width="10.81640625" style="225" customWidth="1"/>
    <col min="13838" max="14081" width="8.81640625" style="225"/>
    <col min="14082" max="14082" width="35.1796875" style="225" customWidth="1"/>
    <col min="14083" max="14083" width="15.6328125" style="225" customWidth="1"/>
    <col min="14084" max="14084" width="14.81640625" style="225" bestFit="1" customWidth="1"/>
    <col min="14085" max="14085" width="1.6328125" style="225" customWidth="1"/>
    <col min="14086" max="14086" width="15.90625" style="225" customWidth="1"/>
    <col min="14087" max="14087" width="1.453125" style="225" customWidth="1"/>
    <col min="14088" max="14088" width="8.81640625" style="225"/>
    <col min="14089" max="14089" width="35.36328125" style="225" customWidth="1"/>
    <col min="14090" max="14090" width="16.08984375" style="225" customWidth="1"/>
    <col min="14091" max="14091" width="9.08984375" style="225" bestFit="1" customWidth="1"/>
    <col min="14092" max="14092" width="10.08984375" style="225" bestFit="1" customWidth="1"/>
    <col min="14093" max="14093" width="10.81640625" style="225" customWidth="1"/>
    <col min="14094" max="14337" width="8.81640625" style="225"/>
    <col min="14338" max="14338" width="35.1796875" style="225" customWidth="1"/>
    <col min="14339" max="14339" width="15.6328125" style="225" customWidth="1"/>
    <col min="14340" max="14340" width="14.81640625" style="225" bestFit="1" customWidth="1"/>
    <col min="14341" max="14341" width="1.6328125" style="225" customWidth="1"/>
    <col min="14342" max="14342" width="15.90625" style="225" customWidth="1"/>
    <col min="14343" max="14343" width="1.453125" style="225" customWidth="1"/>
    <col min="14344" max="14344" width="8.81640625" style="225"/>
    <col min="14345" max="14345" width="35.36328125" style="225" customWidth="1"/>
    <col min="14346" max="14346" width="16.08984375" style="225" customWidth="1"/>
    <col min="14347" max="14347" width="9.08984375" style="225" bestFit="1" customWidth="1"/>
    <col min="14348" max="14348" width="10.08984375" style="225" bestFit="1" customWidth="1"/>
    <col min="14349" max="14349" width="10.81640625" style="225" customWidth="1"/>
    <col min="14350" max="14593" width="8.81640625" style="225"/>
    <col min="14594" max="14594" width="35.1796875" style="225" customWidth="1"/>
    <col min="14595" max="14595" width="15.6328125" style="225" customWidth="1"/>
    <col min="14596" max="14596" width="14.81640625" style="225" bestFit="1" customWidth="1"/>
    <col min="14597" max="14597" width="1.6328125" style="225" customWidth="1"/>
    <col min="14598" max="14598" width="15.90625" style="225" customWidth="1"/>
    <col min="14599" max="14599" width="1.453125" style="225" customWidth="1"/>
    <col min="14600" max="14600" width="8.81640625" style="225"/>
    <col min="14601" max="14601" width="35.36328125" style="225" customWidth="1"/>
    <col min="14602" max="14602" width="16.08984375" style="225" customWidth="1"/>
    <col min="14603" max="14603" width="9.08984375" style="225" bestFit="1" customWidth="1"/>
    <col min="14604" max="14604" width="10.08984375" style="225" bestFit="1" customWidth="1"/>
    <col min="14605" max="14605" width="10.81640625" style="225" customWidth="1"/>
    <col min="14606" max="14849" width="8.81640625" style="225"/>
    <col min="14850" max="14850" width="35.1796875" style="225" customWidth="1"/>
    <col min="14851" max="14851" width="15.6328125" style="225" customWidth="1"/>
    <col min="14852" max="14852" width="14.81640625" style="225" bestFit="1" customWidth="1"/>
    <col min="14853" max="14853" width="1.6328125" style="225" customWidth="1"/>
    <col min="14854" max="14854" width="15.90625" style="225" customWidth="1"/>
    <col min="14855" max="14855" width="1.453125" style="225" customWidth="1"/>
    <col min="14856" max="14856" width="8.81640625" style="225"/>
    <col min="14857" max="14857" width="35.36328125" style="225" customWidth="1"/>
    <col min="14858" max="14858" width="16.08984375" style="225" customWidth="1"/>
    <col min="14859" max="14859" width="9.08984375" style="225" bestFit="1" customWidth="1"/>
    <col min="14860" max="14860" width="10.08984375" style="225" bestFit="1" customWidth="1"/>
    <col min="14861" max="14861" width="10.81640625" style="225" customWidth="1"/>
    <col min="14862" max="15105" width="8.81640625" style="225"/>
    <col min="15106" max="15106" width="35.1796875" style="225" customWidth="1"/>
    <col min="15107" max="15107" width="15.6328125" style="225" customWidth="1"/>
    <col min="15108" max="15108" width="14.81640625" style="225" bestFit="1" customWidth="1"/>
    <col min="15109" max="15109" width="1.6328125" style="225" customWidth="1"/>
    <col min="15110" max="15110" width="15.90625" style="225" customWidth="1"/>
    <col min="15111" max="15111" width="1.453125" style="225" customWidth="1"/>
    <col min="15112" max="15112" width="8.81640625" style="225"/>
    <col min="15113" max="15113" width="35.36328125" style="225" customWidth="1"/>
    <col min="15114" max="15114" width="16.08984375" style="225" customWidth="1"/>
    <col min="15115" max="15115" width="9.08984375" style="225" bestFit="1" customWidth="1"/>
    <col min="15116" max="15116" width="10.08984375" style="225" bestFit="1" customWidth="1"/>
    <col min="15117" max="15117" width="10.81640625" style="225" customWidth="1"/>
    <col min="15118" max="15361" width="8.81640625" style="225"/>
    <col min="15362" max="15362" width="35.1796875" style="225" customWidth="1"/>
    <col min="15363" max="15363" width="15.6328125" style="225" customWidth="1"/>
    <col min="15364" max="15364" width="14.81640625" style="225" bestFit="1" customWidth="1"/>
    <col min="15365" max="15365" width="1.6328125" style="225" customWidth="1"/>
    <col min="15366" max="15366" width="15.90625" style="225" customWidth="1"/>
    <col min="15367" max="15367" width="1.453125" style="225" customWidth="1"/>
    <col min="15368" max="15368" width="8.81640625" style="225"/>
    <col min="15369" max="15369" width="35.36328125" style="225" customWidth="1"/>
    <col min="15370" max="15370" width="16.08984375" style="225" customWidth="1"/>
    <col min="15371" max="15371" width="9.08984375" style="225" bestFit="1" customWidth="1"/>
    <col min="15372" max="15372" width="10.08984375" style="225" bestFit="1" customWidth="1"/>
    <col min="15373" max="15373" width="10.81640625" style="225" customWidth="1"/>
    <col min="15374" max="15617" width="8.81640625" style="225"/>
    <col min="15618" max="15618" width="35.1796875" style="225" customWidth="1"/>
    <col min="15619" max="15619" width="15.6328125" style="225" customWidth="1"/>
    <col min="15620" max="15620" width="14.81640625" style="225" bestFit="1" customWidth="1"/>
    <col min="15621" max="15621" width="1.6328125" style="225" customWidth="1"/>
    <col min="15622" max="15622" width="15.90625" style="225" customWidth="1"/>
    <col min="15623" max="15623" width="1.453125" style="225" customWidth="1"/>
    <col min="15624" max="15624" width="8.81640625" style="225"/>
    <col min="15625" max="15625" width="35.36328125" style="225" customWidth="1"/>
    <col min="15626" max="15626" width="16.08984375" style="225" customWidth="1"/>
    <col min="15627" max="15627" width="9.08984375" style="225" bestFit="1" customWidth="1"/>
    <col min="15628" max="15628" width="10.08984375" style="225" bestFit="1" customWidth="1"/>
    <col min="15629" max="15629" width="10.81640625" style="225" customWidth="1"/>
    <col min="15630" max="15873" width="8.81640625" style="225"/>
    <col min="15874" max="15874" width="35.1796875" style="225" customWidth="1"/>
    <col min="15875" max="15875" width="15.6328125" style="225" customWidth="1"/>
    <col min="15876" max="15876" width="14.81640625" style="225" bestFit="1" customWidth="1"/>
    <col min="15877" max="15877" width="1.6328125" style="225" customWidth="1"/>
    <col min="15878" max="15878" width="15.90625" style="225" customWidth="1"/>
    <col min="15879" max="15879" width="1.453125" style="225" customWidth="1"/>
    <col min="15880" max="15880" width="8.81640625" style="225"/>
    <col min="15881" max="15881" width="35.36328125" style="225" customWidth="1"/>
    <col min="15882" max="15882" width="16.08984375" style="225" customWidth="1"/>
    <col min="15883" max="15883" width="9.08984375" style="225" bestFit="1" customWidth="1"/>
    <col min="15884" max="15884" width="10.08984375" style="225" bestFit="1" customWidth="1"/>
    <col min="15885" max="15885" width="10.81640625" style="225" customWidth="1"/>
    <col min="15886" max="16129" width="8.81640625" style="225"/>
    <col min="16130" max="16130" width="35.1796875" style="225" customWidth="1"/>
    <col min="16131" max="16131" width="15.6328125" style="225" customWidth="1"/>
    <col min="16132" max="16132" width="14.81640625" style="225" bestFit="1" customWidth="1"/>
    <col min="16133" max="16133" width="1.6328125" style="225" customWidth="1"/>
    <col min="16134" max="16134" width="15.90625" style="225" customWidth="1"/>
    <col min="16135" max="16135" width="1.453125" style="225" customWidth="1"/>
    <col min="16136" max="16136" width="8.81640625" style="225"/>
    <col min="16137" max="16137" width="35.36328125" style="225" customWidth="1"/>
    <col min="16138" max="16138" width="16.08984375" style="225" customWidth="1"/>
    <col min="16139" max="16139" width="9.08984375" style="225" bestFit="1" customWidth="1"/>
    <col min="16140" max="16140" width="10.08984375" style="225" bestFit="1" customWidth="1"/>
    <col min="16141" max="16141" width="10.81640625" style="225" customWidth="1"/>
    <col min="16142" max="16384" width="8.81640625" style="225"/>
  </cols>
  <sheetData>
    <row r="1" spans="1:8">
      <c r="A1" s="1010" t="s">
        <v>491</v>
      </c>
      <c r="B1" s="1010"/>
      <c r="C1" s="1010"/>
      <c r="D1" s="1010"/>
      <c r="E1" s="1010"/>
      <c r="F1" s="1010"/>
      <c r="G1" s="1010"/>
      <c r="H1" s="813"/>
    </row>
    <row r="2" spans="1:8">
      <c r="A2" s="1039" t="s">
        <v>735</v>
      </c>
      <c r="B2" s="1039"/>
      <c r="C2" s="1039"/>
      <c r="D2" s="1039"/>
      <c r="E2" s="1039"/>
      <c r="F2" s="1039"/>
      <c r="G2" s="1039"/>
      <c r="H2" s="815"/>
    </row>
    <row r="3" spans="1:8">
      <c r="A3" s="1040" t="str">
        <f>+'Attachment H-29A'!D5</f>
        <v>Transource Pennsylvania, LLC</v>
      </c>
      <c r="B3" s="1040"/>
      <c r="C3" s="1040"/>
      <c r="D3" s="1040"/>
      <c r="E3" s="1040"/>
      <c r="F3" s="1040"/>
      <c r="G3" s="1040"/>
      <c r="H3" s="816"/>
    </row>
    <row r="4" spans="1:8">
      <c r="A4" s="675"/>
      <c r="F4" s="676"/>
    </row>
    <row r="5" spans="1:8">
      <c r="A5" s="675"/>
    </row>
    <row r="6" spans="1:8">
      <c r="A6" s="675"/>
    </row>
    <row r="7" spans="1:8">
      <c r="A7" s="677"/>
      <c r="B7" s="678"/>
      <c r="C7" s="677"/>
      <c r="D7" s="706" t="s">
        <v>190</v>
      </c>
      <c r="E7" s="677"/>
      <c r="F7" s="706" t="s">
        <v>191</v>
      </c>
      <c r="G7" s="677"/>
    </row>
    <row r="8" spans="1:8">
      <c r="F8" s="679" t="s">
        <v>487</v>
      </c>
      <c r="G8" s="680"/>
    </row>
    <row r="9" spans="1:8">
      <c r="D9" s="681" t="s">
        <v>282</v>
      </c>
      <c r="F9" s="758"/>
    </row>
    <row r="10" spans="1:8">
      <c r="A10" s="681" t="s">
        <v>8</v>
      </c>
      <c r="D10" s="681" t="s">
        <v>488</v>
      </c>
      <c r="F10" s="681" t="s">
        <v>282</v>
      </c>
    </row>
    <row r="11" spans="1:8">
      <c r="A11" s="682" t="s">
        <v>10</v>
      </c>
      <c r="B11" s="683" t="s">
        <v>474</v>
      </c>
      <c r="C11" s="682" t="s">
        <v>199</v>
      </c>
      <c r="D11" s="682" t="s">
        <v>478</v>
      </c>
      <c r="F11" s="682" t="s">
        <v>305</v>
      </c>
    </row>
    <row r="12" spans="1:8">
      <c r="F12" s="682"/>
    </row>
    <row r="13" spans="1:8">
      <c r="A13" s="684">
        <v>1</v>
      </c>
      <c r="B13" s="685" t="s">
        <v>492</v>
      </c>
      <c r="D13" s="260"/>
      <c r="E13" s="260"/>
      <c r="F13" s="686">
        <v>0</v>
      </c>
    </row>
    <row r="14" spans="1:8">
      <c r="A14" s="684">
        <f>+A13+1</f>
        <v>2</v>
      </c>
      <c r="B14" s="225" t="s">
        <v>645</v>
      </c>
      <c r="D14" s="260"/>
      <c r="E14" s="260"/>
      <c r="F14" s="686">
        <v>0</v>
      </c>
    </row>
    <row r="15" spans="1:8">
      <c r="A15" s="684">
        <f t="shared" ref="A15:A30" si="0">+A14+1</f>
        <v>3</v>
      </c>
      <c r="D15" s="687"/>
      <c r="E15" s="687"/>
      <c r="F15" s="687"/>
    </row>
    <row r="16" spans="1:8" ht="21.6" customHeight="1">
      <c r="A16" s="684">
        <f t="shared" si="0"/>
        <v>4</v>
      </c>
      <c r="B16" s="688" t="s">
        <v>493</v>
      </c>
      <c r="D16"/>
      <c r="E16" s="260"/>
      <c r="F16" s="689"/>
    </row>
    <row r="17" spans="1:14">
      <c r="A17" s="684">
        <f t="shared" si="0"/>
        <v>5</v>
      </c>
      <c r="B17" s="688" t="s">
        <v>494</v>
      </c>
      <c r="D17"/>
      <c r="E17" s="260"/>
      <c r="F17" s="686">
        <v>0</v>
      </c>
    </row>
    <row r="18" spans="1:14">
      <c r="A18" s="684">
        <f t="shared" si="0"/>
        <v>6</v>
      </c>
      <c r="D18"/>
      <c r="E18" s="260"/>
      <c r="F18" s="260"/>
    </row>
    <row r="19" spans="1:14">
      <c r="A19" s="684">
        <f t="shared" si="0"/>
        <v>7</v>
      </c>
      <c r="B19" s="225" t="s">
        <v>495</v>
      </c>
      <c r="C19" s="225" t="s">
        <v>647</v>
      </c>
      <c r="D19"/>
      <c r="E19" s="260"/>
      <c r="F19" s="690">
        <f>+F16+F17</f>
        <v>0</v>
      </c>
    </row>
    <row r="20" spans="1:14">
      <c r="A20" s="684">
        <f t="shared" si="0"/>
        <v>8</v>
      </c>
      <c r="D20" s="260"/>
      <c r="E20" s="260"/>
      <c r="F20" s="260"/>
      <c r="I20" s="691"/>
      <c r="J20" s="692"/>
      <c r="K20" s="692"/>
      <c r="L20" s="692"/>
      <c r="M20" s="692"/>
      <c r="N20" s="692"/>
    </row>
    <row r="21" spans="1:14">
      <c r="A21" s="684">
        <f t="shared" si="0"/>
        <v>9</v>
      </c>
      <c r="B21" s="225" t="s">
        <v>489</v>
      </c>
      <c r="C21" s="225" t="s">
        <v>648</v>
      </c>
      <c r="D21" s="260"/>
      <c r="E21" s="260"/>
      <c r="F21" s="260">
        <f>+F14+F19</f>
        <v>0</v>
      </c>
    </row>
    <row r="22" spans="1:14">
      <c r="A22" s="684">
        <f t="shared" si="0"/>
        <v>10</v>
      </c>
      <c r="D22" s="260"/>
      <c r="E22" s="260"/>
      <c r="F22" s="260"/>
    </row>
    <row r="23" spans="1:14">
      <c r="A23" s="684">
        <f t="shared" si="0"/>
        <v>11</v>
      </c>
      <c r="D23" s="260"/>
      <c r="E23" s="260"/>
      <c r="F23" s="260"/>
    </row>
    <row r="24" spans="1:14">
      <c r="A24" s="684">
        <f t="shared" si="0"/>
        <v>12</v>
      </c>
      <c r="B24" s="225" t="s">
        <v>495</v>
      </c>
      <c r="C24" s="225" t="s">
        <v>646</v>
      </c>
      <c r="D24" s="260"/>
      <c r="E24" s="260"/>
      <c r="F24" s="260">
        <f>+F19</f>
        <v>0</v>
      </c>
    </row>
    <row r="25" spans="1:14">
      <c r="A25" s="684">
        <f t="shared" si="0"/>
        <v>13</v>
      </c>
    </row>
    <row r="26" spans="1:14">
      <c r="A26" s="684">
        <f t="shared" si="0"/>
        <v>14</v>
      </c>
      <c r="B26" s="225" t="s">
        <v>654</v>
      </c>
      <c r="C26" s="225" t="s">
        <v>295</v>
      </c>
      <c r="F26" s="976">
        <v>2.5000000000000001E-3</v>
      </c>
    </row>
    <row r="27" spans="1:14">
      <c r="A27" s="684">
        <f t="shared" si="0"/>
        <v>15</v>
      </c>
      <c r="B27" s="225" t="s">
        <v>652</v>
      </c>
      <c r="C27" s="225" t="s">
        <v>296</v>
      </c>
      <c r="F27" s="975">
        <v>30</v>
      </c>
    </row>
    <row r="28" spans="1:14">
      <c r="A28" s="684">
        <f t="shared" si="0"/>
        <v>16</v>
      </c>
      <c r="B28" s="225" t="s">
        <v>496</v>
      </c>
      <c r="C28" s="225" t="s">
        <v>653</v>
      </c>
      <c r="F28" s="690">
        <f>+F24*F26*F27</f>
        <v>0</v>
      </c>
    </row>
    <row r="29" spans="1:14">
      <c r="A29" s="684">
        <f t="shared" si="0"/>
        <v>17</v>
      </c>
    </row>
    <row r="30" spans="1:14">
      <c r="A30" s="684">
        <f t="shared" si="0"/>
        <v>18</v>
      </c>
      <c r="B30" s="692" t="s">
        <v>649</v>
      </c>
      <c r="C30" s="692" t="s">
        <v>650</v>
      </c>
      <c r="D30" s="692"/>
      <c r="E30" s="692"/>
      <c r="F30" s="260">
        <f>+F24+F28</f>
        <v>0</v>
      </c>
      <c r="G30" s="692"/>
    </row>
    <row r="31" spans="1:14">
      <c r="A31" s="684"/>
      <c r="B31" s="692"/>
      <c r="C31" s="692"/>
      <c r="D31" s="692"/>
      <c r="E31" s="692"/>
      <c r="F31" s="692"/>
      <c r="G31" s="692"/>
    </row>
    <row r="33" spans="1:8">
      <c r="A33" s="708" t="s">
        <v>176</v>
      </c>
    </row>
    <row r="34" spans="1:8" ht="56.25" customHeight="1">
      <c r="A34" s="709" t="s">
        <v>62</v>
      </c>
      <c r="B34" s="1041" t="s">
        <v>644</v>
      </c>
      <c r="C34" s="1041"/>
      <c r="D34" s="1041"/>
      <c r="E34" s="1041"/>
      <c r="F34" s="1041"/>
      <c r="G34" s="805"/>
      <c r="H34" s="805"/>
    </row>
    <row r="35" spans="1:8" ht="86.25" customHeight="1">
      <c r="A35" s="709" t="s">
        <v>63</v>
      </c>
      <c r="B35" s="1041" t="s">
        <v>651</v>
      </c>
      <c r="C35" s="1041"/>
      <c r="D35" s="1041"/>
      <c r="E35" s="1041"/>
      <c r="F35" s="1041"/>
      <c r="G35" s="805"/>
      <c r="H35" s="805"/>
    </row>
    <row r="36" spans="1:8">
      <c r="A36" s="707"/>
    </row>
  </sheetData>
  <customSheetViews>
    <customSheetView guid="{63AFAF34-E340-4B5E-A289-FFB7051CA9B6}" scale="80" showPageBreaks="1" fitToPage="1" printArea="1">
      <selection activeCell="I26" sqref="I26"/>
      <pageMargins left="1" right="0.7" top="1" bottom="0.75" header="0.3" footer="0.3"/>
      <pageSetup scale="66" orientation="portrait" r:id="rId1"/>
    </customSheetView>
    <customSheetView guid="{F1DC5514-577A-46EB-866C-26F0BED2C286}" scale="70" showPageBreaks="1" fitToPage="1" printArea="1" view="pageBreakPreview">
      <selection sqref="A1:G1"/>
      <pageMargins left="1" right="0.7" top="1" bottom="0.75" header="0.3" footer="0.3"/>
      <pageSetup scale="74" orientation="landscape" r:id="rId2"/>
    </customSheetView>
  </customSheetViews>
  <mergeCells count="5">
    <mergeCell ref="B34:F34"/>
    <mergeCell ref="B35:F35"/>
    <mergeCell ref="A1:G1"/>
    <mergeCell ref="A2:G2"/>
    <mergeCell ref="A3:G3"/>
  </mergeCells>
  <pageMargins left="1" right="0.7" top="1" bottom="0.75" header="0.3" footer="0.3"/>
  <pageSetup scale="7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5"/>
  <sheetViews>
    <sheetView view="pageBreakPreview" topLeftCell="A7" zoomScaleNormal="100" zoomScaleSheetLayoutView="100" workbookViewId="0">
      <selection activeCell="D27" sqref="D27"/>
    </sheetView>
  </sheetViews>
  <sheetFormatPr defaultColWidth="8.90625" defaultRowHeight="15.6"/>
  <cols>
    <col min="1" max="1" width="7.36328125" style="347" customWidth="1"/>
    <col min="2" max="2" width="45.6328125" style="347" customWidth="1"/>
    <col min="3" max="3" width="17" style="347" customWidth="1"/>
    <col min="4" max="4" width="11.6328125" style="347" customWidth="1"/>
    <col min="5" max="5" width="10.90625" style="779" bestFit="1" customWidth="1"/>
    <col min="6" max="6" width="10.453125" style="347" customWidth="1"/>
    <col min="7" max="16384" width="8.90625" style="347"/>
  </cols>
  <sheetData>
    <row r="1" spans="1:9" ht="13.2">
      <c r="A1" s="1010" t="s">
        <v>676</v>
      </c>
      <c r="B1" s="1010"/>
      <c r="C1" s="1010"/>
      <c r="D1" s="1010"/>
      <c r="E1" s="1010"/>
      <c r="F1" s="1010"/>
      <c r="G1" s="1010"/>
      <c r="H1" s="406"/>
      <c r="I1" s="406"/>
    </row>
    <row r="2" spans="1:9" ht="13.2">
      <c r="A2" s="1039" t="s">
        <v>677</v>
      </c>
      <c r="B2" s="1039"/>
      <c r="C2" s="1039"/>
      <c r="D2" s="1039"/>
      <c r="E2" s="1039"/>
      <c r="F2" s="1039"/>
      <c r="G2" s="1039"/>
      <c r="H2" s="715"/>
      <c r="I2" s="715"/>
    </row>
    <row r="3" spans="1:9" ht="13.2">
      <c r="A3" s="1040" t="str">
        <f>+'Attachment H-29A'!D5</f>
        <v>Transource Pennsylvania, LLC</v>
      </c>
      <c r="B3" s="1040"/>
      <c r="C3" s="1040"/>
      <c r="D3" s="1040"/>
      <c r="E3" s="1040"/>
      <c r="F3" s="1040"/>
      <c r="G3" s="1040"/>
      <c r="H3" s="368"/>
      <c r="I3" s="368"/>
    </row>
    <row r="4" spans="1:9" ht="13.2">
      <c r="A4" s="714"/>
      <c r="B4" s="714"/>
      <c r="C4" s="714"/>
      <c r="D4" s="714"/>
      <c r="E4" s="714"/>
      <c r="F4" s="714"/>
      <c r="G4" s="714"/>
      <c r="H4" s="368"/>
      <c r="I4" s="368"/>
    </row>
    <row r="5" spans="1:9">
      <c r="A5" s="760"/>
      <c r="D5" s="761"/>
      <c r="E5" s="762"/>
      <c r="F5" s="760"/>
      <c r="H5" s="763"/>
    </row>
    <row r="6" spans="1:9" ht="13.2">
      <c r="A6" s="712" t="s">
        <v>148</v>
      </c>
      <c r="B6" s="564" t="s">
        <v>690</v>
      </c>
      <c r="C6" s="564"/>
      <c r="D6" s="216" t="s">
        <v>190</v>
      </c>
      <c r="E6" s="216" t="s">
        <v>191</v>
      </c>
      <c r="F6" s="377" t="s">
        <v>688</v>
      </c>
      <c r="G6" s="764"/>
      <c r="H6" s="764"/>
      <c r="I6" s="764"/>
    </row>
    <row r="7" spans="1:9" ht="26.4">
      <c r="A7" s="346">
        <v>1</v>
      </c>
      <c r="B7" s="765" t="s">
        <v>669</v>
      </c>
      <c r="C7" s="397" t="s">
        <v>199</v>
      </c>
      <c r="D7" s="782" t="s">
        <v>18</v>
      </c>
      <c r="E7" s="376" t="s">
        <v>687</v>
      </c>
      <c r="F7" s="376" t="s">
        <v>686</v>
      </c>
    </row>
    <row r="8" spans="1:9" ht="13.2">
      <c r="A8" s="346">
        <f t="shared" ref="A8:A14" si="0">+A7+1</f>
        <v>2</v>
      </c>
      <c r="B8" s="333" t="s">
        <v>671</v>
      </c>
      <c r="C8" s="333" t="s">
        <v>679</v>
      </c>
      <c r="D8" s="768">
        <v>0</v>
      </c>
      <c r="E8" s="768">
        <v>0</v>
      </c>
      <c r="F8" s="781">
        <f>+D8-E8</f>
        <v>0</v>
      </c>
    </row>
    <row r="9" spans="1:9" ht="13.2">
      <c r="A9" s="346">
        <f t="shared" si="0"/>
        <v>3</v>
      </c>
      <c r="B9" s="333" t="s">
        <v>672</v>
      </c>
      <c r="C9" s="333" t="s">
        <v>679</v>
      </c>
      <c r="D9" s="768">
        <v>0</v>
      </c>
      <c r="E9" s="768">
        <v>0</v>
      </c>
      <c r="F9" s="781">
        <f t="shared" ref="F9:F14" si="1">+D9-E9</f>
        <v>0</v>
      </c>
    </row>
    <row r="10" spans="1:9" ht="13.2">
      <c r="A10" s="346">
        <f t="shared" si="0"/>
        <v>4</v>
      </c>
      <c r="B10" s="333" t="s">
        <v>673</v>
      </c>
      <c r="C10" s="333" t="s">
        <v>679</v>
      </c>
      <c r="D10" s="768">
        <v>0</v>
      </c>
      <c r="E10" s="768">
        <v>0</v>
      </c>
      <c r="F10" s="781">
        <f t="shared" si="1"/>
        <v>0</v>
      </c>
    </row>
    <row r="11" spans="1:9" ht="13.2">
      <c r="A11" s="346">
        <f t="shared" si="0"/>
        <v>5</v>
      </c>
      <c r="B11" s="333" t="s">
        <v>674</v>
      </c>
      <c r="C11" s="333" t="s">
        <v>679</v>
      </c>
      <c r="D11" s="768">
        <v>0</v>
      </c>
      <c r="E11" s="768">
        <v>0</v>
      </c>
      <c r="F11" s="781">
        <f t="shared" si="1"/>
        <v>0</v>
      </c>
    </row>
    <row r="12" spans="1:9" ht="13.2">
      <c r="A12" s="346">
        <f t="shared" si="0"/>
        <v>6</v>
      </c>
      <c r="B12" s="333" t="s">
        <v>675</v>
      </c>
      <c r="C12" s="333" t="s">
        <v>679</v>
      </c>
      <c r="D12" s="769">
        <v>0</v>
      </c>
      <c r="E12" s="769">
        <v>0</v>
      </c>
      <c r="F12" s="781">
        <f t="shared" si="1"/>
        <v>0</v>
      </c>
    </row>
    <row r="13" spans="1:9" ht="13.2">
      <c r="A13" s="346">
        <f t="shared" si="0"/>
        <v>7</v>
      </c>
      <c r="B13" s="333" t="s">
        <v>675</v>
      </c>
      <c r="C13" s="333" t="s">
        <v>679</v>
      </c>
      <c r="D13" s="769">
        <v>0</v>
      </c>
      <c r="E13" s="769">
        <v>0</v>
      </c>
      <c r="F13" s="781">
        <f t="shared" si="1"/>
        <v>0</v>
      </c>
    </row>
    <row r="14" spans="1:9" ht="13.2">
      <c r="A14" s="346">
        <f t="shared" si="0"/>
        <v>8</v>
      </c>
      <c r="B14" s="771" t="s">
        <v>685</v>
      </c>
      <c r="C14" s="333" t="s">
        <v>683</v>
      </c>
      <c r="D14" s="770">
        <f>+SUM(D8:D13)</f>
        <v>0</v>
      </c>
      <c r="E14" s="770">
        <f>+SUM(E8:E13)</f>
        <v>0</v>
      </c>
      <c r="F14" s="783">
        <f t="shared" si="1"/>
        <v>0</v>
      </c>
    </row>
    <row r="15" spans="1:9" ht="13.2">
      <c r="A15" s="346"/>
      <c r="B15" s="771"/>
      <c r="C15" s="771"/>
      <c r="D15" s="773"/>
      <c r="E15" s="773"/>
    </row>
    <row r="16" spans="1:9" ht="13.2">
      <c r="A16" s="346"/>
      <c r="B16" s="771"/>
      <c r="C16" s="771"/>
      <c r="D16" s="773"/>
      <c r="E16" s="773"/>
    </row>
    <row r="17" spans="1:6" ht="13.2">
      <c r="A17" s="346"/>
      <c r="B17" s="771"/>
      <c r="C17" s="771"/>
      <c r="D17" s="773"/>
      <c r="E17" s="773"/>
    </row>
    <row r="18" spans="1:6" ht="13.2">
      <c r="A18" s="302"/>
      <c r="B18" s="771" t="s">
        <v>799</v>
      </c>
      <c r="C18" s="766"/>
      <c r="D18" s="767"/>
      <c r="E18" s="347"/>
    </row>
    <row r="19" spans="1:6" ht="13.2">
      <c r="A19" s="346">
        <f>+A14+1</f>
        <v>9</v>
      </c>
      <c r="B19" s="333" t="s">
        <v>404</v>
      </c>
      <c r="C19" s="333" t="s">
        <v>679</v>
      </c>
      <c r="D19" s="768">
        <v>0</v>
      </c>
      <c r="E19" s="768">
        <v>0</v>
      </c>
      <c r="F19" s="781">
        <f t="shared" ref="F19" si="2">+D19-E19</f>
        <v>0</v>
      </c>
    </row>
    <row r="20" spans="1:6" ht="13.2">
      <c r="A20" s="346">
        <f>+A19+1</f>
        <v>10</v>
      </c>
      <c r="B20" s="333" t="s">
        <v>404</v>
      </c>
      <c r="C20" s="333" t="s">
        <v>679</v>
      </c>
      <c r="D20" s="768">
        <v>0</v>
      </c>
      <c r="E20" s="768">
        <v>0</v>
      </c>
      <c r="F20" s="781">
        <f t="shared" ref="F20:F21" si="3">+D20-E20</f>
        <v>0</v>
      </c>
    </row>
    <row r="21" spans="1:6" ht="13.2">
      <c r="A21" s="346">
        <f t="shared" ref="A21" si="4">+A20+1</f>
        <v>11</v>
      </c>
      <c r="B21" s="771" t="s">
        <v>803</v>
      </c>
      <c r="C21" s="333" t="s">
        <v>800</v>
      </c>
      <c r="D21" s="770">
        <f>+SUM(D19:D20)</f>
        <v>0</v>
      </c>
      <c r="E21" s="770">
        <f>+SUM(E19:E20)</f>
        <v>0</v>
      </c>
      <c r="F21" s="783">
        <f t="shared" si="3"/>
        <v>0</v>
      </c>
    </row>
    <row r="22" spans="1:6" ht="13.2">
      <c r="A22" s="346"/>
      <c r="B22" s="771"/>
      <c r="C22" s="333"/>
      <c r="D22" s="773"/>
      <c r="E22" s="773"/>
      <c r="F22" s="853"/>
    </row>
    <row r="23" spans="1:6" ht="13.2">
      <c r="A23" s="302"/>
      <c r="B23" s="771" t="s">
        <v>801</v>
      </c>
      <c r="C23" s="766"/>
      <c r="D23" s="767"/>
      <c r="E23" s="347"/>
    </row>
    <row r="24" spans="1:6" ht="13.2">
      <c r="A24" s="346">
        <f>+A21+1</f>
        <v>12</v>
      </c>
      <c r="B24" s="333" t="s">
        <v>681</v>
      </c>
      <c r="C24" s="333" t="s">
        <v>679</v>
      </c>
      <c r="D24" s="768">
        <v>0</v>
      </c>
      <c r="E24" s="768">
        <v>0</v>
      </c>
      <c r="F24" s="781">
        <f t="shared" ref="F24:F32" si="5">+D24-E24</f>
        <v>0</v>
      </c>
    </row>
    <row r="25" spans="1:6" ht="13.2">
      <c r="A25" s="346">
        <f t="shared" ref="A25:A32" si="6">+A24+1</f>
        <v>13</v>
      </c>
      <c r="B25" s="333" t="s">
        <v>682</v>
      </c>
      <c r="C25" s="333" t="s">
        <v>679</v>
      </c>
      <c r="D25" s="768">
        <v>0</v>
      </c>
      <c r="E25" s="768">
        <v>0</v>
      </c>
      <c r="F25" s="781">
        <f t="shared" si="5"/>
        <v>0</v>
      </c>
    </row>
    <row r="26" spans="1:6" ht="13.2">
      <c r="A26" s="346">
        <f t="shared" si="6"/>
        <v>14</v>
      </c>
      <c r="B26" s="333" t="s">
        <v>680</v>
      </c>
      <c r="C26" s="333" t="s">
        <v>679</v>
      </c>
      <c r="D26" s="768">
        <v>0</v>
      </c>
      <c r="E26" s="768">
        <v>0</v>
      </c>
      <c r="F26" s="781">
        <f t="shared" si="5"/>
        <v>0</v>
      </c>
    </row>
    <row r="27" spans="1:6" ht="13.2">
      <c r="A27" s="346">
        <f t="shared" si="6"/>
        <v>15</v>
      </c>
      <c r="B27" s="333" t="s">
        <v>689</v>
      </c>
      <c r="C27" s="333" t="s">
        <v>679</v>
      </c>
      <c r="D27" s="768">
        <f>'Attachment H-29A'!I11</f>
        <v>9067439.3955416922</v>
      </c>
      <c r="E27" s="768">
        <v>0</v>
      </c>
      <c r="F27" s="781">
        <f t="shared" si="5"/>
        <v>9067439.3955416922</v>
      </c>
    </row>
    <row r="28" spans="1:6" ht="13.2">
      <c r="A28" s="346">
        <f t="shared" si="6"/>
        <v>16</v>
      </c>
      <c r="B28" s="333" t="s">
        <v>404</v>
      </c>
      <c r="C28" s="333" t="s">
        <v>679</v>
      </c>
      <c r="D28" s="769">
        <v>0</v>
      </c>
      <c r="E28" s="769">
        <v>0</v>
      </c>
      <c r="F28" s="781">
        <f t="shared" si="5"/>
        <v>0</v>
      </c>
    </row>
    <row r="29" spans="1:6" ht="13.2">
      <c r="A29" s="346">
        <f t="shared" si="6"/>
        <v>17</v>
      </c>
      <c r="B29" s="333" t="s">
        <v>692</v>
      </c>
      <c r="C29" s="333" t="s">
        <v>684</v>
      </c>
      <c r="D29" s="770">
        <f>+SUM(D24:D28)</f>
        <v>9067439.3955416922</v>
      </c>
      <c r="E29" s="770">
        <f>+SUM(E24:E28)</f>
        <v>0</v>
      </c>
      <c r="F29" s="783">
        <f t="shared" si="5"/>
        <v>9067439.3955416922</v>
      </c>
    </row>
    <row r="30" spans="1:6" ht="13.2">
      <c r="A30" s="346">
        <f t="shared" si="6"/>
        <v>18</v>
      </c>
      <c r="B30" s="333" t="s">
        <v>691</v>
      </c>
      <c r="C30" s="333" t="s">
        <v>679</v>
      </c>
      <c r="D30" s="772">
        <f>D27</f>
        <v>9067439.3955416922</v>
      </c>
      <c r="E30" s="772"/>
      <c r="F30" s="781">
        <f t="shared" si="5"/>
        <v>9067439.3955416922</v>
      </c>
    </row>
    <row r="31" spans="1:6" ht="13.2">
      <c r="A31" s="346">
        <f t="shared" si="6"/>
        <v>19</v>
      </c>
      <c r="B31" s="333" t="s">
        <v>694</v>
      </c>
      <c r="C31" s="333" t="s">
        <v>679</v>
      </c>
      <c r="D31" s="772"/>
      <c r="E31" s="772"/>
      <c r="F31" s="781">
        <f t="shared" si="5"/>
        <v>0</v>
      </c>
    </row>
    <row r="32" spans="1:6" ht="13.2">
      <c r="A32" s="346">
        <f t="shared" si="6"/>
        <v>20</v>
      </c>
      <c r="B32" s="771" t="s">
        <v>693</v>
      </c>
      <c r="C32" s="541" t="str">
        <f>"(Line "&amp;A29&amp;" - line "&amp;A30&amp;" - line "&amp;A31&amp;")"</f>
        <v>(Line 17 - line 18 - line 19)</v>
      </c>
      <c r="D32" s="770">
        <f>+D29-D30-D31</f>
        <v>0</v>
      </c>
      <c r="E32" s="770">
        <f>+E29-E30-E31</f>
        <v>0</v>
      </c>
      <c r="F32" s="783">
        <f t="shared" si="5"/>
        <v>0</v>
      </c>
    </row>
    <row r="33" spans="1:9" ht="13.2">
      <c r="A33" s="346"/>
      <c r="B33" s="771"/>
      <c r="C33" s="771"/>
      <c r="D33" s="773"/>
      <c r="E33" s="773"/>
    </row>
    <row r="34" spans="1:9" ht="13.2">
      <c r="A34" s="713">
        <f>+A32+1</f>
        <v>21</v>
      </c>
      <c r="B34" s="784" t="s">
        <v>802</v>
      </c>
      <c r="C34" s="541" t="str">
        <f>"(Line "&amp;A21&amp;" + line "&amp;A32&amp;")"</f>
        <v>(Line 11 + line 20)</v>
      </c>
      <c r="D34" s="775">
        <f>+D21+D32</f>
        <v>0</v>
      </c>
      <c r="E34" s="775">
        <f>+E21+E32</f>
        <v>0</v>
      </c>
      <c r="F34" s="775">
        <f>+F21+F32</f>
        <v>0</v>
      </c>
    </row>
    <row r="35" spans="1:9" ht="14.25" customHeight="1">
      <c r="A35" s="333"/>
      <c r="B35" s="333"/>
      <c r="C35" s="333"/>
      <c r="E35" s="780"/>
      <c r="F35" s="346"/>
    </row>
    <row r="36" spans="1:9" s="776" customFormat="1" ht="13.2">
      <c r="A36" s="333"/>
      <c r="B36" s="333"/>
      <c r="C36" s="333"/>
      <c r="D36" s="333"/>
      <c r="E36" s="775"/>
      <c r="F36" s="773"/>
    </row>
    <row r="37" spans="1:9" ht="41.25" customHeight="1">
      <c r="A37" s="777" t="s">
        <v>670</v>
      </c>
      <c r="B37" s="1033" t="s">
        <v>804</v>
      </c>
      <c r="C37" s="1033"/>
      <c r="D37" s="1033"/>
      <c r="E37" s="1033"/>
      <c r="F37" s="1033"/>
      <c r="G37" s="1033"/>
    </row>
    <row r="38" spans="1:9" ht="13.2">
      <c r="A38" s="564"/>
      <c r="B38" s="564"/>
      <c r="C38" s="564"/>
      <c r="D38" s="564"/>
      <c r="E38" s="564"/>
      <c r="F38" s="564"/>
      <c r="G38" s="564"/>
      <c r="H38" s="564"/>
      <c r="I38" s="564"/>
    </row>
    <row r="42" spans="1:9" ht="13.2">
      <c r="A42" s="346"/>
      <c r="B42" s="333"/>
      <c r="C42" s="333"/>
      <c r="D42" s="778"/>
      <c r="E42" s="347"/>
    </row>
    <row r="113" spans="5:5">
      <c r="E113" s="225"/>
    </row>
    <row r="232" spans="4:8">
      <c r="D232" s="774"/>
      <c r="F232" s="774"/>
      <c r="G232" s="774"/>
      <c r="H232" s="774"/>
    </row>
    <row r="233" spans="4:8" ht="99.75" customHeight="1">
      <c r="D233" s="774"/>
      <c r="F233" s="774"/>
      <c r="G233" s="774"/>
      <c r="H233" s="774"/>
    </row>
    <row r="234" spans="4:8">
      <c r="D234" s="774"/>
      <c r="F234" s="774"/>
      <c r="G234" s="774"/>
      <c r="H234" s="774"/>
    </row>
    <row r="235" spans="4:8">
      <c r="D235" s="774"/>
      <c r="F235" s="774"/>
      <c r="G235" s="774"/>
      <c r="H235" s="774"/>
    </row>
    <row r="236" spans="4:8">
      <c r="D236" s="774"/>
      <c r="F236" s="774"/>
      <c r="G236" s="774"/>
      <c r="H236" s="774"/>
    </row>
    <row r="237" spans="4:8">
      <c r="D237" s="774"/>
      <c r="F237" s="774"/>
      <c r="G237" s="774"/>
      <c r="H237" s="774"/>
    </row>
    <row r="238" spans="4:8">
      <c r="D238" s="774"/>
      <c r="F238" s="774"/>
      <c r="G238" s="774"/>
      <c r="H238" s="774"/>
    </row>
    <row r="239" spans="4:8">
      <c r="D239" s="774"/>
      <c r="F239" s="774"/>
      <c r="G239" s="774"/>
      <c r="H239" s="774"/>
    </row>
    <row r="240" spans="4:8">
      <c r="D240" s="774"/>
      <c r="F240" s="774"/>
      <c r="G240" s="774"/>
      <c r="H240" s="774"/>
    </row>
    <row r="241" spans="4:8">
      <c r="D241" s="774"/>
      <c r="F241" s="774"/>
      <c r="G241" s="774"/>
      <c r="H241" s="774"/>
    </row>
    <row r="242" spans="4:8">
      <c r="D242" s="774"/>
      <c r="F242" s="774"/>
      <c r="G242" s="774"/>
      <c r="H242" s="774"/>
    </row>
    <row r="243" spans="4:8">
      <c r="D243" s="774"/>
      <c r="F243" s="774"/>
      <c r="G243" s="774"/>
      <c r="H243" s="774"/>
    </row>
    <row r="244" spans="4:8">
      <c r="D244" s="774"/>
      <c r="F244" s="774"/>
      <c r="G244" s="774"/>
      <c r="H244" s="774"/>
    </row>
    <row r="245" spans="4:8">
      <c r="D245" s="774"/>
      <c r="F245" s="774"/>
      <c r="G245" s="774"/>
      <c r="H245" s="774"/>
    </row>
    <row r="246" spans="4:8">
      <c r="D246" s="774"/>
      <c r="F246" s="774"/>
      <c r="G246" s="774"/>
      <c r="H246" s="774"/>
    </row>
    <row r="247" spans="4:8">
      <c r="D247" s="774"/>
      <c r="F247" s="774"/>
      <c r="G247" s="774"/>
      <c r="H247" s="774"/>
    </row>
    <row r="248" spans="4:8">
      <c r="D248" s="774"/>
      <c r="F248" s="774"/>
      <c r="G248" s="774"/>
      <c r="H248" s="774"/>
    </row>
    <row r="249" spans="4:8">
      <c r="D249" s="774"/>
      <c r="F249" s="774"/>
      <c r="G249" s="774"/>
      <c r="H249" s="774"/>
    </row>
    <row r="250" spans="4:8">
      <c r="D250" s="774"/>
      <c r="F250" s="774"/>
      <c r="G250" s="774"/>
      <c r="H250" s="774"/>
    </row>
    <row r="251" spans="4:8">
      <c r="D251" s="774"/>
      <c r="F251" s="774"/>
      <c r="G251" s="774"/>
      <c r="H251" s="774"/>
    </row>
    <row r="252" spans="4:8">
      <c r="D252" s="774"/>
      <c r="F252" s="774"/>
      <c r="G252" s="774"/>
      <c r="H252" s="774"/>
    </row>
    <row r="253" spans="4:8">
      <c r="D253" s="774"/>
      <c r="F253" s="774"/>
      <c r="G253" s="774"/>
      <c r="H253" s="774"/>
    </row>
    <row r="254" spans="4:8" ht="40.5" customHeight="1">
      <c r="D254" s="774"/>
      <c r="F254" s="774"/>
      <c r="G254" s="774"/>
      <c r="H254" s="774"/>
    </row>
    <row r="255" spans="4:8">
      <c r="D255" s="774"/>
      <c r="F255" s="774"/>
      <c r="G255" s="774"/>
      <c r="H255" s="774"/>
    </row>
  </sheetData>
  <customSheetViews>
    <customSheetView guid="{63AFAF34-E340-4B5E-A289-FFB7051CA9B6}" showPageBreaks="1" fitToPage="1" printArea="1" view="pageBreakPreview">
      <selection activeCell="F20" sqref="F20"/>
      <rowBreaks count="1" manualBreakCount="1">
        <brk id="49" max="3" man="1"/>
      </rowBreaks>
      <pageMargins left="0.75" right="0.75" top="1.28" bottom="1" header="0.5" footer="0.5"/>
      <pageSetup scale="65" orientation="portrait" r:id="rId1"/>
      <headerFooter alignWithMargins="0"/>
    </customSheetView>
    <customSheetView guid="{F1DC5514-577A-46EB-866C-26F0BED2C286}" showPageBreaks="1" fitToPage="1" printArea="1" view="pageBreakPreview">
      <selection activeCell="G31" sqref="A1:G31"/>
      <rowBreaks count="1" manualBreakCount="1">
        <brk id="49" max="3" man="1"/>
      </rowBreaks>
      <pageMargins left="0.75" right="0.75" top="1.28" bottom="1" header="0.5" footer="0.5"/>
      <pageSetup scale="89" orientation="landscape" r:id="rId2"/>
      <headerFooter alignWithMargins="0"/>
    </customSheetView>
  </customSheetViews>
  <mergeCells count="4">
    <mergeCell ref="B37:G37"/>
    <mergeCell ref="A1:G1"/>
    <mergeCell ref="A2:G2"/>
    <mergeCell ref="A3:G3"/>
  </mergeCells>
  <pageMargins left="0.75" right="0.75" top="1.28" bottom="1" header="0.5" footer="0.5"/>
  <pageSetup scale="75" orientation="landscape" r:id="rId3"/>
  <headerFooter alignWithMargins="0"/>
  <rowBreaks count="1" manualBreakCount="1">
    <brk id="56"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7"/>
  <sheetViews>
    <sheetView view="pageBreakPreview" zoomScaleNormal="100" zoomScaleSheetLayoutView="100" workbookViewId="0">
      <selection sqref="A1:D1"/>
    </sheetView>
  </sheetViews>
  <sheetFormatPr defaultColWidth="8.90625" defaultRowHeight="15.6"/>
  <cols>
    <col min="1" max="1" width="7.36328125" style="347" customWidth="1"/>
    <col min="2" max="2" width="49.6328125" style="347" customWidth="1"/>
    <col min="3" max="3" width="14.81640625" style="347" customWidth="1"/>
    <col min="4" max="4" width="11.6328125" style="347" customWidth="1"/>
    <col min="5" max="5" width="10.90625" style="779" bestFit="1" customWidth="1"/>
    <col min="6" max="6" width="10.453125" style="347" customWidth="1"/>
    <col min="7" max="16384" width="8.90625" style="347"/>
  </cols>
  <sheetData>
    <row r="1" spans="1:9" ht="13.2">
      <c r="A1" s="1010" t="s">
        <v>740</v>
      </c>
      <c r="B1" s="1010"/>
      <c r="C1" s="1010"/>
      <c r="D1" s="1010"/>
      <c r="E1" s="406"/>
      <c r="F1" s="406"/>
      <c r="G1" s="406"/>
      <c r="H1" s="406"/>
      <c r="I1" s="406"/>
    </row>
    <row r="2" spans="1:9" ht="13.2">
      <c r="A2" s="1039" t="s">
        <v>741</v>
      </c>
      <c r="B2" s="1039"/>
      <c r="C2" s="1039"/>
      <c r="D2" s="1039"/>
      <c r="E2" s="715"/>
      <c r="F2" s="715"/>
      <c r="G2" s="715"/>
      <c r="H2" s="715"/>
      <c r="I2" s="715"/>
    </row>
    <row r="3" spans="1:9" ht="13.2">
      <c r="A3" s="1040" t="str">
        <f>+'Attachment H-29A'!D5</f>
        <v>Transource Pennsylvania, LLC</v>
      </c>
      <c r="B3" s="1040"/>
      <c r="C3" s="1040"/>
      <c r="D3" s="1040"/>
      <c r="E3" s="368"/>
      <c r="F3" s="368"/>
      <c r="G3" s="368"/>
      <c r="H3" s="368"/>
      <c r="I3" s="368"/>
    </row>
    <row r="4" spans="1:9" ht="13.2">
      <c r="A4" s="842"/>
      <c r="B4" s="842"/>
      <c r="C4" s="842"/>
      <c r="D4" s="842"/>
      <c r="E4" s="842"/>
      <c r="F4" s="842"/>
      <c r="G4" s="842"/>
      <c r="H4" s="368"/>
      <c r="I4" s="368"/>
    </row>
    <row r="5" spans="1:9">
      <c r="A5" s="760"/>
      <c r="C5" s="564"/>
      <c r="D5" s="841"/>
      <c r="E5"/>
      <c r="F5"/>
      <c r="H5" s="763"/>
    </row>
    <row r="6" spans="1:9" ht="15">
      <c r="A6" s="840" t="s">
        <v>148</v>
      </c>
      <c r="B6" s="844"/>
      <c r="C6" s="397" t="s">
        <v>199</v>
      </c>
      <c r="D6" s="782" t="s">
        <v>11</v>
      </c>
      <c r="E6"/>
      <c r="F6"/>
      <c r="G6" s="764"/>
      <c r="H6" s="764"/>
      <c r="I6" s="764"/>
    </row>
    <row r="7" spans="1:9" ht="15">
      <c r="A7" s="346"/>
      <c r="B7" s="765"/>
      <c r="E7"/>
      <c r="F7"/>
    </row>
    <row r="8" spans="1:9" customFormat="1" ht="15">
      <c r="A8" s="846">
        <v>1</v>
      </c>
      <c r="B8" s="125" t="s">
        <v>741</v>
      </c>
      <c r="D8" s="768">
        <v>0</v>
      </c>
    </row>
    <row r="9" spans="1:9" customFormat="1" ht="15"/>
    <row r="10" spans="1:9" customFormat="1" ht="15"/>
    <row r="11" spans="1:9" customFormat="1" ht="15"/>
    <row r="12" spans="1:9" customFormat="1" ht="15"/>
    <row r="13" spans="1:9" customFormat="1" ht="15"/>
    <row r="14" spans="1:9" customFormat="1" ht="15"/>
    <row r="15" spans="1:9" customFormat="1" ht="15"/>
    <row r="16" spans="1:9" customFormat="1" ht="73.5" customHeight="1">
      <c r="A16" s="799" t="s">
        <v>780</v>
      </c>
      <c r="B16" s="989" t="s">
        <v>791</v>
      </c>
      <c r="C16" s="989"/>
      <c r="D16" s="989"/>
    </row>
    <row r="17" spans="1:9" customFormat="1" ht="15"/>
    <row r="18" spans="1:9" customFormat="1" ht="15"/>
    <row r="19" spans="1:9" customFormat="1" ht="15"/>
    <row r="20" spans="1:9" customFormat="1" ht="15"/>
    <row r="21" spans="1:9" customFormat="1" ht="15"/>
    <row r="22" spans="1:9" customFormat="1" ht="15"/>
    <row r="23" spans="1:9" customFormat="1" ht="15"/>
    <row r="24" spans="1:9" customFormat="1" ht="15"/>
    <row r="25" spans="1:9" customFormat="1" ht="15"/>
    <row r="26" spans="1:9" customFormat="1" ht="15"/>
    <row r="27" spans="1:9" customFormat="1" ht="14.25" customHeight="1"/>
    <row r="28" spans="1:9" customFormat="1" ht="15"/>
    <row r="29" spans="1:9" customFormat="1" ht="41.25" customHeight="1"/>
    <row r="30" spans="1:9" ht="13.2">
      <c r="A30" s="564"/>
      <c r="B30" s="564"/>
      <c r="C30" s="564"/>
      <c r="D30" s="564"/>
      <c r="E30" s="564"/>
      <c r="F30" s="564"/>
      <c r="G30" s="564"/>
      <c r="H30" s="564"/>
      <c r="I30" s="564"/>
    </row>
    <row r="34" spans="1:5" ht="13.2">
      <c r="A34" s="346"/>
      <c r="B34" s="333"/>
      <c r="C34" s="333"/>
      <c r="D34" s="778"/>
      <c r="E34" s="347"/>
    </row>
    <row r="105" spans="5:5">
      <c r="E105" s="225"/>
    </row>
    <row r="224" spans="4:8">
      <c r="D224" s="774"/>
      <c r="F224" s="774"/>
      <c r="G224" s="774"/>
      <c r="H224" s="774"/>
    </row>
    <row r="225" spans="4:8" ht="99.75" customHeight="1">
      <c r="D225" s="774"/>
      <c r="F225" s="774"/>
      <c r="G225" s="774"/>
      <c r="H225" s="774"/>
    </row>
    <row r="226" spans="4:8">
      <c r="D226" s="774"/>
      <c r="F226" s="774"/>
      <c r="G226" s="774"/>
      <c r="H226" s="774"/>
    </row>
    <row r="227" spans="4:8">
      <c r="D227" s="774"/>
      <c r="F227" s="774"/>
      <c r="G227" s="774"/>
      <c r="H227" s="774"/>
    </row>
    <row r="228" spans="4:8">
      <c r="D228" s="774"/>
      <c r="F228" s="774"/>
      <c r="G228" s="774"/>
      <c r="H228" s="774"/>
    </row>
    <row r="229" spans="4:8">
      <c r="D229" s="774"/>
      <c r="F229" s="774"/>
      <c r="G229" s="774"/>
      <c r="H229" s="774"/>
    </row>
    <row r="230" spans="4:8">
      <c r="D230" s="774"/>
      <c r="F230" s="774"/>
      <c r="G230" s="774"/>
      <c r="H230" s="774"/>
    </row>
    <row r="231" spans="4:8">
      <c r="D231" s="774"/>
      <c r="F231" s="774"/>
      <c r="G231" s="774"/>
      <c r="H231" s="774"/>
    </row>
    <row r="232" spans="4:8">
      <c r="D232" s="774"/>
      <c r="F232" s="774"/>
      <c r="G232" s="774"/>
      <c r="H232" s="774"/>
    </row>
    <row r="233" spans="4:8">
      <c r="D233" s="774"/>
      <c r="F233" s="774"/>
      <c r="G233" s="774"/>
      <c r="H233" s="774"/>
    </row>
    <row r="234" spans="4:8">
      <c r="D234" s="774"/>
      <c r="F234" s="774"/>
      <c r="G234" s="774"/>
      <c r="H234" s="774"/>
    </row>
    <row r="235" spans="4:8">
      <c r="D235" s="774"/>
      <c r="F235" s="774"/>
      <c r="G235" s="774"/>
      <c r="H235" s="774"/>
    </row>
    <row r="236" spans="4:8">
      <c r="D236" s="774"/>
      <c r="F236" s="774"/>
      <c r="G236" s="774"/>
      <c r="H236" s="774"/>
    </row>
    <row r="237" spans="4:8">
      <c r="D237" s="774"/>
      <c r="F237" s="774"/>
      <c r="G237" s="774"/>
      <c r="H237" s="774"/>
    </row>
    <row r="238" spans="4:8">
      <c r="D238" s="774"/>
      <c r="F238" s="774"/>
      <c r="G238" s="774"/>
      <c r="H238" s="774"/>
    </row>
    <row r="239" spans="4:8">
      <c r="D239" s="774"/>
      <c r="F239" s="774"/>
      <c r="G239" s="774"/>
      <c r="H239" s="774"/>
    </row>
    <row r="240" spans="4:8">
      <c r="D240" s="774"/>
      <c r="F240" s="774"/>
      <c r="G240" s="774"/>
      <c r="H240" s="774"/>
    </row>
    <row r="241" spans="4:8">
      <c r="D241" s="774"/>
      <c r="F241" s="774"/>
      <c r="G241" s="774"/>
      <c r="H241" s="774"/>
    </row>
    <row r="242" spans="4:8">
      <c r="D242" s="774"/>
      <c r="F242" s="774"/>
      <c r="G242" s="774"/>
      <c r="H242" s="774"/>
    </row>
    <row r="243" spans="4:8">
      <c r="D243" s="774"/>
      <c r="F243" s="774"/>
      <c r="G243" s="774"/>
      <c r="H243" s="774"/>
    </row>
    <row r="244" spans="4:8">
      <c r="D244" s="774"/>
      <c r="F244" s="774"/>
      <c r="G244" s="774"/>
      <c r="H244" s="774"/>
    </row>
    <row r="245" spans="4:8">
      <c r="D245" s="774"/>
      <c r="F245" s="774"/>
      <c r="G245" s="774"/>
      <c r="H245" s="774"/>
    </row>
    <row r="246" spans="4:8" ht="40.5" customHeight="1">
      <c r="D246" s="774"/>
      <c r="F246" s="774"/>
      <c r="G246" s="774"/>
      <c r="H246" s="774"/>
    </row>
    <row r="247" spans="4:8">
      <c r="D247" s="774"/>
      <c r="F247" s="774"/>
      <c r="G247" s="774"/>
      <c r="H247" s="774"/>
    </row>
  </sheetData>
  <customSheetViews>
    <customSheetView guid="{63AFAF34-E340-4B5E-A289-FFB7051CA9B6}" showPageBreaks="1" fitToPage="1" printArea="1" view="pageBreakPreview">
      <selection activeCell="B23" sqref="B23"/>
      <rowBreaks count="1" manualBreakCount="1">
        <brk id="48" max="3" man="1"/>
      </rowBreaks>
      <pageMargins left="0.75" right="0.75" top="1.28" bottom="1" header="0.5" footer="0.5"/>
      <pageSetup scale="90" orientation="portrait" r:id="rId1"/>
      <headerFooter alignWithMargins="0"/>
    </customSheetView>
  </customSheetViews>
  <mergeCells count="4">
    <mergeCell ref="A1:D1"/>
    <mergeCell ref="A2:D2"/>
    <mergeCell ref="A3:D3"/>
    <mergeCell ref="B16:D16"/>
  </mergeCells>
  <pageMargins left="0.75" right="0.75" top="1.28" bottom="1" header="0.5" footer="0.5"/>
  <pageSetup scale="88" orientation="landscape" r:id="rId2"/>
  <headerFooter alignWithMargins="0"/>
  <rowBreaks count="1" manualBreakCount="1">
    <brk id="4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988DBC8E-E135-4F5E-ADEE-BD14D77AAFE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C9F235A1-8267-4439-909A-B945A28ACD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Attachment H-29A</vt:lpstr>
      <vt:lpstr>1-Project Rev Req</vt:lpstr>
      <vt:lpstr>2-Incentive ROE</vt:lpstr>
      <vt:lpstr>3-Project True-up</vt:lpstr>
      <vt:lpstr>4- Rate Base</vt:lpstr>
      <vt:lpstr>4a-ADIT</vt:lpstr>
      <vt:lpstr>4b-Ending ADIT</vt:lpstr>
      <vt:lpstr>4c-ADIT Proration</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13 - 30.9 credits</vt:lpstr>
      <vt:lpstr>'11-Corrections'!Print_Area</vt:lpstr>
      <vt:lpstr>'12 - Revenue Credits'!Print_Area</vt:lpstr>
      <vt:lpstr>'13 - 30.9 credits'!Print_Area</vt:lpstr>
      <vt:lpstr>'1-Project Rev Req'!Print_Area</vt:lpstr>
      <vt:lpstr>'2-Incentive ROE'!Print_Area</vt:lpstr>
      <vt:lpstr>'3-Project True-up'!Print_Area</vt:lpstr>
      <vt:lpstr>'4- Rate Base'!Print_Area</vt:lpstr>
      <vt:lpstr>'4a-ADIT'!Print_Area</vt:lpstr>
      <vt:lpstr>'4b-Ending ADIT'!Print_Area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Martin</dc:creator>
  <cp:keywords/>
  <cp:lastModifiedBy>s199989</cp:lastModifiedBy>
  <cp:lastPrinted>2017-02-17T19:02:56Z</cp:lastPrinted>
  <dcterms:created xsi:type="dcterms:W3CDTF">1970-01-01T04:00:00Z</dcterms:created>
  <dcterms:modified xsi:type="dcterms:W3CDTF">2021-09-30T00:00:47Z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{2FB3E623-0000-46FD-8D8A-89B5C0FB626F}</vt:lpwstr>
  </property>
  <property fmtid="{D5CDD505-2E9C-101B-9397-08002B2CF9AE}" pid="6" name="docIndexRef">
    <vt:lpwstr>25e6ae71-0eba-41b6-8069-ac4cc23449a3</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Visual Markings Removed">
    <vt:lpwstr>No</vt:lpwstr>
  </property>
  <property fmtid="{D5CDD505-2E9C-101B-9397-08002B2CF9AE}" pid="10"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11" name="bjDocumentLabelXML-0">
    <vt:lpwstr>ww.boldonjames.com/2008/01/sie/internal/label"&gt;&lt;element uid="50c31824-0780-4910-87d1-eaaffd182d42" value="" /&gt;&lt;element uid="c64218ab-b8d1-40b6-a478-cb8be1e10ecc" value="" /&gt;&lt;/sisl&gt;</vt:lpwstr>
  </property>
</Properties>
</file>