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\shares\home\Bachut\My Documents\"/>
    </mc:Choice>
  </mc:AlternateContent>
  <bookViews>
    <workbookView xWindow="0" yWindow="0" windowWidth="28800" windowHeight="12300" tabRatio="691"/>
  </bookViews>
  <sheets>
    <sheet name="Planning Parameters" sheetId="12" r:id="rId1"/>
    <sheet name="Net CONE" sheetId="2" r:id="rId2"/>
    <sheet name="Key Transmission Upgrade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2" l="1"/>
  <c r="D26" i="12" l="1"/>
  <c r="E26" i="12" l="1"/>
  <c r="C26" i="12" l="1"/>
  <c r="B26" i="12" s="1"/>
  <c r="Q41" i="12" l="1"/>
  <c r="Q13" i="12" l="1"/>
  <c r="Q14" i="12" s="1"/>
  <c r="Q15" i="12" s="1"/>
  <c r="Q25" i="12" l="1"/>
  <c r="Q24" i="12"/>
  <c r="Q23" i="12"/>
  <c r="B41" i="2" l="1"/>
  <c r="C29" i="2" l="1"/>
  <c r="C24" i="2"/>
  <c r="C20" i="2"/>
  <c r="C12" i="2"/>
  <c r="D12" i="2" s="1"/>
  <c r="E12" i="2" l="1"/>
  <c r="G41" i="2"/>
  <c r="H41" i="2" s="1"/>
  <c r="H40" i="2"/>
  <c r="P41" i="12" l="1"/>
  <c r="F13" i="12" l="1"/>
  <c r="F14" i="12" s="1"/>
  <c r="F15" i="12" s="1"/>
  <c r="G13" i="12"/>
  <c r="H13" i="12"/>
  <c r="I13" i="12"/>
  <c r="I14" i="12" s="1"/>
  <c r="I15" i="12" s="1"/>
  <c r="J13" i="12"/>
  <c r="J14" i="12" s="1"/>
  <c r="J15" i="12" s="1"/>
  <c r="K13" i="12"/>
  <c r="K14" i="12" s="1"/>
  <c r="K15" i="12" s="1"/>
  <c r="L13" i="12"/>
  <c r="L14" i="12" s="1"/>
  <c r="M13" i="12"/>
  <c r="M14" i="12" s="1"/>
  <c r="N13" i="12"/>
  <c r="N14" i="12" s="1"/>
  <c r="N15" i="12" s="1"/>
  <c r="O13" i="12"/>
  <c r="O14" i="12" s="1"/>
  <c r="O15" i="12" s="1"/>
  <c r="G14" i="12"/>
  <c r="G15" i="12" s="1"/>
  <c r="H14" i="12"/>
  <c r="H15" i="12" s="1"/>
  <c r="B32" i="12"/>
  <c r="C32" i="12"/>
  <c r="D32" i="12"/>
  <c r="E32" i="12"/>
  <c r="I32" i="12"/>
  <c r="M32" i="12"/>
  <c r="M41" i="12"/>
  <c r="L41" i="12"/>
  <c r="C13" i="12"/>
  <c r="C14" i="12" s="1"/>
  <c r="E13" i="12"/>
  <c r="E14" i="12" s="1"/>
  <c r="I24" i="12" l="1"/>
  <c r="I34" i="12" s="1"/>
  <c r="I25" i="12"/>
  <c r="I37" i="12" s="1"/>
  <c r="I23" i="12"/>
  <c r="I33" i="12" s="1"/>
  <c r="N25" i="12"/>
  <c r="N23" i="12"/>
  <c r="N24" i="12"/>
  <c r="O23" i="12"/>
  <c r="O24" i="12"/>
  <c r="O25" i="12"/>
  <c r="K25" i="12"/>
  <c r="K23" i="12"/>
  <c r="K24" i="12"/>
  <c r="H24" i="12"/>
  <c r="H25" i="12"/>
  <c r="H23" i="12"/>
  <c r="G23" i="12"/>
  <c r="G24" i="12"/>
  <c r="G25" i="12"/>
  <c r="E41" i="12"/>
  <c r="E15" i="12" s="1"/>
  <c r="D41" i="12"/>
  <c r="L15" i="12"/>
  <c r="M15" i="12"/>
  <c r="D13" i="12"/>
  <c r="D14" i="12" s="1"/>
  <c r="J25" i="12" l="1"/>
  <c r="J24" i="12"/>
  <c r="J23" i="12"/>
  <c r="F24" i="12"/>
  <c r="F23" i="12"/>
  <c r="F25" i="12"/>
  <c r="M25" i="12"/>
  <c r="M24" i="12"/>
  <c r="M34" i="12" s="1"/>
  <c r="M23" i="12"/>
  <c r="M33" i="12" s="1"/>
  <c r="E23" i="12"/>
  <c r="E33" i="12" s="1"/>
  <c r="E25" i="12"/>
  <c r="E37" i="12" s="1"/>
  <c r="E24" i="12"/>
  <c r="E34" i="12" s="1"/>
  <c r="L23" i="12"/>
  <c r="L24" i="12"/>
  <c r="L25" i="12"/>
  <c r="D15" i="12"/>
  <c r="C41" i="12" l="1"/>
  <c r="C15" i="12" s="1"/>
  <c r="D23" i="12"/>
  <c r="D33" i="12" s="1"/>
  <c r="D24" i="12"/>
  <c r="D34" i="12" s="1"/>
  <c r="D25" i="12"/>
  <c r="D37" i="12" s="1"/>
  <c r="M37" i="12"/>
  <c r="C23" i="12" l="1"/>
  <c r="C33" i="12" s="1"/>
  <c r="C24" i="12"/>
  <c r="C34" i="12" s="1"/>
  <c r="C25" i="12"/>
  <c r="C37" i="12" s="1"/>
  <c r="H13" i="2" l="1"/>
  <c r="I13" i="2" l="1"/>
  <c r="J13" i="2" s="1"/>
  <c r="H38" i="2" l="1"/>
  <c r="H37" i="2"/>
  <c r="H36" i="2"/>
  <c r="H35" i="2"/>
  <c r="H34" i="2"/>
  <c r="H33" i="2"/>
  <c r="H32" i="2"/>
  <c r="H31" i="2"/>
  <c r="H30" i="2"/>
  <c r="D29" i="2"/>
  <c r="H27" i="2"/>
  <c r="H26" i="2"/>
  <c r="H25" i="2"/>
  <c r="D24" i="2"/>
  <c r="E24" i="2" s="1"/>
  <c r="H22" i="2"/>
  <c r="H21" i="2"/>
  <c r="D20" i="2"/>
  <c r="H18" i="2"/>
  <c r="I18" i="2" s="1"/>
  <c r="J18" i="2" s="1"/>
  <c r="H17" i="2"/>
  <c r="I17" i="2" s="1"/>
  <c r="J17" i="2" s="1"/>
  <c r="H16" i="2"/>
  <c r="I16" i="2" s="1"/>
  <c r="J16" i="2" s="1"/>
  <c r="H15" i="2"/>
  <c r="I15" i="2" s="1"/>
  <c r="J15" i="2" s="1"/>
  <c r="H14" i="2"/>
  <c r="I14" i="2" s="1"/>
  <c r="J14" i="2" s="1"/>
  <c r="D39" i="2" l="1"/>
  <c r="E39" i="2" s="1"/>
  <c r="E29" i="2"/>
  <c r="E38" i="2" s="1"/>
  <c r="E20" i="2"/>
  <c r="I21" i="2"/>
  <c r="J21" i="2" s="1"/>
  <c r="M17" i="12" s="1"/>
  <c r="D41" i="2"/>
  <c r="E41" i="2" s="1"/>
  <c r="J19" i="2"/>
  <c r="I19" i="2" s="1"/>
  <c r="E40" i="2"/>
  <c r="L16" i="12" s="1"/>
  <c r="I40" i="2"/>
  <c r="J40" i="2" s="1"/>
  <c r="L17" i="12" s="1"/>
  <c r="I33" i="2"/>
  <c r="I37" i="2"/>
  <c r="J37" i="2" s="1"/>
  <c r="I31" i="2"/>
  <c r="J31" i="2" s="1"/>
  <c r="I34" i="2"/>
  <c r="I38" i="2"/>
  <c r="J38" i="2" s="1"/>
  <c r="I32" i="2"/>
  <c r="J32" i="2" s="1"/>
  <c r="I35" i="2"/>
  <c r="J35" i="2" s="1"/>
  <c r="I30" i="2"/>
  <c r="J30" i="2" s="1"/>
  <c r="I36" i="2"/>
  <c r="J36" i="2" s="1"/>
  <c r="Q17" i="12" s="1"/>
  <c r="I25" i="2"/>
  <c r="J25" i="2" s="1"/>
  <c r="I26" i="2"/>
  <c r="J26" i="2" s="1"/>
  <c r="I27" i="2"/>
  <c r="E27" i="2"/>
  <c r="N16" i="12" s="1"/>
  <c r="I22" i="2"/>
  <c r="E23" i="2"/>
  <c r="E16" i="12" s="1"/>
  <c r="H17" i="12"/>
  <c r="Q38" i="12" l="1"/>
  <c r="Q21" i="12"/>
  <c r="J34" i="2"/>
  <c r="P17" i="12" s="1"/>
  <c r="J27" i="2"/>
  <c r="N17" i="12" s="1"/>
  <c r="J22" i="2"/>
  <c r="J28" i="2" s="1"/>
  <c r="J33" i="2"/>
  <c r="O17" i="12" s="1"/>
  <c r="I41" i="2"/>
  <c r="B16" i="12"/>
  <c r="K17" i="12"/>
  <c r="J17" i="12"/>
  <c r="F17" i="12"/>
  <c r="G17" i="12"/>
  <c r="H38" i="12"/>
  <c r="H21" i="12"/>
  <c r="M21" i="12"/>
  <c r="M38" i="12"/>
  <c r="L21" i="12"/>
  <c r="L38" i="12"/>
  <c r="E25" i="2"/>
  <c r="E26" i="2"/>
  <c r="E35" i="2"/>
  <c r="E34" i="2"/>
  <c r="P16" i="12" s="1"/>
  <c r="E31" i="2"/>
  <c r="E32" i="2"/>
  <c r="E37" i="2"/>
  <c r="E33" i="2"/>
  <c r="O16" i="12" s="1"/>
  <c r="E30" i="2"/>
  <c r="E36" i="2"/>
  <c r="Q16" i="12" s="1"/>
  <c r="Q20" i="12" s="1"/>
  <c r="L20" i="12"/>
  <c r="E22" i="2"/>
  <c r="I16" i="12" s="1"/>
  <c r="E21" i="2"/>
  <c r="M16" i="12" s="1"/>
  <c r="M20" i="12" s="1"/>
  <c r="M28" i="12" s="1"/>
  <c r="E19" i="2"/>
  <c r="D16" i="12" s="1"/>
  <c r="E18" i="2"/>
  <c r="E17" i="2"/>
  <c r="E16" i="2"/>
  <c r="E15" i="2"/>
  <c r="E14" i="2"/>
  <c r="H16" i="12" s="1"/>
  <c r="H20" i="12" s="1"/>
  <c r="E13" i="2"/>
  <c r="J23" i="2" l="1"/>
  <c r="E17" i="12" s="1"/>
  <c r="E21" i="12" s="1"/>
  <c r="P13" i="12"/>
  <c r="P14" i="12" s="1"/>
  <c r="P15" i="12" s="1"/>
  <c r="O38" i="12"/>
  <c r="O21" i="12"/>
  <c r="C17" i="12"/>
  <c r="C21" i="12" s="1"/>
  <c r="I28" i="2"/>
  <c r="N38" i="12"/>
  <c r="N21" i="12"/>
  <c r="N20" i="12"/>
  <c r="P38" i="12"/>
  <c r="P21" i="12"/>
  <c r="O20" i="12"/>
  <c r="I17" i="12"/>
  <c r="I20" i="12" s="1"/>
  <c r="I28" i="12" s="1"/>
  <c r="P20" i="12"/>
  <c r="J41" i="2"/>
  <c r="B17" i="12" s="1"/>
  <c r="J16" i="12"/>
  <c r="J20" i="12" s="1"/>
  <c r="K16" i="12"/>
  <c r="K20" i="12" s="1"/>
  <c r="F16" i="12"/>
  <c r="F20" i="12" s="1"/>
  <c r="G16" i="12"/>
  <c r="G20" i="12" s="1"/>
  <c r="G21" i="12"/>
  <c r="G38" i="12"/>
  <c r="J21" i="12"/>
  <c r="J38" i="12"/>
  <c r="M29" i="12"/>
  <c r="M36" i="12"/>
  <c r="M35" i="12" s="1"/>
  <c r="F21" i="12"/>
  <c r="F38" i="12"/>
  <c r="K21" i="12"/>
  <c r="K38" i="12"/>
  <c r="E28" i="2"/>
  <c r="C16" i="12" s="1"/>
  <c r="I23" i="2" l="1"/>
  <c r="C20" i="12"/>
  <c r="C28" i="12" s="1"/>
  <c r="E38" i="12"/>
  <c r="E20" i="12"/>
  <c r="E28" i="12" s="1"/>
  <c r="B20" i="12"/>
  <c r="B28" i="12" s="1"/>
  <c r="C38" i="12"/>
  <c r="P23" i="12"/>
  <c r="P24" i="12"/>
  <c r="P25" i="12"/>
  <c r="B38" i="12"/>
  <c r="B21" i="12"/>
  <c r="B29" i="12" s="1"/>
  <c r="I38" i="12"/>
  <c r="I21" i="12"/>
  <c r="E29" i="12"/>
  <c r="E36" i="12"/>
  <c r="E35" i="12" s="1"/>
  <c r="C29" i="12"/>
  <c r="C36" i="12"/>
  <c r="C35" i="12" s="1"/>
  <c r="B7" i="12" l="1"/>
  <c r="B13" i="12"/>
  <c r="B14" i="12" s="1"/>
  <c r="I29" i="12"/>
  <c r="I36" i="12"/>
  <c r="I35" i="12" s="1"/>
  <c r="B15" i="12" l="1"/>
  <c r="B24" i="12" l="1"/>
  <c r="B34" i="12" s="1"/>
  <c r="B25" i="12"/>
  <c r="B23" i="12"/>
  <c r="B33" i="12" s="1"/>
  <c r="D17" i="12"/>
  <c r="D20" i="12" s="1"/>
  <c r="D28" i="12" s="1"/>
  <c r="B37" i="12" l="1"/>
  <c r="B36" i="12"/>
  <c r="B35" i="12" s="1"/>
  <c r="D21" i="12"/>
  <c r="D38" i="12"/>
  <c r="D36" i="12" l="1"/>
  <c r="D35" i="12" s="1"/>
  <c r="D29" i="12"/>
</calcChain>
</file>

<file path=xl/sharedStrings.xml><?xml version="1.0" encoding="utf-8"?>
<sst xmlns="http://schemas.openxmlformats.org/spreadsheetml/2006/main" count="656" uniqueCount="190">
  <si>
    <t xml:space="preserve"> </t>
  </si>
  <si>
    <t>RTO</t>
  </si>
  <si>
    <t>Notes:</t>
  </si>
  <si>
    <t xml:space="preserve">Installed Reserve Margin (IRM) </t>
  </si>
  <si>
    <t>Forecast Pool Requirement (FPR)</t>
  </si>
  <si>
    <t>Preliminary Forecast Peak Load</t>
  </si>
  <si>
    <t>Locational Deliverability Area</t>
  </si>
  <si>
    <t>MAAC</t>
  </si>
  <si>
    <t>EMAAC</t>
  </si>
  <si>
    <t>SWMAAC</t>
  </si>
  <si>
    <t>PS</t>
  </si>
  <si>
    <t>PS NORTH</t>
  </si>
  <si>
    <t>DPL SOUTH</t>
  </si>
  <si>
    <t>PEPCO</t>
  </si>
  <si>
    <t>ATSI</t>
  </si>
  <si>
    <t>ATSI-Cleveland</t>
  </si>
  <si>
    <t>COMED</t>
  </si>
  <si>
    <t>BGE</t>
  </si>
  <si>
    <t>PL</t>
  </si>
  <si>
    <t>DAYTON</t>
  </si>
  <si>
    <t>DEOK</t>
  </si>
  <si>
    <t>CETO</t>
  </si>
  <si>
    <t>NA</t>
  </si>
  <si>
    <t>CETL</t>
  </si>
  <si>
    <t>Reliability Requirement</t>
  </si>
  <si>
    <t>Total Peak Load of FRR Entities</t>
  </si>
  <si>
    <t>Preliminary FRR Obligation</t>
  </si>
  <si>
    <t>Reliability Requirement adjusted for FRR</t>
  </si>
  <si>
    <t>Gross CONE, $/MW-Day (UCAP Price)</t>
  </si>
  <si>
    <t>Net CONE, $/MW-Day (UCAP Price)</t>
  </si>
  <si>
    <t>EE Addback (UCAP)</t>
  </si>
  <si>
    <t>Variable Resource Requirement Curve:</t>
  </si>
  <si>
    <t>Point (a) UCAP Price, $/MW-Day</t>
  </si>
  <si>
    <t>Point (b) UCAP Price, $/MW-Day</t>
  </si>
  <si>
    <t>Point (c) UCAP Price, $/MW-Day</t>
  </si>
  <si>
    <t>Point (a) UCAP Level, MW</t>
  </si>
  <si>
    <t>Point (b) UCAP Level, MW</t>
  </si>
  <si>
    <t>Point (c) UCAP Level, MW</t>
  </si>
  <si>
    <t>Nominated PRD Value, MW</t>
  </si>
  <si>
    <t>VRR Curve adjusted for PRD:</t>
  </si>
  <si>
    <t>Point (a1) UCAP Price, $/MW-Day</t>
  </si>
  <si>
    <t>Point (b1) UCAP Price, $/MW-Day</t>
  </si>
  <si>
    <t>Point (prd1) UCAP Price, $/MW-Day</t>
  </si>
  <si>
    <t>Point (prd2) UCAP Price, $/MW-Day</t>
  </si>
  <si>
    <t>Point (a1) UCAP Level, MW</t>
  </si>
  <si>
    <t>Point (b1) UCAP Level, MW</t>
  </si>
  <si>
    <t>Point (prd1) UCAP Level, MW</t>
  </si>
  <si>
    <t>Point (prd2) UCAP Level, MW</t>
  </si>
  <si>
    <t>Pre-Auction Credit Rate, $/MW</t>
  </si>
  <si>
    <t>Participant-Funded ICTRs Awarded</t>
  </si>
  <si>
    <t>FRR Load Requirement (% Obligation):</t>
  </si>
  <si>
    <t>Minimum Internal Resource Requirement</t>
  </si>
  <si>
    <t>LDA CETO/CETL Data; Zonal Peak Loads, Base Zonal FRR Scaling Factors, and FRR load.</t>
  </si>
  <si>
    <t>LDA/Zone</t>
  </si>
  <si>
    <t>CETL to CETO Ratio %</t>
  </si>
  <si>
    <t>Preliminary Zonal Peak Load Forecast</t>
  </si>
  <si>
    <t>Base Zonal FRR Scaling Factor</t>
  </si>
  <si>
    <t xml:space="preserve">FRR Portion of the Preliminary Peak Load Forecast       </t>
  </si>
  <si>
    <t>Preliminary Zonal Peak Load Forecast less FRR load</t>
  </si>
  <si>
    <t>AE</t>
  </si>
  <si>
    <t>&gt;115%</t>
  </si>
  <si>
    <t>AEP</t>
  </si>
  <si>
    <t>*</t>
  </si>
  <si>
    <t>APS</t>
  </si>
  <si>
    <t>ATSI-CLEVELAND</t>
  </si>
  <si>
    <t>DLCO</t>
  </si>
  <si>
    <t>DOM</t>
  </si>
  <si>
    <t>DPL</t>
  </si>
  <si>
    <t>EKPC</t>
  </si>
  <si>
    <t>JCPL</t>
  </si>
  <si>
    <t>METED</t>
  </si>
  <si>
    <t>OVEC</t>
  </si>
  <si>
    <t>PECO</t>
  </si>
  <si>
    <t>PENLC</t>
  </si>
  <si>
    <t>PL (incl. UGI)</t>
  </si>
  <si>
    <t>RECO</t>
  </si>
  <si>
    <t xml:space="preserve">  </t>
  </si>
  <si>
    <t>Western MAAC</t>
  </si>
  <si>
    <t>Western PJM</t>
  </si>
  <si>
    <t>* LDA has adequate internal resources to meet the reliability criterion.</t>
  </si>
  <si>
    <t>Limiting conditions at the CETL for modeled LDAs:</t>
  </si>
  <si>
    <t xml:space="preserve">LDA      </t>
  </si>
  <si>
    <t>Violation</t>
  </si>
  <si>
    <t>Limiting Facility</t>
  </si>
  <si>
    <t>PSNORTH</t>
  </si>
  <si>
    <t>DPLSOUTH</t>
  </si>
  <si>
    <t>ICAP to UCAP Conversion Factor:</t>
  </si>
  <si>
    <t>CONE Area 1: AE, DPL, JCPL, PECO, PS, RECO</t>
  </si>
  <si>
    <t>CONE Area 2: BGE, PEPCO</t>
  </si>
  <si>
    <t>CONE Area 4: MetEd, Penelec, PPL</t>
  </si>
  <si>
    <t>Zone/LDA</t>
  </si>
  <si>
    <t>Escalation</t>
  </si>
  <si>
    <t>Gross CONE, $/MW-Day, UCAP Price</t>
  </si>
  <si>
    <t>Ancillary Services Offset,          $/MW-Year        per Tariff</t>
  </si>
  <si>
    <t>Net E&amp;AS Revenue Offset, $/MW-Year</t>
  </si>
  <si>
    <t>Net CONE,         $/MW-Day,    ICAP Price</t>
  </si>
  <si>
    <t>Net CONE,   $/MW-Day,  UCAP Price</t>
  </si>
  <si>
    <t>LDA Modeled with VRR Curve</t>
  </si>
  <si>
    <t>CONE Area 1</t>
  </si>
  <si>
    <t>PE</t>
  </si>
  <si>
    <t>PSEG</t>
  </si>
  <si>
    <t>PS, PSEG NORTH</t>
  </si>
  <si>
    <t>CONE Area 2</t>
  </si>
  <si>
    <t>CONE Area 4</t>
  </si>
  <si>
    <t>PENELEC</t>
  </si>
  <si>
    <t>PPL</t>
  </si>
  <si>
    <t>CONE Area 3</t>
  </si>
  <si>
    <t>ATSI, ATSI CLEVELAND</t>
  </si>
  <si>
    <t>Upgrade ID</t>
  </si>
  <si>
    <t>Description</t>
  </si>
  <si>
    <t>Transmission Owner</t>
  </si>
  <si>
    <t>Dominion</t>
  </si>
  <si>
    <t>None</t>
  </si>
  <si>
    <t>Historic Net Energy Revenue Offset, $/MW-Year</t>
  </si>
  <si>
    <t>CETL (Capacity Emergency Transfer Limit)</t>
  </si>
  <si>
    <t>CETO (Capacity Emergency Transfer Objective)</t>
  </si>
  <si>
    <t>CONE Area 5</t>
  </si>
  <si>
    <t>CONE Area 3: AEP, APS, ATSI, Dayton, DEOK, Dominion, Duquesne (DLCo), EKPC, OVEC</t>
  </si>
  <si>
    <t>CONE Area 5: ComEd</t>
  </si>
  <si>
    <t>RPM CONE and E&amp;AS Values for 2025/2026 Base Residual Auction</t>
  </si>
  <si>
    <t>2025/2026 BRA CONE: Levelized Revenue Requirement, $/MW-Year</t>
  </si>
  <si>
    <t>CONE Area 5 based on asset life factor of CONE Area 3. 25/26: 1.0069; 27/28: 1.0376; 28/29: 1.0581; 29/30: 1.0818</t>
  </si>
  <si>
    <t>UCAP Price = ICAP Price / Pool-Wide Average Accredited UCAP Factor</t>
  </si>
  <si>
    <t>2025-2026 RPM Base Residual Auction Planning Parameters</t>
  </si>
  <si>
    <t>Reference Resource Accredited UCAP Factor</t>
  </si>
  <si>
    <t>Based on reference resource AUCAPF</t>
  </si>
  <si>
    <t>2023 Zonal W/N Coincident Peak Loads</t>
  </si>
  <si>
    <t>Pool-Wide Accredited UCAP Factor</t>
  </si>
  <si>
    <t>endorsed at the March 20, 2024 MRC meeting.</t>
  </si>
  <si>
    <t>endorsed at the March 20, 2024 MRC meeting https://www.pjm.com/-/media/committees-groups/committees/mrc/2024/20240320/20240320-item-05---irm-fpr-and-elcc-for-25-26-bra---presentation.ashx</t>
  </si>
  <si>
    <t>2024 Load Report with adjustments for load served outside PJM.</t>
  </si>
  <si>
    <t>New Key Transmission Upgrades included for 2025/2026 model</t>
  </si>
  <si>
    <t>Key Transmission Upgrades included for 2024/2025 model but not included for 2025/2026 model</t>
  </si>
  <si>
    <t>345 kV line Wylie Ridge - Toronto for the loss of two 345/138 kV transformers at Wylie Ridge</t>
  </si>
  <si>
    <t>Voltage drop at various buses including PUMPHREY 115 kV bus for the loss of Brighton - Conastone 500 kV line</t>
  </si>
  <si>
    <t>Austinburg - Sanborn 138 kV  for the loss of Stacy - Leroy Center 138 kV
Barberton - Alcoa 138 kV   for the loss of  Juniper - Star 345 kV</t>
  </si>
  <si>
    <t>Conastone - Peach Bottom 500 kV line pre contingency overload</t>
  </si>
  <si>
    <t>Wylie Ridge - Toronto 345 kV for the loss of Wylie Ridge 345/138 kV transformer #1 and #2</t>
  </si>
  <si>
    <t>Cool Spring - Milford 230 kV for the loss of the Indian River - Mildord 230 kV</t>
  </si>
  <si>
    <t>Pierce 345/138 kV transformer for the loss of Pierce - Foster 345 kV line and Conastone - Peachbottom pre-contingency</t>
  </si>
  <si>
    <t>Voltage collapse for the loss of Keeney - Rock Springs 500 kV line</t>
  </si>
  <si>
    <t>Sporn - Kyger Creek 345 kV line in pre-contingency</t>
  </si>
  <si>
    <t>North West 326 - Conastone 230 kV line for the loss of Brighton - Conastone 500 kV line
North West 326 - Conastone 230 kV line for the loss of North West 311 - Conastone 230 kV line</t>
  </si>
  <si>
    <t>Wescosville 500/138 kV transformer pre-contingency</t>
  </si>
  <si>
    <t>Brunswick - Meadow Road 230 kV ckt Z2331 for the loss of Metuchen -Pierson Ave - Meadow Rd- Deans 230 kV ckt s2219
Aldene - Stanley Terrance  230kV  for the loss of WEST ORANGE - ORANGE HEIGHTS 230 kV
Roseland - Williams PIPE 230 kV for the loss of Roseland - Cedar Grove 230 kV
Kitattiny - Bush 230 kVline for the loss of Portland - Martins Creek 230 kV</t>
  </si>
  <si>
    <t>Aldene - Stanley Terrance  230kV   for the loss of WEST ORANGE - ORANGE HEIGHTS 230 kV
Roseland - Williams PIPE   230 kV for the loss of Roseland - Cedar Grove 230 kV</t>
  </si>
  <si>
    <t>Voltage collapse for the loss of Brandon Shore unit 1</t>
  </si>
  <si>
    <t>Goose Creek - Asburn 230 kV  for the loss of Pleasant View - Ashburn - Beaumeade 230 kV
Dickerson - Dickerson H 230 kV ckt 2 for the loss of Dickerson - Dickerson H 230 kV ckt 1</t>
  </si>
  <si>
    <t>s2609.2</t>
  </si>
  <si>
    <t>Install (1) 1440 MVA 500-230 kV transformer at Goose Creek Substation. Extend the existing 500kV ring bus at Goose Creek Substation to be set up for a future six-breaker ring arrangement. One breaker to be installed initially creating a five-breaker ring bus. Install a new 230kV ring bus at Goose Creek Substation to be set up for a future four-breaker ring arrangement. Three 230kV breakers to be installed initially. Cut and extend line #227 Belmont-Beaumeade into Goose Creek Substation.</t>
  </si>
  <si>
    <t>b3718.14</t>
  </si>
  <si>
    <t>Construct a new 230 kV transmission line for ~3.5 miles along with substation upgrades at Wishing Star and Mars. New right-of-way will be needed and will share same structures with the 500 kV line. New conductor to have a minimum summer normal rating of 1573 MVA.</t>
  </si>
  <si>
    <t>b3718.13</t>
  </si>
  <si>
    <t>Cut and loop 230 kV Line #2079 (Sterling Park-Dranesville) into Davis Drive substation and install two GIS 230 kV breakers.</t>
  </si>
  <si>
    <t>b3718.12</t>
  </si>
  <si>
    <t>Upgrade 4-500 kV breakers (total) to 63 kA on either end of 500 kV Line #584 (Loudoun-Mosby)</t>
  </si>
  <si>
    <t>b3718.11</t>
  </si>
  <si>
    <t>Upgrade 4-500 kV breakers (total) to 63kA on either end of 500 kV Line #502 (Loudoun-Mosby)</t>
  </si>
  <si>
    <t>b3718.10</t>
  </si>
  <si>
    <t>Reconductor ~1.61 miles of 230 kV line #9349 (Sojourner-Mars) to achieve a summer rating of 1574 MVA.</t>
  </si>
  <si>
    <t>b3718.9</t>
  </si>
  <si>
    <t>Reconductor ~3.98 miles of 230 kV line #2218 (Sojourner-Runway-Shellhorn) to achieve a summer rating of 1574 MVA.</t>
  </si>
  <si>
    <t>b3718.8</t>
  </si>
  <si>
    <t>Reconductor ~0.84 miles of 230 kV line #2223 (Lockridge-Roundtable) to achieve a summer rating of 1574 MVA.</t>
  </si>
  <si>
    <t>b3718.7</t>
  </si>
  <si>
    <t>Reconductor ~2.17 miles of 230 kV line #2188 (Lockridge-Greenway-Shellhorn) to achieve a summer rating of 1574 MVA.</t>
  </si>
  <si>
    <t>b3718.6</t>
  </si>
  <si>
    <t>Reconductor ~0.64 miles of 230 kV line #2186 (Enterprise-Shellhorn) to achieve a summer rating of 1574 MVA.</t>
  </si>
  <si>
    <t>b3718.5</t>
  </si>
  <si>
    <t>Reconductor ~1.52 miles of 230 kV line #2031 (Enterprise-Greenway-Roundtable) to achieve a summer rating of 1574 MVA.</t>
  </si>
  <si>
    <t>b3718.4</t>
  </si>
  <si>
    <t>Reconductor ~0.62 miles of 230 kV line #2214 (Buttermilk-Roundtable) to achieve a summer rating of 1574 MVA.</t>
  </si>
  <si>
    <t>b3726</t>
  </si>
  <si>
    <t>Install two new 500 kV breakers on the existing open SVC string to create a new bay position. Relocate &amp; Reterminate facilities as necessary to move the 500 kV SVC into the new bay position and Install a 500 kV breaker on the 500/138 kV #3 transformer. Upgrade relaying at Black Oak substation.</t>
  </si>
  <si>
    <t>Thermal</t>
  </si>
  <si>
    <t>Voltage</t>
  </si>
  <si>
    <t>&gt;2,328.8</t>
  </si>
  <si>
    <t>&gt;1,846.9</t>
  </si>
  <si>
    <t>&gt;2,154.0</t>
  </si>
  <si>
    <t>&gt;1,335.2</t>
  </si>
  <si>
    <t>&gt;1,015.5</t>
  </si>
  <si>
    <t>&gt;4,345.9</t>
  </si>
  <si>
    <t>&gt;1,728.5</t>
  </si>
  <si>
    <t>&gt;3,335.0</t>
  </si>
  <si>
    <t>&gt;361.1</t>
  </si>
  <si>
    <t>2024/2025 BRA CONE: Levelized Revenue Requirement,     $/MW-Year</t>
  </si>
  <si>
    <t>7/10/2024 - Updated to include EE addback values.  EE Addback values are based on M&amp;V plans submitted by EE Providers.  Final values will be based on actual offers submitted and cleared in the auction.</t>
  </si>
  <si>
    <t>6/5/2024 - Updated to include FRR values.</t>
  </si>
  <si>
    <t>4/11/2024 - Note:  EE and FRR data is not currently final and will be added to the Planning Parameters after the appropriate submission deadlines.</t>
  </si>
  <si>
    <t>4/11/2024 - Added PRD to Planning Parameters.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</si>
</sst>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8" formatCode="&quot;$&quot;#,##0.00_);[Red]\(&quot;$&quot;#,##0.00\)"/>
    <numFmt numFmtId="164" formatCode="#,##0.0"/>
    <numFmt numFmtId="165" formatCode="&quot;$&quot;#,##0.00"/>
    <numFmt numFmtId="166" formatCode="0.0%"/>
    <numFmt numFmtId="167" formatCode="0.0000"/>
    <numFmt numFmtId="168" formatCode="0.0"/>
    <numFmt numFmtId="169" formatCode="0.00000"/>
    <numFmt numFmtId="170" formatCode="0.000"/>
    <numFmt numFmtId="171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E4E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9" fillId="0" borderId="0">
      <alignment wrapText="1"/>
    </xf>
    <xf numFmtId="0" fontId="16" fillId="0" borderId="0"/>
    <xf numFmtId="0" fontId="9" fillId="0" borderId="0"/>
    <xf numFmtId="0" fontId="9" fillId="0" borderId="0">
      <alignment wrapText="1"/>
    </xf>
    <xf numFmtId="0" fontId="1" fillId="0" borderId="0"/>
    <xf numFmtId="0" fontId="9" fillId="0" borderId="0"/>
  </cellStyleXfs>
  <cellXfs count="246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165" fontId="5" fillId="0" borderId="0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0" fontId="6" fillId="2" borderId="8" xfId="0" applyFont="1" applyFill="1" applyBorder="1" applyAlignment="1">
      <alignment horizontal="left" vertical="center" wrapText="1"/>
    </xf>
    <xf numFmtId="165" fontId="6" fillId="2" borderId="9" xfId="0" applyNumberFormat="1" applyFont="1" applyFill="1" applyBorder="1" applyAlignment="1">
      <alignment horizontal="right" vertical="center" wrapText="1"/>
    </xf>
    <xf numFmtId="165" fontId="6" fillId="2" borderId="10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165" fontId="6" fillId="2" borderId="11" xfId="0" applyNumberFormat="1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65" fontId="7" fillId="0" borderId="4" xfId="0" applyNumberFormat="1" applyFont="1" applyFill="1" applyBorder="1" applyAlignment="1">
      <alignment horizontal="right" vertical="center"/>
    </xf>
    <xf numFmtId="166" fontId="6" fillId="0" borderId="1" xfId="0" applyNumberFormat="1" applyFont="1" applyBorder="1" applyAlignment="1">
      <alignment horizontal="right" vertical="center" wrapText="1"/>
    </xf>
    <xf numFmtId="168" fontId="6" fillId="0" borderId="1" xfId="0" applyNumberFormat="1" applyFont="1" applyBorder="1" applyAlignment="1">
      <alignment horizontal="right" vertical="center"/>
    </xf>
    <xf numFmtId="168" fontId="6" fillId="0" borderId="1" xfId="0" applyNumberFormat="1" applyFont="1" applyFill="1" applyBorder="1" applyAlignment="1">
      <alignment horizontal="right" vertical="center"/>
    </xf>
    <xf numFmtId="166" fontId="6" fillId="0" borderId="1" xfId="1" applyNumberFormat="1" applyFont="1" applyFill="1" applyBorder="1" applyAlignment="1">
      <alignment horizontal="right" vertical="center"/>
    </xf>
    <xf numFmtId="166" fontId="6" fillId="0" borderId="1" xfId="1" applyNumberFormat="1" applyFont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164" fontId="0" fillId="0" borderId="0" xfId="0" applyNumberFormat="1" applyBorder="1" applyAlignment="1">
      <alignment horizontal="left"/>
    </xf>
    <xf numFmtId="0" fontId="9" fillId="0" borderId="0" xfId="0" applyFont="1"/>
    <xf numFmtId="0" fontId="9" fillId="0" borderId="0" xfId="0" applyFont="1" applyFill="1" applyBorder="1"/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168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169" fontId="7" fillId="0" borderId="1" xfId="1" applyNumberFormat="1" applyFont="1" applyBorder="1" applyAlignment="1">
      <alignment horizontal="right" vertical="center"/>
    </xf>
    <xf numFmtId="164" fontId="6" fillId="0" borderId="1" xfId="1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169" fontId="6" fillId="0" borderId="1" xfId="1" applyNumberFormat="1" applyFont="1" applyBorder="1" applyAlignment="1">
      <alignment horizontal="right" vertical="center"/>
    </xf>
    <xf numFmtId="168" fontId="6" fillId="0" borderId="1" xfId="1" applyNumberFormat="1" applyFont="1" applyBorder="1" applyAlignment="1">
      <alignment horizontal="right" vertical="center"/>
    </xf>
    <xf numFmtId="0" fontId="6" fillId="0" borderId="0" xfId="0" applyFont="1" applyBorder="1"/>
    <xf numFmtId="0" fontId="2" fillId="0" borderId="0" xfId="0" applyFont="1" applyAlignment="1"/>
    <xf numFmtId="0" fontId="5" fillId="0" borderId="0" xfId="0" applyFont="1" applyAlignment="1">
      <alignment horizontal="left" vertical="center" wrapText="1"/>
    </xf>
    <xf numFmtId="10" fontId="4" fillId="3" borderId="1" xfId="1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/>
    </xf>
    <xf numFmtId="8" fontId="0" fillId="0" borderId="0" xfId="0" applyNumberFormat="1"/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4" fillId="4" borderId="21" xfId="0" applyFont="1" applyFill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wrapText="1"/>
    </xf>
    <xf numFmtId="6" fontId="6" fillId="0" borderId="9" xfId="0" applyNumberFormat="1" applyFont="1" applyBorder="1" applyAlignment="1">
      <alignment horizontal="center" vertical="center" wrapText="1"/>
    </xf>
    <xf numFmtId="170" fontId="6" fillId="0" borderId="9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6" fillId="4" borderId="5" xfId="0" applyFont="1" applyFill="1" applyBorder="1" applyAlignment="1">
      <alignment horizontal="left" vertical="center" wrapText="1"/>
    </xf>
    <xf numFmtId="6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71" fontId="6" fillId="0" borderId="1" xfId="0" applyNumberFormat="1" applyFont="1" applyBorder="1" applyAlignment="1">
      <alignment horizontal="center"/>
    </xf>
    <xf numFmtId="171" fontId="6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 wrapText="1"/>
    </xf>
    <xf numFmtId="6" fontId="6" fillId="0" borderId="13" xfId="0" applyNumberFormat="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71" fontId="6" fillId="0" borderId="13" xfId="0" applyNumberFormat="1" applyFont="1" applyFill="1" applyBorder="1" applyAlignment="1">
      <alignment horizontal="center" vertical="center" wrapText="1"/>
    </xf>
    <xf numFmtId="171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71" fontId="6" fillId="0" borderId="9" xfId="0" applyNumberFormat="1" applyFont="1" applyFill="1" applyBorder="1" applyAlignment="1">
      <alignment horizontal="center" vertical="center" wrapText="1"/>
    </xf>
    <xf numFmtId="171" fontId="6" fillId="0" borderId="9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0" fontId="6" fillId="4" borderId="5" xfId="0" applyFont="1" applyFill="1" applyBorder="1" applyAlignment="1">
      <alignment wrapText="1"/>
    </xf>
    <xf numFmtId="171" fontId="6" fillId="0" borderId="1" xfId="0" applyNumberFormat="1" applyFont="1" applyFill="1" applyBorder="1" applyAlignment="1">
      <alignment horizontal="center"/>
    </xf>
    <xf numFmtId="0" fontId="4" fillId="4" borderId="21" xfId="0" applyFont="1" applyFill="1" applyBorder="1" applyAlignment="1">
      <alignment horizontal="left" vertical="center" wrapText="1"/>
    </xf>
    <xf numFmtId="6" fontId="6" fillId="0" borderId="22" xfId="0" applyNumberFormat="1" applyFont="1" applyBorder="1" applyAlignment="1">
      <alignment horizontal="center" vertical="center" wrapText="1"/>
    </xf>
    <xf numFmtId="165" fontId="6" fillId="0" borderId="22" xfId="0" applyNumberFormat="1" applyFont="1" applyBorder="1" applyAlignment="1">
      <alignment horizontal="center" vertical="center" wrapText="1"/>
    </xf>
    <xf numFmtId="171" fontId="6" fillId="0" borderId="22" xfId="0" applyNumberFormat="1" applyFont="1" applyBorder="1" applyAlignment="1">
      <alignment horizontal="center"/>
    </xf>
    <xf numFmtId="171" fontId="6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71" fontId="6" fillId="0" borderId="0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 horizontal="left" vertical="center" wrapText="1"/>
    </xf>
    <xf numFmtId="165" fontId="6" fillId="5" borderId="1" xfId="0" applyNumberFormat="1" applyFont="1" applyFill="1" applyBorder="1" applyAlignment="1">
      <alignment horizontal="right" vertical="center" wrapText="1"/>
    </xf>
    <xf numFmtId="164" fontId="6" fillId="5" borderId="1" xfId="0" applyNumberFormat="1" applyFont="1" applyFill="1" applyBorder="1" applyAlignment="1">
      <alignment horizontal="right" vertical="center" wrapText="1"/>
    </xf>
    <xf numFmtId="0" fontId="6" fillId="5" borderId="12" xfId="0" applyFont="1" applyFill="1" applyBorder="1" applyAlignment="1">
      <alignment horizontal="left" vertical="center" wrapText="1"/>
    </xf>
    <xf numFmtId="164" fontId="6" fillId="5" borderId="13" xfId="0" applyNumberFormat="1" applyFont="1" applyFill="1" applyBorder="1" applyAlignment="1">
      <alignment horizontal="right" vertical="center" wrapText="1"/>
    </xf>
    <xf numFmtId="164" fontId="6" fillId="6" borderId="4" xfId="0" applyNumberFormat="1" applyFont="1" applyFill="1" applyBorder="1" applyAlignment="1">
      <alignment horizontal="right" vertical="center" wrapText="1"/>
    </xf>
    <xf numFmtId="0" fontId="4" fillId="7" borderId="3" xfId="0" applyFont="1" applyFill="1" applyBorder="1" applyAlignment="1">
      <alignment horizontal="left" vertical="center" wrapText="1"/>
    </xf>
    <xf numFmtId="165" fontId="6" fillId="2" borderId="13" xfId="0" applyNumberFormat="1" applyFont="1" applyFill="1" applyBorder="1" applyAlignment="1">
      <alignment horizontal="right" vertical="center" wrapText="1"/>
    </xf>
    <xf numFmtId="165" fontId="6" fillId="2" borderId="14" xfId="0" applyNumberFormat="1" applyFont="1" applyFill="1" applyBorder="1" applyAlignment="1">
      <alignment horizontal="right" vertical="center" wrapText="1"/>
    </xf>
    <xf numFmtId="0" fontId="6" fillId="8" borderId="8" xfId="0" applyFont="1" applyFill="1" applyBorder="1" applyAlignment="1">
      <alignment horizontal="left" vertical="center" wrapText="1"/>
    </xf>
    <xf numFmtId="164" fontId="6" fillId="8" borderId="9" xfId="0" applyNumberFormat="1" applyFont="1" applyFill="1" applyBorder="1" applyAlignment="1">
      <alignment horizontal="right" vertical="center" wrapText="1"/>
    </xf>
    <xf numFmtId="0" fontId="6" fillId="8" borderId="5" xfId="0" applyFont="1" applyFill="1" applyBorder="1" applyAlignment="1">
      <alignment horizontal="left" vertical="center" wrapText="1"/>
    </xf>
    <xf numFmtId="164" fontId="6" fillId="8" borderId="1" xfId="0" applyNumberFormat="1" applyFont="1" applyFill="1" applyBorder="1" applyAlignment="1">
      <alignment horizontal="right" vertical="center" wrapText="1"/>
    </xf>
    <xf numFmtId="0" fontId="6" fillId="8" borderId="12" xfId="0" applyFont="1" applyFill="1" applyBorder="1" applyAlignment="1">
      <alignment horizontal="left" vertical="center" wrapText="1"/>
    </xf>
    <xf numFmtId="164" fontId="6" fillId="8" borderId="13" xfId="0" applyNumberFormat="1" applyFont="1" applyFill="1" applyBorder="1" applyAlignment="1">
      <alignment horizontal="right" vertical="center" wrapText="1"/>
    </xf>
    <xf numFmtId="0" fontId="15" fillId="0" borderId="21" xfId="2" applyFont="1" applyBorder="1" applyAlignment="1">
      <alignment vertical="center"/>
    </xf>
    <xf numFmtId="0" fontId="15" fillId="0" borderId="22" xfId="2" applyFont="1" applyBorder="1" applyAlignment="1">
      <alignment horizontal="center" vertical="center"/>
    </xf>
    <xf numFmtId="0" fontId="15" fillId="0" borderId="23" xfId="2" applyFont="1" applyBorder="1" applyAlignment="1">
      <alignment horizontal="center" vertical="center" wrapText="1"/>
    </xf>
    <xf numFmtId="0" fontId="9" fillId="0" borderId="1" xfId="3" applyFont="1" applyFill="1" applyBorder="1" applyAlignment="1">
      <alignment vertical="center" wrapText="1"/>
    </xf>
    <xf numFmtId="0" fontId="9" fillId="0" borderId="11" xfId="3" applyFont="1" applyFill="1" applyBorder="1" applyAlignment="1">
      <alignment horizontal="center" vertical="center"/>
    </xf>
    <xf numFmtId="0" fontId="9" fillId="0" borderId="5" xfId="3" applyFont="1" applyFill="1" applyBorder="1" applyAlignment="1">
      <alignment vertical="center"/>
    </xf>
    <xf numFmtId="0" fontId="0" fillId="0" borderId="0" xfId="0" applyFill="1"/>
    <xf numFmtId="0" fontId="15" fillId="0" borderId="5" xfId="2" applyFont="1" applyBorder="1" applyAlignment="1">
      <alignment vertical="center"/>
    </xf>
    <xf numFmtId="0" fontId="15" fillId="0" borderId="1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9" fillId="0" borderId="0" xfId="0" applyNumberFormat="1" applyFont="1" applyFill="1" applyBorder="1" applyAlignment="1">
      <alignment vertical="center"/>
    </xf>
    <xf numFmtId="164" fontId="0" fillId="0" borderId="0" xfId="0" applyNumberFormat="1"/>
    <xf numFmtId="166" fontId="6" fillId="9" borderId="2" xfId="0" applyNumberFormat="1" applyFont="1" applyFill="1" applyBorder="1" applyAlignment="1">
      <alignment horizontal="right" vertical="center"/>
    </xf>
    <xf numFmtId="10" fontId="6" fillId="9" borderId="2" xfId="0" applyNumberFormat="1" applyFont="1" applyFill="1" applyBorder="1" applyAlignment="1">
      <alignment horizontal="right" vertical="center"/>
    </xf>
    <xf numFmtId="167" fontId="6" fillId="9" borderId="2" xfId="0" applyNumberFormat="1" applyFont="1" applyFill="1" applyBorder="1" applyAlignment="1">
      <alignment horizontal="right" vertical="center"/>
    </xf>
    <xf numFmtId="164" fontId="10" fillId="9" borderId="1" xfId="0" applyNumberFormat="1" applyFont="1" applyFill="1" applyBorder="1" applyAlignment="1">
      <alignment horizontal="right" vertical="center" wrapText="1"/>
    </xf>
    <xf numFmtId="164" fontId="7" fillId="9" borderId="6" xfId="1" applyNumberFormat="1" applyFont="1" applyFill="1" applyBorder="1" applyAlignment="1">
      <alignment horizontal="right" vertical="center"/>
    </xf>
    <xf numFmtId="164" fontId="6" fillId="9" borderId="1" xfId="1" applyNumberFormat="1" applyFont="1" applyFill="1" applyBorder="1" applyAlignment="1">
      <alignment horizontal="right" vertical="center"/>
    </xf>
    <xf numFmtId="164" fontId="7" fillId="9" borderId="1" xfId="1" applyNumberFormat="1" applyFont="1" applyFill="1" applyBorder="1" applyAlignment="1">
      <alignment horizontal="right" vertical="center"/>
    </xf>
    <xf numFmtId="164" fontId="7" fillId="9" borderId="2" xfId="0" applyNumberFormat="1" applyFont="1" applyFill="1" applyBorder="1" applyAlignment="1">
      <alignment horizontal="right" vertical="center"/>
    </xf>
    <xf numFmtId="164" fontId="4" fillId="9" borderId="7" xfId="0" applyNumberFormat="1" applyFont="1" applyFill="1" applyBorder="1" applyAlignment="1">
      <alignment horizontal="right" vertical="center" wrapText="1"/>
    </xf>
    <xf numFmtId="164" fontId="6" fillId="9" borderId="4" xfId="1" applyNumberFormat="1" applyFont="1" applyFill="1" applyBorder="1" applyAlignment="1">
      <alignment horizontal="right" vertical="center"/>
    </xf>
    <xf numFmtId="164" fontId="7" fillId="9" borderId="1" xfId="0" applyNumberFormat="1" applyFont="1" applyFill="1" applyBorder="1" applyAlignment="1">
      <alignment horizontal="right" vertical="center" wrapText="1"/>
    </xf>
    <xf numFmtId="164" fontId="6" fillId="9" borderId="1" xfId="0" applyNumberFormat="1" applyFont="1" applyFill="1" applyBorder="1" applyAlignment="1">
      <alignment horizontal="right" vertical="center" wrapText="1"/>
    </xf>
    <xf numFmtId="0" fontId="2" fillId="10" borderId="0" xfId="0" applyFont="1" applyFill="1" applyAlignment="1"/>
    <xf numFmtId="0" fontId="6" fillId="11" borderId="0" xfId="0" applyFont="1" applyFill="1" applyBorder="1" applyAlignment="1">
      <alignment horizontal="left" vertical="center"/>
    </xf>
    <xf numFmtId="0" fontId="9" fillId="11" borderId="0" xfId="0" applyFont="1" applyFill="1" applyAlignment="1">
      <alignment horizontal="center"/>
    </xf>
    <xf numFmtId="0" fontId="6" fillId="9" borderId="1" xfId="0" applyFont="1" applyFill="1" applyBorder="1" applyAlignment="1">
      <alignment horizontal="right" vertical="center" wrapText="1"/>
    </xf>
    <xf numFmtId="164" fontId="6" fillId="9" borderId="1" xfId="0" applyNumberFormat="1" applyFont="1" applyFill="1" applyBorder="1" applyAlignment="1">
      <alignment horizontal="right" vertical="center"/>
    </xf>
    <xf numFmtId="9" fontId="6" fillId="9" borderId="1" xfId="1" applyFont="1" applyFill="1" applyBorder="1" applyAlignment="1">
      <alignment horizontal="right" vertical="center" wrapText="1"/>
    </xf>
    <xf numFmtId="164" fontId="4" fillId="9" borderId="1" xfId="0" applyNumberFormat="1" applyFont="1" applyFill="1" applyBorder="1" applyAlignment="1">
      <alignment horizontal="right" vertical="center"/>
    </xf>
    <xf numFmtId="0" fontId="6" fillId="9" borderId="5" xfId="0" applyFont="1" applyFill="1" applyBorder="1" applyAlignment="1">
      <alignment horizontal="left" vertical="center" wrapText="1"/>
    </xf>
    <xf numFmtId="1" fontId="6" fillId="9" borderId="5" xfId="0" applyNumberFormat="1" applyFont="1" applyFill="1" applyBorder="1" applyAlignment="1">
      <alignment horizontal="left" vertical="center" wrapText="1"/>
    </xf>
    <xf numFmtId="1" fontId="6" fillId="9" borderId="5" xfId="0" applyNumberFormat="1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1" fontId="6" fillId="9" borderId="6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4" borderId="33" xfId="0" applyFont="1" applyFill="1" applyBorder="1" applyAlignment="1">
      <alignment horizontal="left" vertical="center" wrapText="1"/>
    </xf>
    <xf numFmtId="6" fontId="6" fillId="0" borderId="17" xfId="0" applyNumberFormat="1" applyFont="1" applyBorder="1" applyAlignment="1">
      <alignment horizontal="center" vertical="center" wrapText="1"/>
    </xf>
    <xf numFmtId="171" fontId="6" fillId="0" borderId="17" xfId="0" applyNumberFormat="1" applyFont="1" applyFill="1" applyBorder="1" applyAlignment="1">
      <alignment horizontal="center"/>
    </xf>
    <xf numFmtId="165" fontId="6" fillId="0" borderId="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5" fontId="6" fillId="5" borderId="2" xfId="0" applyNumberFormat="1" applyFont="1" applyFill="1" applyBorder="1" applyAlignment="1">
      <alignment horizontal="right" vertical="center" wrapText="1"/>
    </xf>
    <xf numFmtId="164" fontId="6" fillId="5" borderId="2" xfId="0" applyNumberFormat="1" applyFont="1" applyFill="1" applyBorder="1" applyAlignment="1">
      <alignment horizontal="right" vertical="center" wrapText="1"/>
    </xf>
    <xf numFmtId="164" fontId="6" fillId="5" borderId="35" xfId="0" applyNumberFormat="1" applyFont="1" applyFill="1" applyBorder="1" applyAlignment="1">
      <alignment horizontal="right" vertical="center" wrapText="1"/>
    </xf>
    <xf numFmtId="0" fontId="6" fillId="5" borderId="3" xfId="0" applyFont="1" applyFill="1" applyBorder="1" applyAlignment="1">
      <alignment horizontal="left" vertical="center" wrapText="1"/>
    </xf>
    <xf numFmtId="165" fontId="6" fillId="5" borderId="4" xfId="0" applyNumberFormat="1" applyFont="1" applyFill="1" applyBorder="1" applyAlignment="1">
      <alignment horizontal="right" vertical="center" wrapText="1"/>
    </xf>
    <xf numFmtId="165" fontId="6" fillId="5" borderId="18" xfId="0" applyNumberFormat="1" applyFont="1" applyFill="1" applyBorder="1" applyAlignment="1">
      <alignment horizontal="right" vertical="center" wrapText="1"/>
    </xf>
    <xf numFmtId="0" fontId="0" fillId="0" borderId="24" xfId="0" applyBorder="1"/>
    <xf numFmtId="165" fontId="6" fillId="2" borderId="34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 vertical="center" wrapText="1"/>
    </xf>
    <xf numFmtId="165" fontId="6" fillId="2" borderId="35" xfId="0" applyNumberFormat="1" applyFont="1" applyFill="1" applyBorder="1" applyAlignment="1">
      <alignment horizontal="right" vertical="center" wrapText="1"/>
    </xf>
    <xf numFmtId="164" fontId="6" fillId="8" borderId="34" xfId="0" applyNumberFormat="1" applyFont="1" applyFill="1" applyBorder="1" applyAlignment="1">
      <alignment horizontal="right" vertical="center" wrapText="1"/>
    </xf>
    <xf numFmtId="164" fontId="6" fillId="8" borderId="2" xfId="0" applyNumberFormat="1" applyFont="1" applyFill="1" applyBorder="1" applyAlignment="1">
      <alignment horizontal="right" vertical="center" wrapText="1"/>
    </xf>
    <xf numFmtId="164" fontId="6" fillId="8" borderId="35" xfId="0" applyNumberFormat="1" applyFont="1" applyFill="1" applyBorder="1" applyAlignment="1">
      <alignment horizontal="right" vertical="center" wrapText="1"/>
    </xf>
    <xf numFmtId="165" fontId="7" fillId="0" borderId="18" xfId="0" applyNumberFormat="1" applyFont="1" applyFill="1" applyBorder="1" applyAlignment="1">
      <alignment horizontal="right" vertical="center"/>
    </xf>
    <xf numFmtId="168" fontId="6" fillId="0" borderId="2" xfId="0" applyNumberFormat="1" applyFont="1" applyBorder="1" applyAlignment="1">
      <alignment horizontal="right" vertical="center"/>
    </xf>
    <xf numFmtId="166" fontId="6" fillId="0" borderId="2" xfId="1" applyNumberFormat="1" applyFont="1" applyBorder="1" applyAlignment="1">
      <alignment horizontal="right" vertical="center"/>
    </xf>
    <xf numFmtId="0" fontId="0" fillId="0" borderId="13" xfId="0" applyBorder="1"/>
    <xf numFmtId="164" fontId="6" fillId="8" borderId="10" xfId="0" applyNumberFormat="1" applyFont="1" applyFill="1" applyBorder="1" applyAlignment="1">
      <alignment horizontal="right" vertical="center" wrapText="1"/>
    </xf>
    <xf numFmtId="164" fontId="6" fillId="8" borderId="11" xfId="0" applyNumberFormat="1" applyFont="1" applyFill="1" applyBorder="1" applyAlignment="1">
      <alignment horizontal="right" vertical="center" wrapText="1"/>
    </xf>
    <xf numFmtId="164" fontId="6" fillId="8" borderId="1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31" xfId="0" applyNumberFormat="1" applyFill="1" applyBorder="1" applyAlignment="1" applyProtection="1"/>
    <xf numFmtId="0" fontId="0" fillId="0" borderId="20" xfId="0" applyNumberFormat="1" applyFill="1" applyBorder="1" applyAlignment="1" applyProtection="1">
      <alignment wrapText="1"/>
    </xf>
    <xf numFmtId="0" fontId="0" fillId="0" borderId="31" xfId="0" applyNumberFormat="1" applyFont="1" applyFill="1" applyBorder="1" applyAlignment="1" applyProtection="1">
      <alignment horizontal="center"/>
    </xf>
    <xf numFmtId="0" fontId="0" fillId="0" borderId="31" xfId="0" applyNumberFormat="1" applyFont="1" applyFill="1" applyBorder="1" applyAlignment="1" applyProtection="1">
      <alignment vertical="center"/>
    </xf>
    <xf numFmtId="0" fontId="0" fillId="0" borderId="20" xfId="0" applyNumberFormat="1" applyFont="1" applyFill="1" applyBorder="1" applyAlignment="1" applyProtection="1">
      <alignment vertical="center" wrapText="1"/>
    </xf>
    <xf numFmtId="0" fontId="0" fillId="0" borderId="31" xfId="0" applyNumberFormat="1" applyFont="1" applyFill="1" applyBorder="1" applyAlignment="1" applyProtection="1">
      <alignment horizontal="center" vertical="center"/>
    </xf>
    <xf numFmtId="0" fontId="0" fillId="0" borderId="32" xfId="0" applyNumberFormat="1" applyFont="1" applyFill="1" applyBorder="1" applyAlignment="1" applyProtection="1">
      <alignment vertical="center"/>
    </xf>
    <xf numFmtId="0" fontId="0" fillId="0" borderId="16" xfId="0" applyNumberFormat="1" applyFont="1" applyFill="1" applyBorder="1" applyAlignment="1" applyProtection="1">
      <alignment vertical="center" wrapText="1"/>
    </xf>
    <xf numFmtId="0" fontId="0" fillId="0" borderId="32" xfId="0" applyNumberFormat="1" applyFont="1" applyFill="1" applyBorder="1" applyAlignment="1" applyProtection="1">
      <alignment horizontal="center" vertical="center"/>
    </xf>
    <xf numFmtId="0" fontId="0" fillId="0" borderId="37" xfId="0" applyNumberFormat="1" applyFill="1" applyBorder="1" applyAlignment="1" applyProtection="1"/>
    <xf numFmtId="0" fontId="0" fillId="0" borderId="36" xfId="0" applyNumberFormat="1" applyFill="1" applyBorder="1" applyAlignment="1" applyProtection="1">
      <alignment wrapText="1"/>
    </xf>
    <xf numFmtId="0" fontId="0" fillId="0" borderId="37" xfId="0" applyNumberFormat="1" applyFill="1" applyBorder="1" applyAlignment="1" applyProtection="1">
      <alignment horizontal="center"/>
    </xf>
    <xf numFmtId="0" fontId="9" fillId="0" borderId="0" xfId="0" applyFont="1" applyFill="1" applyBorder="1" applyAlignment="1">
      <alignment vertical="center" wrapText="1"/>
    </xf>
    <xf numFmtId="14" fontId="17" fillId="0" borderId="2" xfId="0" applyNumberFormat="1" applyFont="1" applyBorder="1" applyAlignment="1">
      <alignment horizontal="left"/>
    </xf>
    <xf numFmtId="14" fontId="17" fillId="0" borderId="20" xfId="0" applyNumberFormat="1" applyFont="1" applyBorder="1" applyAlignment="1">
      <alignment horizontal="left"/>
    </xf>
    <xf numFmtId="14" fontId="17" fillId="0" borderId="6" xfId="0" applyNumberFormat="1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11" fillId="0" borderId="7" xfId="1" applyNumberFormat="1" applyFont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2" xfId="0" quotePrefix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2" fillId="10" borderId="28" xfId="2" applyFont="1" applyFill="1" applyBorder="1" applyAlignment="1">
      <alignment horizontal="center" vertical="center"/>
    </xf>
    <xf numFmtId="0" fontId="2" fillId="10" borderId="29" xfId="2" applyFont="1" applyFill="1" applyBorder="1" applyAlignment="1">
      <alignment horizontal="center" vertical="center"/>
    </xf>
    <xf numFmtId="0" fontId="2" fillId="10" borderId="30" xfId="2" applyFont="1" applyFill="1" applyBorder="1" applyAlignment="1">
      <alignment horizontal="center" vertical="center"/>
    </xf>
    <xf numFmtId="0" fontId="2" fillId="10" borderId="25" xfId="5" applyFont="1" applyFill="1" applyBorder="1" applyAlignment="1">
      <alignment horizontal="center" vertical="center"/>
    </xf>
    <xf numFmtId="0" fontId="2" fillId="10" borderId="26" xfId="5" applyFont="1" applyFill="1" applyBorder="1" applyAlignment="1">
      <alignment horizontal="center" vertical="center"/>
    </xf>
    <xf numFmtId="0" fontId="2" fillId="10" borderId="27" xfId="5" applyFont="1" applyFill="1" applyBorder="1" applyAlignment="1">
      <alignment horizontal="center" vertical="center"/>
    </xf>
  </cellXfs>
  <cellStyles count="8">
    <cellStyle name="Normal" xfId="0" builtinId="0"/>
    <cellStyle name="Normal 10 2" xfId="4"/>
    <cellStyle name="Normal 2 2" xfId="2"/>
    <cellStyle name="Normal 2 2 2" xfId="5"/>
    <cellStyle name="Normal 3 7" xfId="3"/>
    <cellStyle name="Normal 4 3" xfId="7"/>
    <cellStyle name="Normal 5" xfId="6"/>
    <cellStyle name="Percent" xfId="1" builtinId="5"/>
  </cellStyles>
  <dxfs count="1">
    <dxf>
      <font>
        <b/>
        <i val="0"/>
      </font>
    </dxf>
  </dxfs>
  <tableStyles count="0" defaultTableStyle="TableStyleMedium2" defaultPivotStyle="PivotStyleLight16"/>
  <colors>
    <mruColors>
      <color rgb="FFE4DFEC"/>
      <color rgb="FFEEE4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tabSelected="1" zoomScale="80" zoomScaleNormal="80" workbookViewId="0"/>
  </sheetViews>
  <sheetFormatPr defaultRowHeight="15" x14ac:dyDescent="0.25"/>
  <cols>
    <col min="1" max="1" width="60.85546875" customWidth="1"/>
    <col min="2" max="17" width="16.85546875" customWidth="1"/>
  </cols>
  <sheetData>
    <row r="1" spans="1:19" ht="18" x14ac:dyDescent="0.25">
      <c r="A1" s="1" t="s">
        <v>123</v>
      </c>
      <c r="B1" s="1"/>
      <c r="C1" s="2"/>
      <c r="D1" s="3">
        <v>45483</v>
      </c>
      <c r="E1" s="191"/>
      <c r="F1" s="4" t="s">
        <v>0</v>
      </c>
      <c r="G1" s="162"/>
      <c r="H1" s="6"/>
      <c r="I1" s="7" t="s">
        <v>0</v>
      </c>
      <c r="J1" s="8" t="s">
        <v>0</v>
      </c>
    </row>
    <row r="2" spans="1:19" ht="15.75" x14ac:dyDescent="0.25">
      <c r="A2" s="9" t="s">
        <v>0</v>
      </c>
      <c r="B2" s="10"/>
      <c r="C2" s="10"/>
      <c r="D2" s="10"/>
      <c r="E2" s="10"/>
      <c r="F2" s="10"/>
      <c r="G2" s="10"/>
      <c r="H2" s="10"/>
      <c r="I2" s="8" t="s">
        <v>0</v>
      </c>
      <c r="J2" s="11" t="s">
        <v>0</v>
      </c>
      <c r="K2" s="10" t="s">
        <v>0</v>
      </c>
      <c r="L2" s="10"/>
      <c r="M2" s="12" t="s">
        <v>0</v>
      </c>
      <c r="N2" s="10"/>
    </row>
    <row r="3" spans="1:19" ht="18" x14ac:dyDescent="0.25">
      <c r="A3" s="158" t="s">
        <v>0</v>
      </c>
      <c r="B3" s="13" t="s">
        <v>1</v>
      </c>
      <c r="C3" s="208" t="s">
        <v>2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</row>
    <row r="4" spans="1:19" x14ac:dyDescent="0.25">
      <c r="A4" s="158" t="s">
        <v>3</v>
      </c>
      <c r="B4" s="133">
        <v>0.17799999999999999</v>
      </c>
      <c r="C4" s="209" t="s">
        <v>129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</row>
    <row r="5" spans="1:19" x14ac:dyDescent="0.25">
      <c r="A5" s="158" t="s">
        <v>127</v>
      </c>
      <c r="B5" s="134">
        <v>0.79690000000000005</v>
      </c>
      <c r="C5" s="209" t="s">
        <v>128</v>
      </c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</row>
    <row r="6" spans="1:19" x14ac:dyDescent="0.25">
      <c r="A6" s="158" t="s">
        <v>4</v>
      </c>
      <c r="B6" s="135">
        <v>0.93869999999999998</v>
      </c>
      <c r="C6" s="209" t="s">
        <v>128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</row>
    <row r="7" spans="1:19" x14ac:dyDescent="0.25">
      <c r="A7" s="158" t="s">
        <v>5</v>
      </c>
      <c r="B7" s="140">
        <f>F45</f>
        <v>153883.03512820514</v>
      </c>
      <c r="C7" s="210" t="s">
        <v>130</v>
      </c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</row>
    <row r="8" spans="1:19" ht="15.75" customHeight="1" x14ac:dyDescent="0.25">
      <c r="A8" s="158" t="s">
        <v>0</v>
      </c>
      <c r="B8" s="14" t="s">
        <v>0</v>
      </c>
      <c r="C8" s="224" t="s">
        <v>6</v>
      </c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</row>
    <row r="9" spans="1:19" ht="15.75" x14ac:dyDescent="0.25">
      <c r="A9" s="15" t="s">
        <v>0</v>
      </c>
      <c r="B9" s="16" t="s">
        <v>1</v>
      </c>
      <c r="C9" s="16" t="s">
        <v>7</v>
      </c>
      <c r="D9" s="16" t="s">
        <v>8</v>
      </c>
      <c r="E9" s="16" t="s">
        <v>9</v>
      </c>
      <c r="F9" s="16" t="s">
        <v>10</v>
      </c>
      <c r="G9" s="16" t="s">
        <v>11</v>
      </c>
      <c r="H9" s="16" t="s">
        <v>12</v>
      </c>
      <c r="I9" s="16" t="s">
        <v>13</v>
      </c>
      <c r="J9" s="16" t="s">
        <v>14</v>
      </c>
      <c r="K9" s="16" t="s">
        <v>15</v>
      </c>
      <c r="L9" s="169" t="s">
        <v>16</v>
      </c>
      <c r="M9" s="169" t="s">
        <v>17</v>
      </c>
      <c r="N9" s="169" t="s">
        <v>18</v>
      </c>
      <c r="O9" s="169" t="s">
        <v>19</v>
      </c>
      <c r="P9" s="169" t="s">
        <v>20</v>
      </c>
      <c r="Q9" s="170" t="s">
        <v>66</v>
      </c>
    </row>
    <row r="10" spans="1:19" x14ac:dyDescent="0.25">
      <c r="A10" s="152" t="s">
        <v>21</v>
      </c>
      <c r="B10" s="18" t="s">
        <v>22</v>
      </c>
      <c r="C10" s="19">
        <v>-1207</v>
      </c>
      <c r="D10" s="19">
        <v>5335</v>
      </c>
      <c r="E10" s="19">
        <v>6772</v>
      </c>
      <c r="F10" s="19">
        <v>6389</v>
      </c>
      <c r="G10" s="19">
        <v>2957</v>
      </c>
      <c r="H10" s="19">
        <v>1435</v>
      </c>
      <c r="I10" s="19">
        <v>4336</v>
      </c>
      <c r="J10" s="19">
        <v>4406</v>
      </c>
      <c r="K10" s="19">
        <v>3428</v>
      </c>
      <c r="L10" s="19">
        <v>-3270</v>
      </c>
      <c r="M10" s="19">
        <v>4620</v>
      </c>
      <c r="N10" s="19">
        <v>-145</v>
      </c>
      <c r="O10" s="19">
        <v>2603</v>
      </c>
      <c r="P10" s="19">
        <v>2797</v>
      </c>
      <c r="Q10" s="19">
        <v>5156</v>
      </c>
    </row>
    <row r="11" spans="1:19" x14ac:dyDescent="0.25">
      <c r="A11" s="152" t="s">
        <v>23</v>
      </c>
      <c r="B11" s="18" t="s">
        <v>22</v>
      </c>
      <c r="C11" s="19">
        <v>3222</v>
      </c>
      <c r="D11" s="19">
        <v>8717</v>
      </c>
      <c r="E11" s="19">
        <v>8467</v>
      </c>
      <c r="F11" s="19">
        <v>8501</v>
      </c>
      <c r="G11" s="19">
        <v>4282</v>
      </c>
      <c r="H11" s="19">
        <v>2030</v>
      </c>
      <c r="I11" s="19">
        <v>6572</v>
      </c>
      <c r="J11" s="19">
        <v>10846</v>
      </c>
      <c r="K11" s="19">
        <v>4713</v>
      </c>
      <c r="L11" s="19">
        <v>5254</v>
      </c>
      <c r="M11" s="19">
        <v>6031</v>
      </c>
      <c r="N11" s="19">
        <v>4681</v>
      </c>
      <c r="O11" s="19">
        <v>3931</v>
      </c>
      <c r="P11" s="19">
        <v>5387</v>
      </c>
      <c r="Q11" s="19">
        <v>5164</v>
      </c>
    </row>
    <row r="12" spans="1:19" x14ac:dyDescent="0.25">
      <c r="A12" s="153" t="s">
        <v>24</v>
      </c>
      <c r="B12" s="18">
        <v>144450</v>
      </c>
      <c r="C12" s="19">
        <v>53342.299999999996</v>
      </c>
      <c r="D12" s="19">
        <v>30953.4</v>
      </c>
      <c r="E12" s="19">
        <v>13508.8</v>
      </c>
      <c r="F12" s="19">
        <v>10664</v>
      </c>
      <c r="G12" s="19">
        <v>5415.7999999999993</v>
      </c>
      <c r="H12" s="19">
        <v>2750.4000000000005</v>
      </c>
      <c r="I12" s="19">
        <v>6557.3</v>
      </c>
      <c r="J12" s="19">
        <v>12186</v>
      </c>
      <c r="K12" s="19">
        <v>5064</v>
      </c>
      <c r="L12" s="19">
        <v>20819.599999999988</v>
      </c>
      <c r="M12" s="19">
        <v>6940.6999999999989</v>
      </c>
      <c r="N12" s="19">
        <v>8765.4000000000015</v>
      </c>
      <c r="O12" s="19">
        <v>3521.8</v>
      </c>
      <c r="P12" s="19">
        <v>5596.1</v>
      </c>
      <c r="Q12" s="19">
        <v>25746.19999999999</v>
      </c>
    </row>
    <row r="13" spans="1:19" x14ac:dyDescent="0.25">
      <c r="A13" s="152" t="s">
        <v>25</v>
      </c>
      <c r="B13" s="20">
        <f>H45</f>
        <v>11597.283398378959</v>
      </c>
      <c r="C13" s="21">
        <f>H73</f>
        <v>0</v>
      </c>
      <c r="D13" s="21">
        <f>H70</f>
        <v>0</v>
      </c>
      <c r="E13" s="21">
        <f>H71</f>
        <v>0</v>
      </c>
      <c r="F13" s="21">
        <f>H67</f>
        <v>0</v>
      </c>
      <c r="G13" s="21">
        <f>H68</f>
        <v>0</v>
      </c>
      <c r="H13" s="21">
        <f>H58</f>
        <v>0</v>
      </c>
      <c r="I13" s="21">
        <f>H65</f>
        <v>0</v>
      </c>
      <c r="J13" s="21">
        <f>H49</f>
        <v>0</v>
      </c>
      <c r="K13" s="21">
        <f>H50</f>
        <v>0</v>
      </c>
      <c r="L13" s="20">
        <f>H52</f>
        <v>0</v>
      </c>
      <c r="M13" s="21">
        <f>H51</f>
        <v>0</v>
      </c>
      <c r="N13" s="21">
        <f>H66</f>
        <v>0</v>
      </c>
      <c r="O13" s="21">
        <f>H53</f>
        <v>0</v>
      </c>
      <c r="P13" s="22">
        <f>H54</f>
        <v>831.93924453280317</v>
      </c>
      <c r="Q13" s="22">
        <f>H56</f>
        <v>0</v>
      </c>
    </row>
    <row r="14" spans="1:19" x14ac:dyDescent="0.25">
      <c r="A14" s="152" t="s">
        <v>26</v>
      </c>
      <c r="B14" s="20">
        <f t="shared" ref="B14:Q14" si="0">ROUND(B13*$B$6,1)</f>
        <v>10886.4</v>
      </c>
      <c r="C14" s="21">
        <f t="shared" si="0"/>
        <v>0</v>
      </c>
      <c r="D14" s="21">
        <f t="shared" si="0"/>
        <v>0</v>
      </c>
      <c r="E14" s="21">
        <f t="shared" si="0"/>
        <v>0</v>
      </c>
      <c r="F14" s="21">
        <f t="shared" si="0"/>
        <v>0</v>
      </c>
      <c r="G14" s="21">
        <f t="shared" si="0"/>
        <v>0</v>
      </c>
      <c r="H14" s="21">
        <f t="shared" si="0"/>
        <v>0</v>
      </c>
      <c r="I14" s="21">
        <f t="shared" si="0"/>
        <v>0</v>
      </c>
      <c r="J14" s="21">
        <f t="shared" si="0"/>
        <v>0</v>
      </c>
      <c r="K14" s="21">
        <f t="shared" si="0"/>
        <v>0</v>
      </c>
      <c r="L14" s="20">
        <f t="shared" si="0"/>
        <v>0</v>
      </c>
      <c r="M14" s="21">
        <f t="shared" si="0"/>
        <v>0</v>
      </c>
      <c r="N14" s="21">
        <f t="shared" si="0"/>
        <v>0</v>
      </c>
      <c r="O14" s="21">
        <f t="shared" si="0"/>
        <v>0</v>
      </c>
      <c r="P14" s="22">
        <f t="shared" si="0"/>
        <v>780.9</v>
      </c>
      <c r="Q14" s="22">
        <f t="shared" si="0"/>
        <v>0</v>
      </c>
      <c r="R14" s="163"/>
      <c r="S14" s="132"/>
    </row>
    <row r="15" spans="1:19" ht="15.75" x14ac:dyDescent="0.25">
      <c r="A15" s="154" t="s">
        <v>27</v>
      </c>
      <c r="B15" s="23">
        <f>B12-B14</f>
        <v>133563.6</v>
      </c>
      <c r="C15" s="23">
        <f>C12-C14*C41</f>
        <v>53342.299999999996</v>
      </c>
      <c r="D15" s="23">
        <f>D12-D14*D41</f>
        <v>30953.4</v>
      </c>
      <c r="E15" s="23">
        <f>E12-E14*E41</f>
        <v>13508.8</v>
      </c>
      <c r="F15" s="23">
        <f t="shared" ref="F15:K15" si="1">F12-F14</f>
        <v>10664</v>
      </c>
      <c r="G15" s="23">
        <f t="shared" si="1"/>
        <v>5415.7999999999993</v>
      </c>
      <c r="H15" s="23">
        <f t="shared" si="1"/>
        <v>2750.4000000000005</v>
      </c>
      <c r="I15" s="23">
        <f t="shared" si="1"/>
        <v>6557.3</v>
      </c>
      <c r="J15" s="23">
        <f t="shared" si="1"/>
        <v>12186</v>
      </c>
      <c r="K15" s="23">
        <f t="shared" si="1"/>
        <v>5064</v>
      </c>
      <c r="L15" s="23">
        <f>L12-L14*L41</f>
        <v>20819.599999999988</v>
      </c>
      <c r="M15" s="23">
        <f>M12-M14*M41</f>
        <v>6940.6999999999989</v>
      </c>
      <c r="N15" s="23">
        <f>N12-N14</f>
        <v>8765.4000000000015</v>
      </c>
      <c r="O15" s="23">
        <f>O12-O14</f>
        <v>3521.8</v>
      </c>
      <c r="P15" s="23">
        <f>P12-P14*P41</f>
        <v>5561.7404000000006</v>
      </c>
      <c r="Q15" s="23">
        <f>Q12-Q14*Q41</f>
        <v>25746.19999999999</v>
      </c>
    </row>
    <row r="16" spans="1:19" x14ac:dyDescent="0.25">
      <c r="A16" s="155" t="s">
        <v>28</v>
      </c>
      <c r="B16" s="25">
        <f>'Net CONE'!E41</f>
        <v>451.61</v>
      </c>
      <c r="C16" s="25">
        <f>'Net CONE'!E28</f>
        <v>456.19</v>
      </c>
      <c r="D16" s="25">
        <f>'Net CONE'!E19</f>
        <v>461.66</v>
      </c>
      <c r="E16" s="25">
        <f>'Net CONE'!E23</f>
        <v>466.35</v>
      </c>
      <c r="F16" s="25">
        <f>'Net CONE'!E17</f>
        <v>461.66</v>
      </c>
      <c r="G16" s="25">
        <f>'Net CONE'!E17</f>
        <v>461.66</v>
      </c>
      <c r="H16" s="25">
        <f>'Net CONE'!E14</f>
        <v>461.66</v>
      </c>
      <c r="I16" s="25">
        <f>'Net CONE'!E22</f>
        <v>466.35</v>
      </c>
      <c r="J16" s="25">
        <f>'Net CONE'!E32</f>
        <v>444.26</v>
      </c>
      <c r="K16" s="25">
        <f>'Net CONE'!E32</f>
        <v>444.26</v>
      </c>
      <c r="L16" s="25">
        <f>'Net CONE'!E40</f>
        <v>447.33</v>
      </c>
      <c r="M16" s="25">
        <f>'Net CONE'!E21</f>
        <v>466.35</v>
      </c>
      <c r="N16" s="25">
        <f>'Net CONE'!E27</f>
        <v>438.47</v>
      </c>
      <c r="O16" s="25">
        <f>'Net CONE'!E33</f>
        <v>444.26</v>
      </c>
      <c r="P16" s="25">
        <f>'Net CONE'!E34</f>
        <v>444.26</v>
      </c>
      <c r="Q16" s="25">
        <f>'Net CONE'!E36</f>
        <v>444.26</v>
      </c>
    </row>
    <row r="17" spans="1:18" ht="15.75" x14ac:dyDescent="0.25">
      <c r="A17" s="156" t="s">
        <v>29</v>
      </c>
      <c r="B17" s="27">
        <f>'Net CONE'!J41</f>
        <v>228.81</v>
      </c>
      <c r="C17" s="27">
        <f>'Net CONE'!J28</f>
        <v>250.98</v>
      </c>
      <c r="D17" s="27">
        <f>'Net CONE'!J19</f>
        <v>310.88</v>
      </c>
      <c r="E17" s="27">
        <f>'Net CONE'!J23</f>
        <v>134.57</v>
      </c>
      <c r="F17" s="27">
        <f>'Net CONE'!J17</f>
        <v>330.97</v>
      </c>
      <c r="G17" s="27">
        <f>'Net CONE'!J17</f>
        <v>330.97</v>
      </c>
      <c r="H17" s="27">
        <f>'Net CONE'!J14</f>
        <v>245.68</v>
      </c>
      <c r="I17" s="27">
        <f>'Net CONE'!J22</f>
        <v>223.8</v>
      </c>
      <c r="J17" s="27">
        <f>'Net CONE'!J32</f>
        <v>236.78</v>
      </c>
      <c r="K17" s="27">
        <f>'Net CONE'!J32</f>
        <v>236.78</v>
      </c>
      <c r="L17" s="27">
        <f>'Net CONE'!J40</f>
        <v>300.32</v>
      </c>
      <c r="M17" s="27">
        <f>'Net CONE'!J21</f>
        <v>45.34</v>
      </c>
      <c r="N17" s="27">
        <f>'Net CONE'!J27</f>
        <v>260.20999999999998</v>
      </c>
      <c r="O17" s="27">
        <f>'Net CONE'!J33</f>
        <v>191.38</v>
      </c>
      <c r="P17" s="27">
        <f>'Net CONE'!J34</f>
        <v>205.25</v>
      </c>
      <c r="Q17" s="27">
        <f>'Net CONE'!J36</f>
        <v>152.69</v>
      </c>
    </row>
    <row r="18" spans="1:18" x14ac:dyDescent="0.25">
      <c r="A18" s="157" t="s">
        <v>30</v>
      </c>
      <c r="B18" s="164">
        <v>1503.0464400000001</v>
      </c>
      <c r="C18" s="164">
        <v>674.08046999999988</v>
      </c>
      <c r="D18" s="164">
        <v>427.85945999999996</v>
      </c>
      <c r="E18" s="164">
        <v>153.38357999999999</v>
      </c>
      <c r="F18" s="164">
        <v>167.65181999999999</v>
      </c>
      <c r="G18" s="164">
        <v>88.519409999999993</v>
      </c>
      <c r="H18" s="164">
        <v>24.59394</v>
      </c>
      <c r="I18" s="164">
        <v>81.573030000000003</v>
      </c>
      <c r="J18" s="164">
        <v>71.622809999999987</v>
      </c>
      <c r="K18" s="164">
        <v>6.5709</v>
      </c>
      <c r="L18" s="164">
        <v>337.65038999999996</v>
      </c>
      <c r="M18" s="164">
        <v>71.810549999999992</v>
      </c>
      <c r="N18" s="164">
        <v>45.808559999999993</v>
      </c>
      <c r="O18" s="164">
        <v>18.398520000000001</v>
      </c>
      <c r="P18" s="164">
        <v>24.781679999999998</v>
      </c>
      <c r="Q18" s="164">
        <v>154.22841</v>
      </c>
    </row>
    <row r="19" spans="1:18" ht="16.5" thickBot="1" x14ac:dyDescent="0.3">
      <c r="A19" s="225" t="s">
        <v>31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177"/>
    </row>
    <row r="20" spans="1:18" x14ac:dyDescent="0.25">
      <c r="A20" s="174" t="s">
        <v>32</v>
      </c>
      <c r="B20" s="175">
        <f>ROUND(MAX(B16,1.5*B17),2)</f>
        <v>451.61</v>
      </c>
      <c r="C20" s="175">
        <f t="shared" ref="C20:Q20" si="2">ROUND(MAX(C16,1.5*C17),2)</f>
        <v>456.19</v>
      </c>
      <c r="D20" s="175">
        <f t="shared" si="2"/>
        <v>466.32</v>
      </c>
      <c r="E20" s="175">
        <f t="shared" si="2"/>
        <v>466.35</v>
      </c>
      <c r="F20" s="175">
        <f>ROUND(MAX(F16,1.5*F17),2)</f>
        <v>496.46</v>
      </c>
      <c r="G20" s="175">
        <f t="shared" si="2"/>
        <v>496.46</v>
      </c>
      <c r="H20" s="175">
        <f t="shared" si="2"/>
        <v>461.66</v>
      </c>
      <c r="I20" s="175">
        <f t="shared" si="2"/>
        <v>466.35</v>
      </c>
      <c r="J20" s="175">
        <f t="shared" si="2"/>
        <v>444.26</v>
      </c>
      <c r="K20" s="175">
        <f t="shared" si="2"/>
        <v>444.26</v>
      </c>
      <c r="L20" s="175">
        <f t="shared" si="2"/>
        <v>450.48</v>
      </c>
      <c r="M20" s="175">
        <f t="shared" si="2"/>
        <v>466.35</v>
      </c>
      <c r="N20" s="175">
        <f t="shared" si="2"/>
        <v>438.47</v>
      </c>
      <c r="O20" s="175">
        <f t="shared" si="2"/>
        <v>444.26</v>
      </c>
      <c r="P20" s="176">
        <f t="shared" si="2"/>
        <v>444.26</v>
      </c>
      <c r="Q20" s="176">
        <f t="shared" si="2"/>
        <v>444.26</v>
      </c>
      <c r="R20" s="177"/>
    </row>
    <row r="21" spans="1:18" x14ac:dyDescent="0.25">
      <c r="A21" s="105" t="s">
        <v>33</v>
      </c>
      <c r="B21" s="106">
        <f t="shared" ref="B21:Q21" si="3">ROUND(B$17*0.75,2)</f>
        <v>171.61</v>
      </c>
      <c r="C21" s="106">
        <f t="shared" si="3"/>
        <v>188.24</v>
      </c>
      <c r="D21" s="106">
        <f t="shared" si="3"/>
        <v>233.16</v>
      </c>
      <c r="E21" s="106">
        <f t="shared" si="3"/>
        <v>100.93</v>
      </c>
      <c r="F21" s="106">
        <f t="shared" si="3"/>
        <v>248.23</v>
      </c>
      <c r="G21" s="106">
        <f t="shared" si="3"/>
        <v>248.23</v>
      </c>
      <c r="H21" s="106">
        <f t="shared" si="3"/>
        <v>184.26</v>
      </c>
      <c r="I21" s="106">
        <f t="shared" si="3"/>
        <v>167.85</v>
      </c>
      <c r="J21" s="106">
        <f t="shared" si="3"/>
        <v>177.59</v>
      </c>
      <c r="K21" s="106">
        <f t="shared" si="3"/>
        <v>177.59</v>
      </c>
      <c r="L21" s="106">
        <f t="shared" si="3"/>
        <v>225.24</v>
      </c>
      <c r="M21" s="106">
        <f t="shared" si="3"/>
        <v>34.01</v>
      </c>
      <c r="N21" s="106">
        <f t="shared" si="3"/>
        <v>195.16</v>
      </c>
      <c r="O21" s="106">
        <f t="shared" si="3"/>
        <v>143.54</v>
      </c>
      <c r="P21" s="171">
        <f t="shared" si="3"/>
        <v>153.94</v>
      </c>
      <c r="Q21" s="171">
        <f t="shared" si="3"/>
        <v>114.52</v>
      </c>
      <c r="R21" s="177"/>
    </row>
    <row r="22" spans="1:18" x14ac:dyDescent="0.25">
      <c r="A22" s="105" t="s">
        <v>34</v>
      </c>
      <c r="B22" s="106">
        <v>0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71">
        <v>0</v>
      </c>
      <c r="Q22" s="171">
        <v>0</v>
      </c>
      <c r="R22" s="177"/>
    </row>
    <row r="23" spans="1:18" x14ac:dyDescent="0.25">
      <c r="A23" s="105" t="s">
        <v>35</v>
      </c>
      <c r="B23" s="107">
        <f>ROUND(B$15*0.989,1)+B$18</f>
        <v>133597.44644</v>
      </c>
      <c r="C23" s="107">
        <f>ROUND(C$15*0.989,1)+C$18</f>
        <v>53429.580470000001</v>
      </c>
      <c r="D23" s="107">
        <f t="shared" ref="D23:Q23" si="4">ROUND(D$15*0.989,1)+D$18</f>
        <v>31040.759460000001</v>
      </c>
      <c r="E23" s="107">
        <f t="shared" si="4"/>
        <v>13513.58358</v>
      </c>
      <c r="F23" s="107">
        <f t="shared" si="4"/>
        <v>10714.35182</v>
      </c>
      <c r="G23" s="107">
        <f t="shared" si="4"/>
        <v>5444.7194099999997</v>
      </c>
      <c r="H23" s="107">
        <f t="shared" si="4"/>
        <v>2744.6939400000001</v>
      </c>
      <c r="I23" s="107">
        <f t="shared" si="4"/>
        <v>6566.7730299999994</v>
      </c>
      <c r="J23" s="107">
        <f t="shared" si="4"/>
        <v>12123.622810000001</v>
      </c>
      <c r="K23" s="107">
        <f t="shared" si="4"/>
        <v>5014.8708999999999</v>
      </c>
      <c r="L23" s="107">
        <f t="shared" si="4"/>
        <v>20928.250389999997</v>
      </c>
      <c r="M23" s="107">
        <f t="shared" si="4"/>
        <v>6936.2105499999998</v>
      </c>
      <c r="N23" s="107">
        <f t="shared" si="4"/>
        <v>8714.8085599999995</v>
      </c>
      <c r="O23" s="107">
        <f t="shared" si="4"/>
        <v>3501.4985200000001</v>
      </c>
      <c r="P23" s="172">
        <f t="shared" si="4"/>
        <v>5525.3816800000004</v>
      </c>
      <c r="Q23" s="172">
        <f t="shared" si="4"/>
        <v>25617.22841</v>
      </c>
      <c r="R23" s="177"/>
    </row>
    <row r="24" spans="1:18" x14ac:dyDescent="0.25">
      <c r="A24" s="105" t="s">
        <v>36</v>
      </c>
      <c r="B24" s="107">
        <f>ROUND(B$15*1.016,1)+B$18</f>
        <v>137203.64644000001</v>
      </c>
      <c r="C24" s="107">
        <f>ROUND(C$15*1.016,1)+C$18</f>
        <v>54869.880470000004</v>
      </c>
      <c r="D24" s="107">
        <f t="shared" ref="D24:Q24" si="5">ROUND(D$15*1.016,1)+D$18</f>
        <v>31876.55946</v>
      </c>
      <c r="E24" s="107">
        <f t="shared" si="5"/>
        <v>13878.283579999999</v>
      </c>
      <c r="F24" s="107">
        <f t="shared" si="5"/>
        <v>11002.251819999999</v>
      </c>
      <c r="G24" s="107">
        <f t="shared" si="5"/>
        <v>5591.0194099999999</v>
      </c>
      <c r="H24" s="107">
        <f t="shared" si="5"/>
        <v>2818.9939400000003</v>
      </c>
      <c r="I24" s="107">
        <f t="shared" si="5"/>
        <v>6743.7730299999994</v>
      </c>
      <c r="J24" s="107">
        <f t="shared" si="5"/>
        <v>12452.622810000001</v>
      </c>
      <c r="K24" s="107">
        <f t="shared" si="5"/>
        <v>5151.5708999999997</v>
      </c>
      <c r="L24" s="107">
        <f t="shared" si="5"/>
        <v>21490.35039</v>
      </c>
      <c r="M24" s="107">
        <f t="shared" si="5"/>
        <v>7123.6105500000003</v>
      </c>
      <c r="N24" s="107">
        <f t="shared" si="5"/>
        <v>8951.4085599999999</v>
      </c>
      <c r="O24" s="107">
        <f t="shared" si="5"/>
        <v>3596.4985200000001</v>
      </c>
      <c r="P24" s="172">
        <f t="shared" si="5"/>
        <v>5675.4816799999999</v>
      </c>
      <c r="Q24" s="172">
        <f t="shared" si="5"/>
        <v>26312.328409999998</v>
      </c>
      <c r="R24" s="177"/>
    </row>
    <row r="25" spans="1:18" ht="15.75" thickBot="1" x14ac:dyDescent="0.3">
      <c r="A25" s="108" t="s">
        <v>37</v>
      </c>
      <c r="B25" s="109">
        <f>ROUND(B$15*1.068,1)+B$18</f>
        <v>144148.94644</v>
      </c>
      <c r="C25" s="109">
        <f>ROUND(C$15*1.068,1)+C$18</f>
        <v>57643.680469999999</v>
      </c>
      <c r="D25" s="109">
        <f t="shared" ref="D25:Q25" si="6">ROUND(D$15*1.068,1)+D$18</f>
        <v>33486.059459999997</v>
      </c>
      <c r="E25" s="109">
        <f t="shared" si="6"/>
        <v>14580.783579999999</v>
      </c>
      <c r="F25" s="109">
        <f t="shared" si="6"/>
        <v>11556.85182</v>
      </c>
      <c r="G25" s="109">
        <f t="shared" si="6"/>
        <v>5872.6194100000002</v>
      </c>
      <c r="H25" s="109">
        <f t="shared" si="6"/>
        <v>2961.9939400000003</v>
      </c>
      <c r="I25" s="109">
        <f t="shared" si="6"/>
        <v>7084.7730299999994</v>
      </c>
      <c r="J25" s="109">
        <f t="shared" si="6"/>
        <v>13086.222810000001</v>
      </c>
      <c r="K25" s="109">
        <f t="shared" si="6"/>
        <v>5414.9708999999993</v>
      </c>
      <c r="L25" s="109">
        <f t="shared" si="6"/>
        <v>22572.950389999998</v>
      </c>
      <c r="M25" s="109">
        <f t="shared" si="6"/>
        <v>7484.51055</v>
      </c>
      <c r="N25" s="109">
        <f t="shared" si="6"/>
        <v>9407.2085599999991</v>
      </c>
      <c r="O25" s="109">
        <f t="shared" si="6"/>
        <v>3779.6985200000004</v>
      </c>
      <c r="P25" s="173">
        <f t="shared" si="6"/>
        <v>5964.6816799999997</v>
      </c>
      <c r="Q25" s="173">
        <f t="shared" si="6"/>
        <v>27651.128410000001</v>
      </c>
      <c r="R25" s="177"/>
    </row>
    <row r="26" spans="1:18" ht="15.75" x14ac:dyDescent="0.25">
      <c r="A26" s="111" t="s">
        <v>38</v>
      </c>
      <c r="B26" s="110">
        <f>C26+J26+L26+O26+P26</f>
        <v>224</v>
      </c>
      <c r="C26" s="110">
        <f>D26+E26+N26</f>
        <v>224</v>
      </c>
      <c r="D26" s="110">
        <f>14+H26</f>
        <v>14</v>
      </c>
      <c r="E26" s="110">
        <f>I26+M26</f>
        <v>210</v>
      </c>
      <c r="F26" s="110">
        <v>0</v>
      </c>
      <c r="G26" s="110">
        <v>0</v>
      </c>
      <c r="H26" s="110">
        <v>0</v>
      </c>
      <c r="I26" s="110">
        <v>75</v>
      </c>
      <c r="J26" s="110">
        <v>0</v>
      </c>
      <c r="K26" s="110">
        <v>0</v>
      </c>
      <c r="L26" s="110">
        <v>0</v>
      </c>
      <c r="M26" s="110">
        <v>135</v>
      </c>
      <c r="N26" s="110">
        <v>0</v>
      </c>
      <c r="O26" s="110">
        <v>0</v>
      </c>
      <c r="P26" s="110">
        <v>0</v>
      </c>
      <c r="Q26" s="110">
        <v>0</v>
      </c>
    </row>
    <row r="27" spans="1:18" ht="16.5" thickBot="1" x14ac:dyDescent="0.3">
      <c r="A27" s="220" t="s">
        <v>39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1"/>
      <c r="Q27" s="187"/>
    </row>
    <row r="28" spans="1:18" x14ac:dyDescent="0.25">
      <c r="A28" s="28" t="s">
        <v>40</v>
      </c>
      <c r="B28" s="29">
        <f t="shared" ref="B28:E29" si="7">B20</f>
        <v>451.61</v>
      </c>
      <c r="C28" s="29">
        <f t="shared" si="7"/>
        <v>456.19</v>
      </c>
      <c r="D28" s="29">
        <f t="shared" si="7"/>
        <v>466.32</v>
      </c>
      <c r="E28" s="29">
        <f t="shared" si="7"/>
        <v>466.35</v>
      </c>
      <c r="F28" s="29" t="s">
        <v>0</v>
      </c>
      <c r="G28" s="29" t="s">
        <v>0</v>
      </c>
      <c r="H28" s="29"/>
      <c r="I28" s="29">
        <f>I20</f>
        <v>466.35</v>
      </c>
      <c r="J28" s="29" t="s">
        <v>0</v>
      </c>
      <c r="K28" s="29" t="s">
        <v>0</v>
      </c>
      <c r="L28" s="29" t="s">
        <v>0</v>
      </c>
      <c r="M28" s="29">
        <f>M20</f>
        <v>466.35</v>
      </c>
      <c r="N28" s="29" t="s">
        <v>0</v>
      </c>
      <c r="O28" s="29" t="s">
        <v>0</v>
      </c>
      <c r="P28" s="178" t="s">
        <v>0</v>
      </c>
      <c r="Q28" s="30"/>
    </row>
    <row r="29" spans="1:18" x14ac:dyDescent="0.25">
      <c r="A29" s="31" t="s">
        <v>41</v>
      </c>
      <c r="B29" s="32">
        <f t="shared" si="7"/>
        <v>171.61</v>
      </c>
      <c r="C29" s="32">
        <f t="shared" si="7"/>
        <v>188.24</v>
      </c>
      <c r="D29" s="32">
        <f t="shared" si="7"/>
        <v>233.16</v>
      </c>
      <c r="E29" s="32">
        <f t="shared" si="7"/>
        <v>100.93</v>
      </c>
      <c r="F29" s="32" t="s">
        <v>0</v>
      </c>
      <c r="G29" s="32" t="s">
        <v>0</v>
      </c>
      <c r="H29" s="32"/>
      <c r="I29" s="32">
        <f>I21</f>
        <v>167.85</v>
      </c>
      <c r="J29" s="32" t="s">
        <v>0</v>
      </c>
      <c r="K29" s="32" t="s">
        <v>0</v>
      </c>
      <c r="L29" s="32" t="s">
        <v>0</v>
      </c>
      <c r="M29" s="32">
        <f>M21</f>
        <v>34.01</v>
      </c>
      <c r="N29" s="32" t="s">
        <v>0</v>
      </c>
      <c r="O29" s="32" t="s">
        <v>0</v>
      </c>
      <c r="P29" s="179" t="s">
        <v>0</v>
      </c>
      <c r="Q29" s="33"/>
    </row>
    <row r="30" spans="1:18" x14ac:dyDescent="0.25">
      <c r="A30" s="31" t="s">
        <v>42</v>
      </c>
      <c r="B30" s="32">
        <v>0.01</v>
      </c>
      <c r="C30" s="32">
        <v>0.01</v>
      </c>
      <c r="D30" s="32">
        <v>0.01</v>
      </c>
      <c r="E30" s="32">
        <v>0.01</v>
      </c>
      <c r="F30" s="32" t="s">
        <v>0</v>
      </c>
      <c r="G30" s="32" t="s">
        <v>0</v>
      </c>
      <c r="H30" s="32"/>
      <c r="I30" s="32">
        <v>0.01</v>
      </c>
      <c r="J30" s="32" t="s">
        <v>0</v>
      </c>
      <c r="K30" s="32" t="s">
        <v>0</v>
      </c>
      <c r="L30" s="32" t="s">
        <v>0</v>
      </c>
      <c r="M30" s="32">
        <v>0.01</v>
      </c>
      <c r="N30" s="32" t="s">
        <v>0</v>
      </c>
      <c r="O30" s="32" t="s">
        <v>0</v>
      </c>
      <c r="P30" s="179" t="s">
        <v>0</v>
      </c>
      <c r="Q30" s="33"/>
    </row>
    <row r="31" spans="1:18" x14ac:dyDescent="0.25">
      <c r="A31" s="31" t="s">
        <v>43</v>
      </c>
      <c r="B31" s="32">
        <v>0.01</v>
      </c>
      <c r="C31" s="32">
        <v>0.01</v>
      </c>
      <c r="D31" s="32">
        <v>0.01</v>
      </c>
      <c r="E31" s="32">
        <v>0.01</v>
      </c>
      <c r="F31" s="32" t="s">
        <v>0</v>
      </c>
      <c r="G31" s="32" t="s">
        <v>0</v>
      </c>
      <c r="H31" s="32"/>
      <c r="I31" s="32">
        <v>0.01</v>
      </c>
      <c r="J31" s="32" t="s">
        <v>0</v>
      </c>
      <c r="K31" s="32" t="s">
        <v>0</v>
      </c>
      <c r="L31" s="32" t="s">
        <v>0</v>
      </c>
      <c r="M31" s="32">
        <v>0.01</v>
      </c>
      <c r="N31" s="32" t="s">
        <v>0</v>
      </c>
      <c r="O31" s="32" t="s">
        <v>0</v>
      </c>
      <c r="P31" s="179" t="s">
        <v>0</v>
      </c>
      <c r="Q31" s="33"/>
    </row>
    <row r="32" spans="1:18" ht="15.75" thickBot="1" x14ac:dyDescent="0.3">
      <c r="A32" s="34" t="s">
        <v>34</v>
      </c>
      <c r="B32" s="112">
        <f>B22</f>
        <v>0</v>
      </c>
      <c r="C32" s="112">
        <f>C22</f>
        <v>0</v>
      </c>
      <c r="D32" s="112">
        <f>D22</f>
        <v>0</v>
      </c>
      <c r="E32" s="112">
        <f>E22</f>
        <v>0</v>
      </c>
      <c r="F32" s="112" t="s">
        <v>0</v>
      </c>
      <c r="G32" s="112" t="s">
        <v>0</v>
      </c>
      <c r="H32" s="112"/>
      <c r="I32" s="112">
        <f>I22</f>
        <v>0</v>
      </c>
      <c r="J32" s="112" t="s">
        <v>0</v>
      </c>
      <c r="K32" s="112" t="s">
        <v>0</v>
      </c>
      <c r="L32" s="112" t="s">
        <v>0</v>
      </c>
      <c r="M32" s="112">
        <f>M22</f>
        <v>0</v>
      </c>
      <c r="N32" s="112" t="s">
        <v>0</v>
      </c>
      <c r="O32" s="112" t="s">
        <v>0</v>
      </c>
      <c r="P32" s="180" t="s">
        <v>0</v>
      </c>
      <c r="Q32" s="113"/>
    </row>
    <row r="33" spans="1:18" x14ac:dyDescent="0.25">
      <c r="A33" s="114" t="s">
        <v>44</v>
      </c>
      <c r="B33" s="115">
        <f t="shared" ref="B33:E34" si="8">ROUND(B23-B$26*$B$6,1)</f>
        <v>133387.20000000001</v>
      </c>
      <c r="C33" s="115">
        <f t="shared" si="8"/>
        <v>53219.3</v>
      </c>
      <c r="D33" s="115">
        <f t="shared" si="8"/>
        <v>31027.599999999999</v>
      </c>
      <c r="E33" s="115">
        <f t="shared" si="8"/>
        <v>13316.5</v>
      </c>
      <c r="F33" s="115" t="s">
        <v>0</v>
      </c>
      <c r="G33" s="115" t="s">
        <v>0</v>
      </c>
      <c r="H33" s="115"/>
      <c r="I33" s="115">
        <f>ROUND(I23-I$26*$B$6,1)</f>
        <v>6496.4</v>
      </c>
      <c r="J33" s="115" t="s">
        <v>0</v>
      </c>
      <c r="K33" s="115" t="s">
        <v>0</v>
      </c>
      <c r="L33" s="115" t="s">
        <v>0</v>
      </c>
      <c r="M33" s="115">
        <f>ROUND(M23-M$26*$B$6,1)</f>
        <v>6809.5</v>
      </c>
      <c r="N33" s="115" t="s">
        <v>0</v>
      </c>
      <c r="O33" s="115" t="s">
        <v>0</v>
      </c>
      <c r="P33" s="181" t="s">
        <v>0</v>
      </c>
      <c r="Q33" s="188"/>
    </row>
    <row r="34" spans="1:18" x14ac:dyDescent="0.25">
      <c r="A34" s="116" t="s">
        <v>45</v>
      </c>
      <c r="B34" s="117">
        <f t="shared" si="8"/>
        <v>136993.4</v>
      </c>
      <c r="C34" s="117">
        <f t="shared" si="8"/>
        <v>54659.6</v>
      </c>
      <c r="D34" s="117">
        <f t="shared" si="8"/>
        <v>31863.4</v>
      </c>
      <c r="E34" s="117">
        <f t="shared" si="8"/>
        <v>13681.2</v>
      </c>
      <c r="F34" s="117" t="s">
        <v>0</v>
      </c>
      <c r="G34" s="117" t="s">
        <v>0</v>
      </c>
      <c r="H34" s="117"/>
      <c r="I34" s="117">
        <f>ROUND(I24-I$26*$B$6,1)</f>
        <v>6673.4</v>
      </c>
      <c r="J34" s="117" t="s">
        <v>0</v>
      </c>
      <c r="K34" s="117" t="s">
        <v>0</v>
      </c>
      <c r="L34" s="117" t="s">
        <v>0</v>
      </c>
      <c r="M34" s="117">
        <f>ROUND(M24-M$26*$B$6,1)</f>
        <v>6996.9</v>
      </c>
      <c r="N34" s="117" t="s">
        <v>0</v>
      </c>
      <c r="O34" s="117" t="s">
        <v>0</v>
      </c>
      <c r="P34" s="182" t="s">
        <v>0</v>
      </c>
      <c r="Q34" s="189"/>
    </row>
    <row r="35" spans="1:18" x14ac:dyDescent="0.25">
      <c r="A35" s="116" t="s">
        <v>46</v>
      </c>
      <c r="B35" s="117">
        <f>ROUND(B36-B$26*$B$6,1)</f>
        <v>143938.20000000001</v>
      </c>
      <c r="C35" s="117">
        <f>ROUND(C36-C$26*$B$6,1)</f>
        <v>57433.2</v>
      </c>
      <c r="D35" s="117">
        <f>ROUND(D36-D$26*$B$6,1)</f>
        <v>33472.9</v>
      </c>
      <c r="E35" s="117">
        <f>ROUND(E36-E$26*$B$6,1)</f>
        <v>14383.6</v>
      </c>
      <c r="F35" s="117" t="s">
        <v>0</v>
      </c>
      <c r="G35" s="117" t="s">
        <v>0</v>
      </c>
      <c r="H35" s="117"/>
      <c r="I35" s="117">
        <f>ROUND(I36-I$26*$B$6,1)</f>
        <v>7014.4</v>
      </c>
      <c r="J35" s="117" t="s">
        <v>0</v>
      </c>
      <c r="K35" s="117" t="s">
        <v>0</v>
      </c>
      <c r="L35" s="117" t="s">
        <v>0</v>
      </c>
      <c r="M35" s="117">
        <f>ROUND(M36-M$26*$B$6,1)</f>
        <v>7357.7</v>
      </c>
      <c r="N35" s="117" t="s">
        <v>0</v>
      </c>
      <c r="O35" s="117" t="s">
        <v>0</v>
      </c>
      <c r="P35" s="182" t="s">
        <v>0</v>
      </c>
      <c r="Q35" s="189"/>
    </row>
    <row r="36" spans="1:18" x14ac:dyDescent="0.25">
      <c r="A36" s="116" t="s">
        <v>47</v>
      </c>
      <c r="B36" s="117">
        <f>ROUND(B25-B31*(B25-B24)/B21,1)</f>
        <v>144148.5</v>
      </c>
      <c r="C36" s="117">
        <f>ROUND(C25-C31*(C25-C24)/C21,1)</f>
        <v>57643.5</v>
      </c>
      <c r="D36" s="117">
        <f>ROUND(D25-D31*(D25-D24)/D21,1)</f>
        <v>33486</v>
      </c>
      <c r="E36" s="117">
        <f>ROUND(E25-E31*(E25-E24)/E21,1)</f>
        <v>14580.7</v>
      </c>
      <c r="F36" s="117" t="s">
        <v>0</v>
      </c>
      <c r="G36" s="117" t="s">
        <v>0</v>
      </c>
      <c r="H36" s="117"/>
      <c r="I36" s="117">
        <f>ROUND(I25-I31*(I25-I24)/I21,1)</f>
        <v>7084.8</v>
      </c>
      <c r="J36" s="117" t="s">
        <v>0</v>
      </c>
      <c r="K36" s="117" t="s">
        <v>0</v>
      </c>
      <c r="L36" s="117" t="s">
        <v>0</v>
      </c>
      <c r="M36" s="117">
        <f>ROUND(M25-M31*(M25-M24)/M21,1)</f>
        <v>7484.4</v>
      </c>
      <c r="N36" s="117" t="s">
        <v>0</v>
      </c>
      <c r="O36" s="117" t="s">
        <v>0</v>
      </c>
      <c r="P36" s="182" t="s">
        <v>0</v>
      </c>
      <c r="Q36" s="189"/>
    </row>
    <row r="37" spans="1:18" ht="15.75" thickBot="1" x14ac:dyDescent="0.3">
      <c r="A37" s="118" t="s">
        <v>37</v>
      </c>
      <c r="B37" s="119">
        <f>B25</f>
        <v>144148.94644</v>
      </c>
      <c r="C37" s="119">
        <f>C25</f>
        <v>57643.680469999999</v>
      </c>
      <c r="D37" s="119">
        <f>D25</f>
        <v>33486.059459999997</v>
      </c>
      <c r="E37" s="119">
        <f>E25</f>
        <v>14580.783579999999</v>
      </c>
      <c r="F37" s="119" t="s">
        <v>0</v>
      </c>
      <c r="G37" s="119" t="s">
        <v>0</v>
      </c>
      <c r="H37" s="119"/>
      <c r="I37" s="119">
        <f>I25</f>
        <v>7084.7730299999994</v>
      </c>
      <c r="J37" s="119" t="s">
        <v>0</v>
      </c>
      <c r="K37" s="119" t="s">
        <v>0</v>
      </c>
      <c r="L37" s="119" t="s">
        <v>0</v>
      </c>
      <c r="M37" s="119">
        <f>M25</f>
        <v>7484.51055</v>
      </c>
      <c r="N37" s="119" t="s">
        <v>0</v>
      </c>
      <c r="O37" s="119" t="s">
        <v>0</v>
      </c>
      <c r="P37" s="183" t="s">
        <v>0</v>
      </c>
      <c r="Q37" s="190"/>
    </row>
    <row r="38" spans="1:18" ht="15.75" x14ac:dyDescent="0.25">
      <c r="A38" s="35" t="s">
        <v>48</v>
      </c>
      <c r="B38" s="36">
        <f t="shared" ref="B38:Q38" si="9">ROUND(MAX(B$17*0.5, 20)*((DATE(LEFT($A$1,4)*1+1,5,31)-(DATE(LEFT($A$1,4)*1,6,1))+1)),2)</f>
        <v>41757.83</v>
      </c>
      <c r="C38" s="36">
        <f t="shared" si="9"/>
        <v>45803.85</v>
      </c>
      <c r="D38" s="36">
        <f t="shared" si="9"/>
        <v>56735.6</v>
      </c>
      <c r="E38" s="36">
        <f t="shared" si="9"/>
        <v>24559.03</v>
      </c>
      <c r="F38" s="36">
        <f t="shared" si="9"/>
        <v>60402.03</v>
      </c>
      <c r="G38" s="36">
        <f t="shared" si="9"/>
        <v>60402.03</v>
      </c>
      <c r="H38" s="36">
        <f t="shared" si="9"/>
        <v>44836.6</v>
      </c>
      <c r="I38" s="36">
        <f t="shared" si="9"/>
        <v>40843.5</v>
      </c>
      <c r="J38" s="36">
        <f t="shared" si="9"/>
        <v>43212.35</v>
      </c>
      <c r="K38" s="36">
        <f t="shared" si="9"/>
        <v>43212.35</v>
      </c>
      <c r="L38" s="36">
        <f t="shared" si="9"/>
        <v>54808.4</v>
      </c>
      <c r="M38" s="36">
        <f t="shared" si="9"/>
        <v>8274.5499999999993</v>
      </c>
      <c r="N38" s="36">
        <f t="shared" si="9"/>
        <v>47488.33</v>
      </c>
      <c r="O38" s="36">
        <f t="shared" si="9"/>
        <v>34926.85</v>
      </c>
      <c r="P38" s="184">
        <f t="shared" si="9"/>
        <v>37458.129999999997</v>
      </c>
      <c r="Q38" s="184">
        <f t="shared" si="9"/>
        <v>27865.93</v>
      </c>
      <c r="R38" s="177"/>
    </row>
    <row r="39" spans="1:18" x14ac:dyDescent="0.25">
      <c r="A39" s="17" t="s">
        <v>49</v>
      </c>
      <c r="B39" s="37" t="s">
        <v>22</v>
      </c>
      <c r="C39" s="38">
        <v>1557</v>
      </c>
      <c r="D39" s="38">
        <v>40</v>
      </c>
      <c r="E39" s="39" t="s">
        <v>22</v>
      </c>
      <c r="F39" s="38">
        <v>1070</v>
      </c>
      <c r="G39" s="38">
        <v>639</v>
      </c>
      <c r="H39" s="38">
        <v>72</v>
      </c>
      <c r="I39" s="38" t="s">
        <v>22</v>
      </c>
      <c r="J39" s="38" t="s">
        <v>22</v>
      </c>
      <c r="K39" s="38" t="s">
        <v>22</v>
      </c>
      <c r="L39" s="39">
        <v>1376</v>
      </c>
      <c r="M39" s="38">
        <v>65.7</v>
      </c>
      <c r="N39" s="38" t="s">
        <v>22</v>
      </c>
      <c r="O39" s="38" t="s">
        <v>22</v>
      </c>
      <c r="P39" s="185">
        <v>155</v>
      </c>
      <c r="Q39" s="38" t="s">
        <v>22</v>
      </c>
    </row>
    <row r="40" spans="1:18" ht="15.75" x14ac:dyDescent="0.25">
      <c r="A40" s="227" t="s">
        <v>50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9"/>
    </row>
    <row r="41" spans="1:18" x14ac:dyDescent="0.25">
      <c r="A41" s="17" t="s">
        <v>51</v>
      </c>
      <c r="B41" s="37" t="s">
        <v>22</v>
      </c>
      <c r="C41" s="40">
        <f>MIN(ROUND((C12-C11)/(F73*$B$6),3),100%)</f>
        <v>0.97699999999999998</v>
      </c>
      <c r="D41" s="41">
        <f>ROUND((D12-D11)/(F70*$B$6),3)</f>
        <v>0.79400000000000004</v>
      </c>
      <c r="E41" s="41">
        <f>ROUND((E12-E11)/(F71*$B$6),3)</f>
        <v>0.44500000000000001</v>
      </c>
      <c r="F41" s="41" t="s">
        <v>22</v>
      </c>
      <c r="G41" s="37" t="s">
        <v>22</v>
      </c>
      <c r="H41" s="40">
        <f>MIN(ROUND((H12-H11)/(F58*$B$6),3),100%)</f>
        <v>0.34300000000000003</v>
      </c>
      <c r="I41" s="37" t="s">
        <v>22</v>
      </c>
      <c r="J41" s="41" t="s">
        <v>22</v>
      </c>
      <c r="K41" s="37" t="s">
        <v>22</v>
      </c>
      <c r="L41" s="41">
        <f>ROUND((L12-L11)/(F52*$B$6),3)</f>
        <v>0.88</v>
      </c>
      <c r="M41" s="41">
        <f>ROUND((M12-M11)/(F51*$B$6),3)</f>
        <v>0.155</v>
      </c>
      <c r="N41" s="37" t="s">
        <v>22</v>
      </c>
      <c r="O41" s="37" t="s">
        <v>22</v>
      </c>
      <c r="P41" s="186">
        <f>ROUND((P12-P11)/(F54*$B$6),3)</f>
        <v>4.3999999999999997E-2</v>
      </c>
      <c r="Q41" s="186">
        <f>ROUND((Q12-Q11)/(F56*$B$6),3)</f>
        <v>0.95199999999999996</v>
      </c>
      <c r="R41" s="177"/>
    </row>
    <row r="42" spans="1:18" ht="15.75" x14ac:dyDescent="0.25">
      <c r="A42" s="42" t="s">
        <v>0</v>
      </c>
      <c r="B42" s="43"/>
      <c r="C42" s="43"/>
      <c r="D42" s="43"/>
      <c r="E42" s="43"/>
      <c r="F42" s="43"/>
      <c r="G42" s="159"/>
      <c r="H42" s="159"/>
      <c r="I42" s="159"/>
      <c r="J42" s="159"/>
      <c r="K42" s="159"/>
      <c r="L42" s="159"/>
      <c r="M42" s="159"/>
      <c r="N42" s="159"/>
    </row>
    <row r="43" spans="1:18" ht="15.75" x14ac:dyDescent="0.25">
      <c r="A43" s="214" t="s">
        <v>52</v>
      </c>
      <c r="B43" s="214"/>
      <c r="C43" s="214"/>
      <c r="D43" s="214"/>
      <c r="E43" s="214"/>
      <c r="F43" s="214"/>
      <c r="G43" s="214"/>
      <c r="H43" s="214"/>
      <c r="I43" s="214"/>
      <c r="J43" s="44" t="s">
        <v>0</v>
      </c>
      <c r="K43" s="45" t="s">
        <v>0</v>
      </c>
      <c r="M43" s="46" t="s">
        <v>0</v>
      </c>
    </row>
    <row r="44" spans="1:18" ht="78.75" x14ac:dyDescent="0.25">
      <c r="A44" s="47" t="s">
        <v>53</v>
      </c>
      <c r="B44" s="48" t="s">
        <v>115</v>
      </c>
      <c r="C44" s="160" t="s">
        <v>114</v>
      </c>
      <c r="D44" s="160" t="s">
        <v>54</v>
      </c>
      <c r="E44" s="160" t="s">
        <v>126</v>
      </c>
      <c r="F44" s="48" t="s">
        <v>55</v>
      </c>
      <c r="G44" s="48" t="s">
        <v>56</v>
      </c>
      <c r="H44" s="48" t="s">
        <v>57</v>
      </c>
      <c r="I44" s="48" t="s">
        <v>58</v>
      </c>
      <c r="J44" s="26" t="s">
        <v>53</v>
      </c>
      <c r="K44" t="s">
        <v>0</v>
      </c>
      <c r="O44" s="49" t="s">
        <v>0</v>
      </c>
      <c r="P44" s="49" t="s">
        <v>0</v>
      </c>
    </row>
    <row r="45" spans="1:18" ht="15.75" x14ac:dyDescent="0.25">
      <c r="A45" s="50" t="s">
        <v>1</v>
      </c>
      <c r="B45" s="148" t="s">
        <v>22</v>
      </c>
      <c r="C45" s="144" t="s">
        <v>22</v>
      </c>
      <c r="D45" s="144" t="s">
        <v>22</v>
      </c>
      <c r="E45" s="141">
        <v>148659.40000000002</v>
      </c>
      <c r="F45" s="136">
        <v>153883.03512820514</v>
      </c>
      <c r="G45" s="51" t="s">
        <v>22</v>
      </c>
      <c r="H45" s="136">
        <v>11597.283398378959</v>
      </c>
      <c r="I45" s="23">
        <v>142285.75172982615</v>
      </c>
      <c r="J45" s="24" t="s">
        <v>1</v>
      </c>
      <c r="K45" t="s">
        <v>0</v>
      </c>
      <c r="L45" s="49" t="s">
        <v>0</v>
      </c>
      <c r="M45" s="49" t="s">
        <v>0</v>
      </c>
      <c r="N45" s="49" t="s">
        <v>0</v>
      </c>
      <c r="P45" s="49" t="s">
        <v>0</v>
      </c>
    </row>
    <row r="46" spans="1:18" x14ac:dyDescent="0.25">
      <c r="A46" s="52" t="s">
        <v>59</v>
      </c>
      <c r="B46" s="149">
        <v>2025</v>
      </c>
      <c r="C46" s="149" t="s">
        <v>176</v>
      </c>
      <c r="D46" s="144" t="s">
        <v>60</v>
      </c>
      <c r="E46" s="139">
        <v>2310</v>
      </c>
      <c r="F46" s="137">
        <v>2355</v>
      </c>
      <c r="G46" s="53">
        <v>1.0194805194805194</v>
      </c>
      <c r="H46" s="143">
        <v>0</v>
      </c>
      <c r="I46" s="54">
        <v>2355</v>
      </c>
      <c r="J46" s="158" t="s">
        <v>59</v>
      </c>
      <c r="K46" t="s">
        <v>0</v>
      </c>
      <c r="L46" s="204"/>
      <c r="M46" s="204"/>
      <c r="N46" s="49" t="s">
        <v>0</v>
      </c>
      <c r="P46" s="49" t="s">
        <v>0</v>
      </c>
    </row>
    <row r="47" spans="1:18" x14ac:dyDescent="0.25">
      <c r="A47" s="55" t="s">
        <v>61</v>
      </c>
      <c r="B47" s="149">
        <v>-2203</v>
      </c>
      <c r="C47" s="149" t="s">
        <v>62</v>
      </c>
      <c r="D47" s="144" t="s">
        <v>62</v>
      </c>
      <c r="E47" s="139">
        <v>21723</v>
      </c>
      <c r="F47" s="137">
        <v>23296</v>
      </c>
      <c r="G47" s="53">
        <v>1</v>
      </c>
      <c r="H47" s="143">
        <v>10744.400000000001</v>
      </c>
      <c r="I47" s="54">
        <v>12551.599999999999</v>
      </c>
      <c r="J47" s="161" t="s">
        <v>61</v>
      </c>
      <c r="K47" t="s">
        <v>0</v>
      </c>
      <c r="L47" s="204"/>
      <c r="M47" s="204"/>
      <c r="N47" s="49" t="s">
        <v>0</v>
      </c>
      <c r="P47" s="49" t="s">
        <v>0</v>
      </c>
    </row>
    <row r="48" spans="1:18" x14ac:dyDescent="0.25">
      <c r="A48" s="55" t="s">
        <v>63</v>
      </c>
      <c r="B48" s="149">
        <v>1606</v>
      </c>
      <c r="C48" s="149" t="s">
        <v>177</v>
      </c>
      <c r="D48" s="144" t="s">
        <v>60</v>
      </c>
      <c r="E48" s="142">
        <v>8452.2000000000007</v>
      </c>
      <c r="F48" s="137">
        <v>8836</v>
      </c>
      <c r="G48" s="56">
        <v>1.0454082960649298</v>
      </c>
      <c r="H48" s="144">
        <v>0</v>
      </c>
      <c r="I48" s="54">
        <v>8836</v>
      </c>
      <c r="J48" s="161" t="s">
        <v>63</v>
      </c>
      <c r="K48" t="s">
        <v>0</v>
      </c>
      <c r="L48" s="204"/>
      <c r="M48" s="204"/>
      <c r="N48" s="49" t="s">
        <v>0</v>
      </c>
      <c r="O48" s="49" t="s">
        <v>0</v>
      </c>
      <c r="P48" s="49" t="s">
        <v>0</v>
      </c>
    </row>
    <row r="49" spans="1:16" x14ac:dyDescent="0.25">
      <c r="A49" s="55" t="s">
        <v>14</v>
      </c>
      <c r="B49" s="149">
        <v>4406</v>
      </c>
      <c r="C49" s="149">
        <v>10846</v>
      </c>
      <c r="D49" s="150">
        <v>2.4616432137993645</v>
      </c>
      <c r="E49" s="138">
        <v>11550</v>
      </c>
      <c r="F49" s="137">
        <v>11978</v>
      </c>
      <c r="G49" s="56">
        <v>1.037056277056277</v>
      </c>
      <c r="H49" s="144">
        <v>0</v>
      </c>
      <c r="I49" s="54">
        <v>11978</v>
      </c>
      <c r="J49" s="161" t="s">
        <v>14</v>
      </c>
      <c r="K49" t="s">
        <v>0</v>
      </c>
      <c r="L49" s="204"/>
      <c r="M49" s="204"/>
      <c r="N49" s="49" t="s">
        <v>0</v>
      </c>
      <c r="O49" s="49" t="s">
        <v>0</v>
      </c>
      <c r="P49" s="49" t="s">
        <v>0</v>
      </c>
    </row>
    <row r="50" spans="1:16" x14ac:dyDescent="0.25">
      <c r="A50" s="55" t="s">
        <v>64</v>
      </c>
      <c r="B50" s="149">
        <v>3428</v>
      </c>
      <c r="C50" s="149">
        <v>4713</v>
      </c>
      <c r="D50" s="150">
        <v>1.3748541423570595</v>
      </c>
      <c r="E50" s="138" t="s">
        <v>22</v>
      </c>
      <c r="F50" s="137">
        <v>4012.63</v>
      </c>
      <c r="G50" s="56" t="s">
        <v>22</v>
      </c>
      <c r="H50" s="144">
        <v>0</v>
      </c>
      <c r="I50" s="54" t="s">
        <v>22</v>
      </c>
      <c r="J50" s="161" t="s">
        <v>64</v>
      </c>
      <c r="K50" t="s">
        <v>0</v>
      </c>
      <c r="L50" s="49" t="s">
        <v>0</v>
      </c>
      <c r="M50" s="49" t="s">
        <v>0</v>
      </c>
      <c r="N50" s="49" t="s">
        <v>0</v>
      </c>
      <c r="O50" s="49" t="s">
        <v>0</v>
      </c>
      <c r="P50" s="49" t="s">
        <v>0</v>
      </c>
    </row>
    <row r="51" spans="1:16" x14ac:dyDescent="0.25">
      <c r="A51" s="55" t="s">
        <v>17</v>
      </c>
      <c r="B51" s="149">
        <v>4620</v>
      </c>
      <c r="C51" s="149">
        <v>6031</v>
      </c>
      <c r="D51" s="150">
        <v>1.3054112554112554</v>
      </c>
      <c r="E51" s="139">
        <v>6200</v>
      </c>
      <c r="F51" s="137">
        <v>6259</v>
      </c>
      <c r="G51" s="53">
        <v>1.0095161290322581</v>
      </c>
      <c r="H51" s="144">
        <v>0</v>
      </c>
      <c r="I51" s="54">
        <v>6259</v>
      </c>
      <c r="J51" s="158" t="s">
        <v>17</v>
      </c>
      <c r="K51" t="s">
        <v>0</v>
      </c>
      <c r="L51" s="49"/>
      <c r="M51" s="49" t="s">
        <v>0</v>
      </c>
      <c r="N51" s="49" t="s">
        <v>0</v>
      </c>
      <c r="O51" s="49" t="s">
        <v>0</v>
      </c>
      <c r="P51" s="49" t="s">
        <v>0</v>
      </c>
    </row>
    <row r="52" spans="1:16" x14ac:dyDescent="0.25">
      <c r="A52" s="52" t="s">
        <v>16</v>
      </c>
      <c r="B52" s="149">
        <v>-3270</v>
      </c>
      <c r="C52" s="149">
        <v>5254</v>
      </c>
      <c r="D52" s="144" t="s">
        <v>62</v>
      </c>
      <c r="E52" s="139">
        <v>18720</v>
      </c>
      <c r="F52" s="137">
        <v>18839</v>
      </c>
      <c r="G52" s="53">
        <v>1.0063568376068377</v>
      </c>
      <c r="H52" s="144">
        <v>0</v>
      </c>
      <c r="I52" s="54">
        <v>18839</v>
      </c>
      <c r="J52" s="158" t="s">
        <v>16</v>
      </c>
      <c r="K52" t="s">
        <v>0</v>
      </c>
      <c r="L52" s="49" t="s">
        <v>0</v>
      </c>
      <c r="M52" s="49" t="s">
        <v>0</v>
      </c>
      <c r="N52" s="49" t="s">
        <v>0</v>
      </c>
      <c r="O52" s="49" t="s">
        <v>0</v>
      </c>
      <c r="P52" s="49" t="s">
        <v>0</v>
      </c>
    </row>
    <row r="53" spans="1:16" x14ac:dyDescent="0.25">
      <c r="A53" s="52" t="s">
        <v>19</v>
      </c>
      <c r="B53" s="149">
        <v>2603</v>
      </c>
      <c r="C53" s="149">
        <v>3931</v>
      </c>
      <c r="D53" s="150">
        <v>1.5101805608912793</v>
      </c>
      <c r="E53" s="138">
        <v>3140</v>
      </c>
      <c r="F53" s="137">
        <v>3135</v>
      </c>
      <c r="G53" s="56">
        <v>0.99840764331210186</v>
      </c>
      <c r="H53" s="144">
        <v>0</v>
      </c>
      <c r="I53" s="54">
        <v>3135</v>
      </c>
      <c r="J53" s="158" t="s">
        <v>19</v>
      </c>
      <c r="K53" t="s">
        <v>0</v>
      </c>
      <c r="L53" s="49" t="s">
        <v>0</v>
      </c>
      <c r="M53" s="49" t="s">
        <v>0</v>
      </c>
      <c r="N53" s="49" t="s">
        <v>0</v>
      </c>
      <c r="O53" s="49" t="s">
        <v>0</v>
      </c>
      <c r="P53" s="49" t="s">
        <v>0</v>
      </c>
    </row>
    <row r="54" spans="1:16" x14ac:dyDescent="0.25">
      <c r="A54" s="52" t="s">
        <v>20</v>
      </c>
      <c r="B54" s="149">
        <v>2797</v>
      </c>
      <c r="C54" s="149">
        <v>5387</v>
      </c>
      <c r="D54" s="150">
        <v>1.9259921344297461</v>
      </c>
      <c r="E54" s="138">
        <v>5030</v>
      </c>
      <c r="F54" s="137">
        <v>5076</v>
      </c>
      <c r="G54" s="56">
        <v>1.009145129224652</v>
      </c>
      <c r="H54" s="143">
        <v>831.93924453280317</v>
      </c>
      <c r="I54" s="54">
        <v>4244.0607554671969</v>
      </c>
      <c r="J54" s="158" t="s">
        <v>20</v>
      </c>
      <c r="K54" t="s">
        <v>0</v>
      </c>
      <c r="L54" s="131"/>
      <c r="N54" s="49" t="s">
        <v>0</v>
      </c>
      <c r="O54" s="49" t="s">
        <v>0</v>
      </c>
      <c r="P54" s="49" t="s">
        <v>0</v>
      </c>
    </row>
    <row r="55" spans="1:16" x14ac:dyDescent="0.25">
      <c r="A55" s="52" t="s">
        <v>65</v>
      </c>
      <c r="B55" s="149">
        <v>1873</v>
      </c>
      <c r="C55" s="149" t="s">
        <v>178</v>
      </c>
      <c r="D55" s="144" t="s">
        <v>60</v>
      </c>
      <c r="E55" s="138">
        <v>2620</v>
      </c>
      <c r="F55" s="137">
        <v>2622</v>
      </c>
      <c r="G55" s="56">
        <v>1.000763358778626</v>
      </c>
      <c r="H55" s="143">
        <v>0</v>
      </c>
      <c r="I55" s="54">
        <v>2622</v>
      </c>
      <c r="J55" s="158" t="s">
        <v>65</v>
      </c>
      <c r="K55" t="s">
        <v>0</v>
      </c>
      <c r="L55" s="49" t="s">
        <v>0</v>
      </c>
      <c r="N55" s="49" t="s">
        <v>0</v>
      </c>
      <c r="O55" s="49" t="s">
        <v>0</v>
      </c>
      <c r="P55" s="49" t="s">
        <v>0</v>
      </c>
    </row>
    <row r="56" spans="1:16" x14ac:dyDescent="0.25">
      <c r="A56" s="52" t="s">
        <v>66</v>
      </c>
      <c r="B56" s="149">
        <v>5156</v>
      </c>
      <c r="C56" s="149">
        <v>5164</v>
      </c>
      <c r="D56" s="150">
        <v>1.0015515903801397</v>
      </c>
      <c r="E56" s="138">
        <v>21200</v>
      </c>
      <c r="F56" s="137">
        <v>23021</v>
      </c>
      <c r="G56" s="56">
        <v>1.0858962264150944</v>
      </c>
      <c r="H56" s="143">
        <v>0</v>
      </c>
      <c r="I56" s="54">
        <v>23021</v>
      </c>
      <c r="J56" s="158" t="s">
        <v>66</v>
      </c>
      <c r="K56" t="s">
        <v>0</v>
      </c>
      <c r="L56" s="49" t="s">
        <v>0</v>
      </c>
      <c r="N56" s="49" t="s">
        <v>0</v>
      </c>
      <c r="O56" s="49" t="s">
        <v>0</v>
      </c>
      <c r="P56" s="49" t="s">
        <v>0</v>
      </c>
    </row>
    <row r="57" spans="1:16" x14ac:dyDescent="0.25">
      <c r="A57" s="52" t="s">
        <v>67</v>
      </c>
      <c r="B57" s="149">
        <v>1161</v>
      </c>
      <c r="C57" s="149" t="s">
        <v>179</v>
      </c>
      <c r="D57" s="144" t="s">
        <v>60</v>
      </c>
      <c r="E57" s="138">
        <v>3660</v>
      </c>
      <c r="F57" s="137">
        <v>3673</v>
      </c>
      <c r="G57" s="56">
        <v>1.0035519125683061</v>
      </c>
      <c r="H57" s="143">
        <v>0</v>
      </c>
      <c r="I57" s="54">
        <v>3673</v>
      </c>
      <c r="J57" s="158" t="s">
        <v>67</v>
      </c>
      <c r="K57" t="s">
        <v>0</v>
      </c>
      <c r="L57" s="49" t="s">
        <v>0</v>
      </c>
      <c r="M57" s="49" t="s">
        <v>0</v>
      </c>
      <c r="P57" s="49" t="s">
        <v>0</v>
      </c>
    </row>
    <row r="58" spans="1:16" x14ac:dyDescent="0.25">
      <c r="A58" s="52" t="s">
        <v>12</v>
      </c>
      <c r="B58" s="149">
        <v>1435</v>
      </c>
      <c r="C58" s="149">
        <v>2030</v>
      </c>
      <c r="D58" s="150">
        <v>1.4146341463414633</v>
      </c>
      <c r="E58" s="138" t="s">
        <v>22</v>
      </c>
      <c r="F58" s="137">
        <v>2236.857</v>
      </c>
      <c r="G58" s="56" t="s">
        <v>22</v>
      </c>
      <c r="H58" s="143">
        <v>0</v>
      </c>
      <c r="I58" s="54">
        <v>2236.857</v>
      </c>
      <c r="J58" s="158" t="s">
        <v>12</v>
      </c>
      <c r="K58" t="s">
        <v>0</v>
      </c>
      <c r="L58" s="49" t="s">
        <v>0</v>
      </c>
      <c r="M58" s="49" t="s">
        <v>0</v>
      </c>
      <c r="P58" s="49" t="s">
        <v>0</v>
      </c>
    </row>
    <row r="59" spans="1:16" x14ac:dyDescent="0.25">
      <c r="A59" s="52" t="s">
        <v>68</v>
      </c>
      <c r="B59" s="149">
        <v>883</v>
      </c>
      <c r="C59" s="149" t="s">
        <v>180</v>
      </c>
      <c r="D59" s="144" t="s">
        <v>60</v>
      </c>
      <c r="E59" s="138">
        <v>1950</v>
      </c>
      <c r="F59" s="137">
        <v>2362.0351282051283</v>
      </c>
      <c r="G59" s="56">
        <v>1.2113000657462196</v>
      </c>
      <c r="H59" s="143">
        <v>20.944153846153842</v>
      </c>
      <c r="I59" s="54">
        <v>2341.0909743589746</v>
      </c>
      <c r="J59" s="158" t="s">
        <v>68</v>
      </c>
      <c r="K59" t="s">
        <v>0</v>
      </c>
      <c r="L59" s="49" t="s">
        <v>0</v>
      </c>
      <c r="M59" s="49" t="s">
        <v>0</v>
      </c>
      <c r="P59" s="49" t="s">
        <v>0</v>
      </c>
    </row>
    <row r="60" spans="1:16" x14ac:dyDescent="0.25">
      <c r="A60" s="52" t="s">
        <v>69</v>
      </c>
      <c r="B60" s="149">
        <v>3779</v>
      </c>
      <c r="C60" s="149" t="s">
        <v>181</v>
      </c>
      <c r="D60" s="144" t="s">
        <v>60</v>
      </c>
      <c r="E60" s="138">
        <v>5730</v>
      </c>
      <c r="F60" s="137">
        <v>5719</v>
      </c>
      <c r="G60" s="56">
        <v>0.99808027923211173</v>
      </c>
      <c r="H60" s="144">
        <v>0</v>
      </c>
      <c r="I60" s="54">
        <v>5719</v>
      </c>
      <c r="J60" s="158" t="s">
        <v>69</v>
      </c>
      <c r="K60" t="s">
        <v>0</v>
      </c>
      <c r="L60" s="49" t="s">
        <v>0</v>
      </c>
      <c r="M60" s="49" t="s">
        <v>0</v>
      </c>
      <c r="N60" s="49" t="s">
        <v>0</v>
      </c>
      <c r="P60" s="49" t="s">
        <v>0</v>
      </c>
    </row>
    <row r="61" spans="1:16" x14ac:dyDescent="0.25">
      <c r="A61" s="52" t="s">
        <v>70</v>
      </c>
      <c r="B61" s="149">
        <v>1503</v>
      </c>
      <c r="C61" s="149" t="s">
        <v>182</v>
      </c>
      <c r="D61" s="144" t="s">
        <v>60</v>
      </c>
      <c r="E61" s="138">
        <v>2900</v>
      </c>
      <c r="F61" s="137">
        <v>2958</v>
      </c>
      <c r="G61" s="56">
        <v>1.02</v>
      </c>
      <c r="H61" s="144">
        <v>0</v>
      </c>
      <c r="I61" s="54">
        <v>2958</v>
      </c>
      <c r="J61" s="158" t="s">
        <v>70</v>
      </c>
      <c r="K61" t="s">
        <v>0</v>
      </c>
      <c r="L61" s="49" t="s">
        <v>0</v>
      </c>
      <c r="M61" s="49" t="s">
        <v>0</v>
      </c>
      <c r="N61" s="49" t="s">
        <v>0</v>
      </c>
      <c r="P61" s="49" t="s">
        <v>0</v>
      </c>
    </row>
    <row r="62" spans="1:16" x14ac:dyDescent="0.25">
      <c r="A62" s="52" t="s">
        <v>71</v>
      </c>
      <c r="B62" s="149" t="s">
        <v>22</v>
      </c>
      <c r="C62" s="149" t="s">
        <v>22</v>
      </c>
      <c r="D62" s="144" t="s">
        <v>22</v>
      </c>
      <c r="E62" s="138">
        <v>60</v>
      </c>
      <c r="F62" s="137">
        <v>60</v>
      </c>
      <c r="G62" s="56">
        <v>1</v>
      </c>
      <c r="H62" s="144">
        <v>0</v>
      </c>
      <c r="I62" s="54">
        <v>60</v>
      </c>
      <c r="J62" s="158" t="s">
        <v>71</v>
      </c>
      <c r="K62" t="s">
        <v>0</v>
      </c>
      <c r="L62" s="49" t="s">
        <v>0</v>
      </c>
      <c r="M62" s="49" t="s">
        <v>0</v>
      </c>
      <c r="N62" s="49" t="s">
        <v>0</v>
      </c>
      <c r="P62" s="49" t="s">
        <v>0</v>
      </c>
    </row>
    <row r="63" spans="1:16" x14ac:dyDescent="0.25">
      <c r="A63" s="52" t="s">
        <v>72</v>
      </c>
      <c r="B63" s="149">
        <v>2900</v>
      </c>
      <c r="C63" s="149" t="s">
        <v>183</v>
      </c>
      <c r="D63" s="144" t="s">
        <v>60</v>
      </c>
      <c r="E63" s="138">
        <v>8030</v>
      </c>
      <c r="F63" s="137">
        <v>8119</v>
      </c>
      <c r="G63" s="56">
        <v>1.0110834371108344</v>
      </c>
      <c r="H63" s="144">
        <v>0</v>
      </c>
      <c r="I63" s="54">
        <v>8119</v>
      </c>
      <c r="J63" s="158" t="s">
        <v>72</v>
      </c>
      <c r="K63" t="s">
        <v>0</v>
      </c>
      <c r="L63" s="49" t="s">
        <v>0</v>
      </c>
      <c r="M63" s="49" t="s">
        <v>0</v>
      </c>
      <c r="N63" s="49" t="s">
        <v>0</v>
      </c>
      <c r="P63" s="49" t="s">
        <v>0</v>
      </c>
    </row>
    <row r="64" spans="1:16" x14ac:dyDescent="0.25">
      <c r="A64" s="52" t="s">
        <v>73</v>
      </c>
      <c r="B64" s="149">
        <v>314</v>
      </c>
      <c r="C64" s="149" t="s">
        <v>184</v>
      </c>
      <c r="D64" s="144" t="s">
        <v>62</v>
      </c>
      <c r="E64" s="138">
        <v>2730</v>
      </c>
      <c r="F64" s="137">
        <v>2745</v>
      </c>
      <c r="G64" s="56">
        <v>1.0054945054945055</v>
      </c>
      <c r="H64" s="144">
        <v>0</v>
      </c>
      <c r="I64" s="54">
        <v>2745</v>
      </c>
      <c r="J64" s="158" t="s">
        <v>73</v>
      </c>
      <c r="K64" t="s">
        <v>0</v>
      </c>
      <c r="L64" s="49" t="s">
        <v>0</v>
      </c>
      <c r="M64" s="49" t="s">
        <v>0</v>
      </c>
      <c r="N64" s="49" t="s">
        <v>0</v>
      </c>
      <c r="P64" s="49" t="s">
        <v>0</v>
      </c>
    </row>
    <row r="65" spans="1:16" x14ac:dyDescent="0.25">
      <c r="A65" s="52" t="s">
        <v>13</v>
      </c>
      <c r="B65" s="149">
        <v>4336</v>
      </c>
      <c r="C65" s="149">
        <v>6572</v>
      </c>
      <c r="D65" s="150">
        <v>1.5156826568265682</v>
      </c>
      <c r="E65" s="138">
        <v>5810</v>
      </c>
      <c r="F65" s="137">
        <v>5818</v>
      </c>
      <c r="G65" s="56">
        <v>1.0013769363166953</v>
      </c>
      <c r="H65" s="144">
        <v>0</v>
      </c>
      <c r="I65" s="54">
        <v>5818</v>
      </c>
      <c r="J65" s="158" t="s">
        <v>13</v>
      </c>
      <c r="K65" t="s">
        <v>0</v>
      </c>
      <c r="L65" s="49" t="s">
        <v>0</v>
      </c>
      <c r="M65" s="49" t="s">
        <v>0</v>
      </c>
      <c r="N65" s="49" t="s">
        <v>0</v>
      </c>
      <c r="P65" s="49" t="s">
        <v>0</v>
      </c>
    </row>
    <row r="66" spans="1:16" ht="15.75" x14ac:dyDescent="0.25">
      <c r="A66" s="52" t="s">
        <v>74</v>
      </c>
      <c r="B66" s="149">
        <v>-145</v>
      </c>
      <c r="C66" s="151">
        <v>4681</v>
      </c>
      <c r="D66" s="144" t="s">
        <v>62</v>
      </c>
      <c r="E66" s="138">
        <v>7034.2</v>
      </c>
      <c r="F66" s="137">
        <v>7040</v>
      </c>
      <c r="G66" s="56">
        <v>1.0008245429473146</v>
      </c>
      <c r="H66" s="144">
        <v>0</v>
      </c>
      <c r="I66" s="54">
        <v>7040</v>
      </c>
      <c r="J66" s="158" t="s">
        <v>74</v>
      </c>
      <c r="K66" t="s">
        <v>0</v>
      </c>
      <c r="L66" s="49" t="s">
        <v>0</v>
      </c>
      <c r="M66" s="49" t="s">
        <v>0</v>
      </c>
      <c r="N66" s="49" t="s">
        <v>0</v>
      </c>
      <c r="P66" s="49" t="s">
        <v>0</v>
      </c>
    </row>
    <row r="67" spans="1:16" x14ac:dyDescent="0.25">
      <c r="A67" s="52" t="s">
        <v>10</v>
      </c>
      <c r="B67" s="149">
        <v>6389</v>
      </c>
      <c r="C67" s="149">
        <v>8501</v>
      </c>
      <c r="D67" s="150">
        <v>1.3305681640319298</v>
      </c>
      <c r="E67" s="138">
        <v>9420</v>
      </c>
      <c r="F67" s="137">
        <v>9584</v>
      </c>
      <c r="G67" s="56">
        <v>1.0174097664543524</v>
      </c>
      <c r="H67" s="144">
        <v>0</v>
      </c>
      <c r="I67" s="54">
        <v>9584</v>
      </c>
      <c r="J67" s="158" t="s">
        <v>10</v>
      </c>
      <c r="K67" t="s">
        <v>0</v>
      </c>
      <c r="L67" s="49" t="s">
        <v>0</v>
      </c>
      <c r="M67" s="49" t="s">
        <v>0</v>
      </c>
      <c r="N67" s="49" t="s">
        <v>0</v>
      </c>
      <c r="P67" s="49" t="s">
        <v>0</v>
      </c>
    </row>
    <row r="68" spans="1:16" x14ac:dyDescent="0.25">
      <c r="A68" s="52" t="s">
        <v>11</v>
      </c>
      <c r="B68" s="149">
        <v>2957</v>
      </c>
      <c r="C68" s="149">
        <v>4282</v>
      </c>
      <c r="D68" s="150">
        <v>1.4480892796753466</v>
      </c>
      <c r="E68" s="138" t="s">
        <v>22</v>
      </c>
      <c r="F68" s="137">
        <v>4878.2560000000003</v>
      </c>
      <c r="G68" s="56" t="s">
        <v>22</v>
      </c>
      <c r="H68" s="144">
        <v>0</v>
      </c>
      <c r="I68" s="54">
        <v>4878.2560000000003</v>
      </c>
      <c r="J68" s="158" t="s">
        <v>11</v>
      </c>
      <c r="K68" t="s">
        <v>0</v>
      </c>
      <c r="L68" s="49" t="s">
        <v>0</v>
      </c>
      <c r="M68" s="49" t="s">
        <v>0</v>
      </c>
      <c r="N68" s="49" t="s">
        <v>0</v>
      </c>
      <c r="P68" s="49" t="s">
        <v>0</v>
      </c>
    </row>
    <row r="69" spans="1:16" x14ac:dyDescent="0.25">
      <c r="A69" s="52" t="s">
        <v>75</v>
      </c>
      <c r="B69" s="149" t="s">
        <v>22</v>
      </c>
      <c r="C69" s="149" t="s">
        <v>22</v>
      </c>
      <c r="D69" s="144" t="s">
        <v>22</v>
      </c>
      <c r="E69" s="138">
        <v>390</v>
      </c>
      <c r="F69" s="137">
        <v>388</v>
      </c>
      <c r="G69" s="56">
        <v>0.99487179487179489</v>
      </c>
      <c r="H69" s="144">
        <v>0</v>
      </c>
      <c r="I69" s="54">
        <v>388</v>
      </c>
      <c r="J69" s="158" t="s">
        <v>75</v>
      </c>
      <c r="K69" t="s">
        <v>76</v>
      </c>
      <c r="L69" s="49" t="s">
        <v>0</v>
      </c>
      <c r="M69" s="49" t="s">
        <v>0</v>
      </c>
      <c r="N69" s="49" t="s">
        <v>0</v>
      </c>
      <c r="P69" s="49" t="s">
        <v>0</v>
      </c>
    </row>
    <row r="70" spans="1:16" x14ac:dyDescent="0.25">
      <c r="A70" s="52" t="s">
        <v>8</v>
      </c>
      <c r="B70" s="149">
        <v>5335</v>
      </c>
      <c r="C70" s="149">
        <v>8717</v>
      </c>
      <c r="D70" s="150">
        <v>1.6339268978444237</v>
      </c>
      <c r="E70" s="138" t="s">
        <v>22</v>
      </c>
      <c r="F70" s="138">
        <v>29838</v>
      </c>
      <c r="G70" s="57" t="s">
        <v>22</v>
      </c>
      <c r="H70" s="138">
        <v>0</v>
      </c>
      <c r="I70" s="215" t="s">
        <v>0</v>
      </c>
      <c r="J70" s="158" t="s">
        <v>8</v>
      </c>
      <c r="K70" t="s">
        <v>0</v>
      </c>
      <c r="L70" s="49" t="s">
        <v>0</v>
      </c>
      <c r="M70" s="49" t="s">
        <v>0</v>
      </c>
      <c r="N70" s="49" t="s">
        <v>0</v>
      </c>
      <c r="P70" s="49" t="s">
        <v>0</v>
      </c>
    </row>
    <row r="71" spans="1:16" x14ac:dyDescent="0.25">
      <c r="A71" s="55" t="s">
        <v>9</v>
      </c>
      <c r="B71" s="149">
        <v>6772</v>
      </c>
      <c r="C71" s="149">
        <v>8467</v>
      </c>
      <c r="D71" s="150">
        <v>1.2502953337271117</v>
      </c>
      <c r="E71" s="139" t="s">
        <v>22</v>
      </c>
      <c r="F71" s="139">
        <v>12077</v>
      </c>
      <c r="G71" s="57" t="s">
        <v>22</v>
      </c>
      <c r="H71" s="138">
        <v>0</v>
      </c>
      <c r="I71" s="216"/>
      <c r="J71" s="158" t="s">
        <v>9</v>
      </c>
      <c r="K71" t="s">
        <v>0</v>
      </c>
      <c r="L71" s="49" t="s">
        <v>0</v>
      </c>
      <c r="M71" s="49" t="s">
        <v>0</v>
      </c>
      <c r="N71" s="49" t="s">
        <v>0</v>
      </c>
      <c r="P71" s="49" t="s">
        <v>0</v>
      </c>
    </row>
    <row r="72" spans="1:16" ht="15.75" x14ac:dyDescent="0.25">
      <c r="A72" s="55" t="s">
        <v>77</v>
      </c>
      <c r="B72" s="149">
        <v>-6889</v>
      </c>
      <c r="C72" s="149" t="s">
        <v>62</v>
      </c>
      <c r="D72" s="144" t="s">
        <v>62</v>
      </c>
      <c r="E72" s="139" t="s">
        <v>22</v>
      </c>
      <c r="F72" s="139">
        <v>12743</v>
      </c>
      <c r="G72" s="57" t="s">
        <v>22</v>
      </c>
      <c r="H72" s="138">
        <v>0</v>
      </c>
      <c r="I72" s="216"/>
      <c r="J72" s="161" t="s">
        <v>77</v>
      </c>
      <c r="K72" t="s">
        <v>0</v>
      </c>
      <c r="L72" s="49" t="s">
        <v>0</v>
      </c>
      <c r="M72" s="49" t="s">
        <v>0</v>
      </c>
      <c r="N72" s="49" t="s">
        <v>0</v>
      </c>
      <c r="P72" s="58"/>
    </row>
    <row r="73" spans="1:16" ht="15.75" x14ac:dyDescent="0.25">
      <c r="A73" s="55" t="s">
        <v>7</v>
      </c>
      <c r="B73" s="149">
        <v>-1207</v>
      </c>
      <c r="C73" s="149" t="s">
        <v>62</v>
      </c>
      <c r="D73" s="144" t="s">
        <v>62</v>
      </c>
      <c r="E73" s="139" t="s">
        <v>22</v>
      </c>
      <c r="F73" s="139">
        <v>54658</v>
      </c>
      <c r="G73" s="57" t="s">
        <v>22</v>
      </c>
      <c r="H73" s="138">
        <v>0</v>
      </c>
      <c r="I73" s="216"/>
      <c r="J73" s="158" t="s">
        <v>7</v>
      </c>
      <c r="K73" t="s">
        <v>0</v>
      </c>
      <c r="O73" s="58"/>
      <c r="P73" s="58"/>
    </row>
    <row r="74" spans="1:16" ht="15.75" x14ac:dyDescent="0.25">
      <c r="A74" s="55" t="s">
        <v>78</v>
      </c>
      <c r="B74" s="149">
        <v>-2334</v>
      </c>
      <c r="C74" s="149" t="s">
        <v>62</v>
      </c>
      <c r="D74" s="144" t="s">
        <v>62</v>
      </c>
      <c r="E74" s="138" t="s">
        <v>22</v>
      </c>
      <c r="F74" s="138">
        <v>76204.035128205127</v>
      </c>
      <c r="G74" s="57" t="s">
        <v>22</v>
      </c>
      <c r="H74" s="138">
        <v>11597.283398378959</v>
      </c>
      <c r="I74" s="217"/>
      <c r="J74" s="161" t="s">
        <v>78</v>
      </c>
      <c r="K74" t="s">
        <v>0</v>
      </c>
      <c r="O74" s="58"/>
      <c r="P74" s="58"/>
    </row>
    <row r="75" spans="1:16" ht="15.75" x14ac:dyDescent="0.25">
      <c r="A75" s="218" t="s">
        <v>79</v>
      </c>
      <c r="B75" s="219"/>
      <c r="C75" s="219"/>
      <c r="D75" s="219"/>
      <c r="E75" s="219"/>
      <c r="F75" s="219"/>
      <c r="G75" s="219"/>
      <c r="H75" s="219"/>
      <c r="I75" s="219"/>
      <c r="J75" s="219"/>
      <c r="K75" t="s">
        <v>0</v>
      </c>
      <c r="O75" s="58"/>
      <c r="P75" s="58"/>
    </row>
    <row r="76" spans="1:16" ht="15.75" x14ac:dyDescent="0.25">
      <c r="A76" s="222" t="s">
        <v>0</v>
      </c>
      <c r="B76" s="223"/>
      <c r="C76" s="223"/>
      <c r="D76" s="223"/>
      <c r="E76" s="223"/>
      <c r="F76" s="223"/>
      <c r="G76" s="223"/>
      <c r="H76" s="223"/>
      <c r="I76" s="223"/>
      <c r="J76" s="223"/>
      <c r="K76" t="s">
        <v>0</v>
      </c>
      <c r="O76" s="58"/>
      <c r="P76" s="58"/>
    </row>
    <row r="77" spans="1:16" ht="15.75" x14ac:dyDescent="0.25">
      <c r="A77" s="214" t="s">
        <v>80</v>
      </c>
      <c r="B77" s="214"/>
      <c r="C77" s="214"/>
      <c r="D77" s="214"/>
      <c r="E77" s="214"/>
      <c r="F77" s="214"/>
      <c r="G77" s="214"/>
      <c r="H77" s="214"/>
      <c r="I77" s="214"/>
      <c r="J77" s="214"/>
      <c r="K77" t="s">
        <v>0</v>
      </c>
    </row>
    <row r="78" spans="1:16" ht="15.75" x14ac:dyDescent="0.25">
      <c r="A78" s="47" t="s">
        <v>81</v>
      </c>
      <c r="B78" s="211" t="s">
        <v>82</v>
      </c>
      <c r="C78" s="212"/>
      <c r="D78" s="211" t="s">
        <v>83</v>
      </c>
      <c r="E78" s="213"/>
      <c r="F78" s="213"/>
      <c r="G78" s="213"/>
      <c r="H78" s="213"/>
      <c r="I78" s="213"/>
      <c r="J78" s="212"/>
      <c r="K78" t="s">
        <v>0</v>
      </c>
    </row>
    <row r="79" spans="1:16" ht="39.950000000000003" customHeight="1" x14ac:dyDescent="0.25">
      <c r="A79" s="52" t="s">
        <v>7</v>
      </c>
      <c r="B79" s="230" t="s">
        <v>174</v>
      </c>
      <c r="C79" s="231"/>
      <c r="D79" s="232" t="s">
        <v>141</v>
      </c>
      <c r="E79" s="233"/>
      <c r="F79" s="233"/>
      <c r="G79" s="233"/>
      <c r="H79" s="233"/>
      <c r="I79" s="233"/>
      <c r="J79" s="234"/>
      <c r="K79" t="s">
        <v>0</v>
      </c>
    </row>
    <row r="80" spans="1:16" ht="39.950000000000003" customHeight="1" x14ac:dyDescent="0.25">
      <c r="A80" s="52" t="s">
        <v>8</v>
      </c>
      <c r="B80" s="230" t="s">
        <v>175</v>
      </c>
      <c r="C80" s="231"/>
      <c r="D80" s="232" t="s">
        <v>140</v>
      </c>
      <c r="E80" s="235"/>
      <c r="F80" s="235"/>
      <c r="G80" s="235"/>
      <c r="H80" s="235"/>
      <c r="I80" s="235"/>
      <c r="J80" s="231"/>
      <c r="K80" t="s">
        <v>0</v>
      </c>
    </row>
    <row r="81" spans="1:11" ht="39.950000000000003" customHeight="1" x14ac:dyDescent="0.25">
      <c r="A81" s="52" t="s">
        <v>9</v>
      </c>
      <c r="B81" s="230" t="s">
        <v>175</v>
      </c>
      <c r="C81" s="231"/>
      <c r="D81" s="232" t="s">
        <v>146</v>
      </c>
      <c r="E81" s="233"/>
      <c r="F81" s="233"/>
      <c r="G81" s="233"/>
      <c r="H81" s="233"/>
      <c r="I81" s="233"/>
      <c r="J81" s="234"/>
      <c r="K81" t="s">
        <v>0</v>
      </c>
    </row>
    <row r="82" spans="1:11" ht="80.099999999999994" customHeight="1" x14ac:dyDescent="0.25">
      <c r="A82" s="52" t="s">
        <v>10</v>
      </c>
      <c r="B82" s="230" t="s">
        <v>174</v>
      </c>
      <c r="C82" s="231"/>
      <c r="D82" s="232" t="s">
        <v>144</v>
      </c>
      <c r="E82" s="233"/>
      <c r="F82" s="233"/>
      <c r="G82" s="233"/>
      <c r="H82" s="233"/>
      <c r="I82" s="233"/>
      <c r="J82" s="234"/>
      <c r="K82" t="s">
        <v>0</v>
      </c>
    </row>
    <row r="83" spans="1:11" ht="39.950000000000003" customHeight="1" x14ac:dyDescent="0.25">
      <c r="A83" s="52" t="s">
        <v>84</v>
      </c>
      <c r="B83" s="230" t="s">
        <v>174</v>
      </c>
      <c r="C83" s="231"/>
      <c r="D83" s="236" t="s">
        <v>145</v>
      </c>
      <c r="E83" s="233"/>
      <c r="F83" s="233"/>
      <c r="G83" s="233"/>
      <c r="H83" s="233"/>
      <c r="I83" s="233"/>
      <c r="J83" s="234"/>
      <c r="K83" t="s">
        <v>0</v>
      </c>
    </row>
    <row r="84" spans="1:11" ht="39.950000000000003" customHeight="1" x14ac:dyDescent="0.25">
      <c r="A84" s="52" t="s">
        <v>85</v>
      </c>
      <c r="B84" s="230" t="s">
        <v>174</v>
      </c>
      <c r="C84" s="231"/>
      <c r="D84" s="232" t="s">
        <v>138</v>
      </c>
      <c r="E84" s="233"/>
      <c r="F84" s="233"/>
      <c r="G84" s="233"/>
      <c r="H84" s="233"/>
      <c r="I84" s="233"/>
      <c r="J84" s="234"/>
      <c r="K84" t="s">
        <v>0</v>
      </c>
    </row>
    <row r="85" spans="1:11" ht="39.950000000000003" customHeight="1" x14ac:dyDescent="0.25">
      <c r="A85" s="52" t="s">
        <v>13</v>
      </c>
      <c r="B85" s="230" t="s">
        <v>174</v>
      </c>
      <c r="C85" s="231"/>
      <c r="D85" s="232" t="s">
        <v>142</v>
      </c>
      <c r="E85" s="233"/>
      <c r="F85" s="233"/>
      <c r="G85" s="233"/>
      <c r="H85" s="233"/>
      <c r="I85" s="233"/>
      <c r="J85" s="234"/>
      <c r="K85" t="s">
        <v>0</v>
      </c>
    </row>
    <row r="86" spans="1:11" ht="39.950000000000003" customHeight="1" x14ac:dyDescent="0.25">
      <c r="A86" s="55" t="s">
        <v>14</v>
      </c>
      <c r="B86" s="230" t="s">
        <v>174</v>
      </c>
      <c r="C86" s="231"/>
      <c r="D86" s="232" t="s">
        <v>133</v>
      </c>
      <c r="E86" s="235"/>
      <c r="F86" s="235"/>
      <c r="G86" s="235"/>
      <c r="H86" s="235"/>
      <c r="I86" s="235"/>
      <c r="J86" s="231"/>
      <c r="K86" t="s">
        <v>0</v>
      </c>
    </row>
    <row r="87" spans="1:11" ht="39.950000000000003" customHeight="1" x14ac:dyDescent="0.25">
      <c r="A87" s="55" t="s">
        <v>64</v>
      </c>
      <c r="B87" s="230" t="s">
        <v>174</v>
      </c>
      <c r="C87" s="231"/>
      <c r="D87" s="232" t="s">
        <v>135</v>
      </c>
      <c r="E87" s="235"/>
      <c r="F87" s="235"/>
      <c r="G87" s="235"/>
      <c r="H87" s="235"/>
      <c r="I87" s="235"/>
      <c r="J87" s="231"/>
      <c r="K87" t="s">
        <v>0</v>
      </c>
    </row>
    <row r="88" spans="1:11" ht="39.950000000000003" customHeight="1" x14ac:dyDescent="0.25">
      <c r="A88" s="55" t="s">
        <v>16</v>
      </c>
      <c r="B88" s="230" t="s">
        <v>174</v>
      </c>
      <c r="C88" s="231"/>
      <c r="D88" s="232" t="s">
        <v>136</v>
      </c>
      <c r="E88" s="235"/>
      <c r="F88" s="235"/>
      <c r="G88" s="235"/>
      <c r="H88" s="235"/>
      <c r="I88" s="235"/>
      <c r="J88" s="231"/>
      <c r="K88" t="s">
        <v>0</v>
      </c>
    </row>
    <row r="89" spans="1:11" ht="39.950000000000003" customHeight="1" x14ac:dyDescent="0.25">
      <c r="A89" s="55" t="s">
        <v>17</v>
      </c>
      <c r="B89" s="230" t="s">
        <v>175</v>
      </c>
      <c r="C89" s="231"/>
      <c r="D89" s="230" t="s">
        <v>134</v>
      </c>
      <c r="E89" s="235"/>
      <c r="F89" s="235"/>
      <c r="G89" s="235"/>
      <c r="H89" s="235"/>
      <c r="I89" s="235"/>
      <c r="J89" s="231"/>
      <c r="K89" t="s">
        <v>0</v>
      </c>
    </row>
    <row r="90" spans="1:11" ht="39.950000000000003" customHeight="1" x14ac:dyDescent="0.25">
      <c r="A90" s="55" t="s">
        <v>18</v>
      </c>
      <c r="B90" s="230" t="s">
        <v>174</v>
      </c>
      <c r="C90" s="231"/>
      <c r="D90" s="232" t="s">
        <v>143</v>
      </c>
      <c r="E90" s="233"/>
      <c r="F90" s="233"/>
      <c r="G90" s="233"/>
      <c r="H90" s="233"/>
      <c r="I90" s="233"/>
      <c r="J90" s="234"/>
      <c r="K90" t="s">
        <v>0</v>
      </c>
    </row>
    <row r="91" spans="1:11" ht="39.950000000000003" customHeight="1" x14ac:dyDescent="0.25">
      <c r="A91" s="55" t="s">
        <v>19</v>
      </c>
      <c r="B91" s="230" t="s">
        <v>174</v>
      </c>
      <c r="C91" s="231"/>
      <c r="D91" s="232" t="s">
        <v>137</v>
      </c>
      <c r="E91" s="233"/>
      <c r="F91" s="233"/>
      <c r="G91" s="233"/>
      <c r="H91" s="233"/>
      <c r="I91" s="233"/>
      <c r="J91" s="234"/>
      <c r="K91" t="s">
        <v>0</v>
      </c>
    </row>
    <row r="92" spans="1:11" ht="39.950000000000003" customHeight="1" x14ac:dyDescent="0.25">
      <c r="A92" s="55" t="s">
        <v>20</v>
      </c>
      <c r="B92" s="230" t="s">
        <v>174</v>
      </c>
      <c r="C92" s="231"/>
      <c r="D92" s="232" t="s">
        <v>139</v>
      </c>
      <c r="E92" s="233"/>
      <c r="F92" s="233"/>
      <c r="G92" s="233"/>
      <c r="H92" s="233"/>
      <c r="I92" s="233"/>
      <c r="J92" s="234"/>
      <c r="K92" t="s">
        <v>0</v>
      </c>
    </row>
    <row r="93" spans="1:11" ht="39.950000000000003" customHeight="1" x14ac:dyDescent="0.25">
      <c r="A93" s="55" t="s">
        <v>66</v>
      </c>
      <c r="B93" s="230" t="s">
        <v>174</v>
      </c>
      <c r="C93" s="231"/>
      <c r="D93" s="232" t="s">
        <v>147</v>
      </c>
      <c r="E93" s="233"/>
      <c r="F93" s="233"/>
      <c r="G93" s="233"/>
      <c r="H93" s="233"/>
      <c r="I93" s="233"/>
      <c r="J93" s="234"/>
    </row>
    <row r="94" spans="1:11" x14ac:dyDescent="0.25">
      <c r="A94" s="237" t="s">
        <v>189</v>
      </c>
      <c r="B94" s="237"/>
      <c r="C94" s="237"/>
      <c r="D94" s="237"/>
      <c r="E94" s="237"/>
      <c r="F94" s="237"/>
      <c r="G94" s="237"/>
      <c r="H94" s="237"/>
      <c r="I94" s="237"/>
      <c r="J94" s="237"/>
    </row>
    <row r="95" spans="1:11" x14ac:dyDescent="0.25">
      <c r="A95" s="205" t="s">
        <v>188</v>
      </c>
      <c r="B95" s="206"/>
      <c r="C95" s="206"/>
      <c r="D95" s="206"/>
      <c r="E95" s="206"/>
      <c r="F95" s="206"/>
      <c r="G95" s="206"/>
      <c r="H95" s="206"/>
      <c r="I95" s="206"/>
      <c r="J95" s="207"/>
    </row>
    <row r="96" spans="1:11" x14ac:dyDescent="0.25">
      <c r="A96" s="205" t="s">
        <v>187</v>
      </c>
      <c r="B96" s="206"/>
      <c r="C96" s="206"/>
      <c r="D96" s="206"/>
      <c r="E96" s="206"/>
      <c r="F96" s="206"/>
      <c r="G96" s="206"/>
      <c r="H96" s="206"/>
      <c r="I96" s="206"/>
      <c r="J96" s="207"/>
    </row>
    <row r="97" spans="1:10" x14ac:dyDescent="0.25">
      <c r="A97" s="205" t="s">
        <v>186</v>
      </c>
      <c r="B97" s="206"/>
      <c r="C97" s="206"/>
      <c r="D97" s="206"/>
      <c r="E97" s="206"/>
      <c r="F97" s="206"/>
      <c r="G97" s="206"/>
      <c r="H97" s="206"/>
      <c r="I97" s="206"/>
      <c r="J97" s="207"/>
    </row>
  </sheetData>
  <mergeCells count="50">
    <mergeCell ref="A97:J97"/>
    <mergeCell ref="A96:J96"/>
    <mergeCell ref="B87:C87"/>
    <mergeCell ref="D87:J87"/>
    <mergeCell ref="B93:C93"/>
    <mergeCell ref="D93:J93"/>
    <mergeCell ref="B88:C88"/>
    <mergeCell ref="D88:J88"/>
    <mergeCell ref="B92:C92"/>
    <mergeCell ref="D92:J92"/>
    <mergeCell ref="B89:C89"/>
    <mergeCell ref="D89:J89"/>
    <mergeCell ref="B90:C90"/>
    <mergeCell ref="D90:J90"/>
    <mergeCell ref="B91:C91"/>
    <mergeCell ref="D91:J91"/>
    <mergeCell ref="A94:J94"/>
    <mergeCell ref="B84:C84"/>
    <mergeCell ref="D84:J84"/>
    <mergeCell ref="B85:C85"/>
    <mergeCell ref="D85:J85"/>
    <mergeCell ref="B86:C86"/>
    <mergeCell ref="D86:J86"/>
    <mergeCell ref="B81:C81"/>
    <mergeCell ref="D81:J81"/>
    <mergeCell ref="B82:C82"/>
    <mergeCell ref="D82:J82"/>
    <mergeCell ref="B83:C83"/>
    <mergeCell ref="D83:J83"/>
    <mergeCell ref="A40:Q40"/>
    <mergeCell ref="B79:C79"/>
    <mergeCell ref="D79:J79"/>
    <mergeCell ref="B80:C80"/>
    <mergeCell ref="D80:J80"/>
    <mergeCell ref="A95:J95"/>
    <mergeCell ref="C3:Q3"/>
    <mergeCell ref="C4:Q4"/>
    <mergeCell ref="C5:Q5"/>
    <mergeCell ref="C6:Q6"/>
    <mergeCell ref="C7:Q7"/>
    <mergeCell ref="B78:C78"/>
    <mergeCell ref="D78:J78"/>
    <mergeCell ref="A43:I43"/>
    <mergeCell ref="I70:I74"/>
    <mergeCell ref="A75:J75"/>
    <mergeCell ref="A27:P27"/>
    <mergeCell ref="A76:J76"/>
    <mergeCell ref="A77:J77"/>
    <mergeCell ref="C8:Q8"/>
    <mergeCell ref="A19:Q19"/>
  </mergeCells>
  <conditionalFormatting sqref="C46:C74">
    <cfRule type="expression" dxfId="0" priority="1">
      <formula>COUNTIF($C$9:$P$9,"="&amp;A46)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="90" zoomScaleNormal="90" workbookViewId="0"/>
  </sheetViews>
  <sheetFormatPr defaultRowHeight="15" x14ac:dyDescent="0.25"/>
  <cols>
    <col min="1" max="4" width="21.85546875" customWidth="1"/>
    <col min="5" max="10" width="18.85546875" customWidth="1"/>
    <col min="11" max="11" width="27.140625" customWidth="1"/>
  </cols>
  <sheetData>
    <row r="1" spans="1:13" ht="18" x14ac:dyDescent="0.25">
      <c r="A1" s="145" t="s">
        <v>119</v>
      </c>
      <c r="B1" s="145"/>
      <c r="C1" s="145"/>
      <c r="D1" s="145"/>
      <c r="E1" s="59"/>
      <c r="F1" s="59"/>
      <c r="G1" s="59"/>
      <c r="H1" s="59"/>
      <c r="I1" s="59"/>
      <c r="J1" s="59"/>
      <c r="K1" s="59"/>
    </row>
    <row r="2" spans="1:13" ht="15.75" x14ac:dyDescent="0.25">
      <c r="A2" s="209" t="s">
        <v>86</v>
      </c>
      <c r="B2" s="209"/>
      <c r="C2" s="209"/>
      <c r="D2" s="209"/>
      <c r="E2" s="209"/>
      <c r="F2" s="209"/>
      <c r="G2" s="209"/>
      <c r="H2" s="209"/>
      <c r="I2" s="60"/>
      <c r="J2" s="45" t="s">
        <v>0</v>
      </c>
      <c r="K2" s="45" t="s">
        <v>0</v>
      </c>
    </row>
    <row r="3" spans="1:13" ht="15.75" x14ac:dyDescent="0.25">
      <c r="A3" s="209" t="s">
        <v>122</v>
      </c>
      <c r="B3" s="209"/>
      <c r="C3" s="209"/>
      <c r="D3" s="209"/>
      <c r="E3" s="209"/>
      <c r="F3" s="209"/>
      <c r="G3" s="209"/>
      <c r="H3" s="209"/>
      <c r="I3" s="130" t="s">
        <v>0</v>
      </c>
      <c r="J3" s="45" t="s">
        <v>0</v>
      </c>
      <c r="K3" s="45" t="s">
        <v>0</v>
      </c>
      <c r="L3" s="45" t="s">
        <v>0</v>
      </c>
      <c r="M3" s="45" t="s">
        <v>0</v>
      </c>
    </row>
    <row r="4" spans="1:13" ht="15.75" x14ac:dyDescent="0.25">
      <c r="A4" s="209" t="s">
        <v>124</v>
      </c>
      <c r="B4" s="209"/>
      <c r="C4" s="209"/>
      <c r="D4" s="209"/>
      <c r="E4" s="209"/>
      <c r="F4" s="209"/>
      <c r="G4" s="209"/>
      <c r="H4" s="61">
        <v>0.79</v>
      </c>
      <c r="I4" s="146" t="s">
        <v>125</v>
      </c>
      <c r="J4" s="147"/>
      <c r="K4" s="147"/>
      <c r="L4" s="45" t="s">
        <v>0</v>
      </c>
      <c r="M4" s="45" t="s">
        <v>0</v>
      </c>
    </row>
    <row r="5" spans="1:13" x14ac:dyDescent="0.25">
      <c r="A5" s="238" t="s">
        <v>87</v>
      </c>
      <c r="B5" s="238"/>
      <c r="C5" s="238"/>
      <c r="D5" s="238"/>
      <c r="E5" s="238"/>
      <c r="F5" s="238"/>
      <c r="G5" s="238"/>
      <c r="H5" s="238"/>
      <c r="J5" s="62"/>
      <c r="K5" s="63" t="s">
        <v>0</v>
      </c>
    </row>
    <row r="6" spans="1:13" x14ac:dyDescent="0.25">
      <c r="A6" s="238" t="s">
        <v>88</v>
      </c>
      <c r="B6" s="238"/>
      <c r="C6" s="238"/>
      <c r="D6" s="238"/>
      <c r="E6" s="238"/>
      <c r="F6" s="238"/>
      <c r="G6" s="238"/>
      <c r="H6" s="238"/>
      <c r="I6" s="62"/>
      <c r="J6" s="62"/>
    </row>
    <row r="7" spans="1:13" x14ac:dyDescent="0.25">
      <c r="A7" s="239" t="s">
        <v>117</v>
      </c>
      <c r="B7" s="239"/>
      <c r="C7" s="239"/>
      <c r="D7" s="239"/>
      <c r="E7" s="239"/>
      <c r="F7" s="239"/>
      <c r="G7" s="239"/>
      <c r="H7" s="239"/>
      <c r="I7" s="62"/>
      <c r="J7" s="62"/>
    </row>
    <row r="8" spans="1:13" x14ac:dyDescent="0.25">
      <c r="A8" s="238" t="s">
        <v>89</v>
      </c>
      <c r="B8" s="238"/>
      <c r="C8" s="238"/>
      <c r="D8" s="238"/>
      <c r="E8" s="238"/>
      <c r="F8" s="238"/>
      <c r="G8" s="238"/>
      <c r="H8" s="238"/>
      <c r="I8" s="62"/>
      <c r="J8" s="62"/>
      <c r="K8" s="64" t="s">
        <v>0</v>
      </c>
    </row>
    <row r="9" spans="1:13" x14ac:dyDescent="0.25">
      <c r="A9" s="238" t="s">
        <v>118</v>
      </c>
      <c r="B9" s="238"/>
      <c r="C9" s="238"/>
      <c r="D9" s="238"/>
      <c r="E9" s="238"/>
      <c r="F9" s="238"/>
      <c r="G9" s="238"/>
      <c r="H9" s="238"/>
      <c r="I9" s="62"/>
      <c r="J9" s="62"/>
      <c r="K9" s="64"/>
    </row>
    <row r="10" spans="1:13" ht="15.75" thickBot="1" x14ac:dyDescent="0.3">
      <c r="E10" s="65" t="s">
        <v>0</v>
      </c>
      <c r="H10" s="66" t="s">
        <v>0</v>
      </c>
    </row>
    <row r="11" spans="1:13" ht="75.75" thickBot="1" x14ac:dyDescent="0.3">
      <c r="A11" s="67" t="s">
        <v>90</v>
      </c>
      <c r="B11" s="68" t="s">
        <v>185</v>
      </c>
      <c r="C11" s="68" t="s">
        <v>91</v>
      </c>
      <c r="D11" s="68" t="s">
        <v>120</v>
      </c>
      <c r="E11" s="68" t="s">
        <v>92</v>
      </c>
      <c r="F11" s="68" t="s">
        <v>113</v>
      </c>
      <c r="G11" s="68" t="s">
        <v>93</v>
      </c>
      <c r="H11" s="68" t="s">
        <v>94</v>
      </c>
      <c r="I11" s="68" t="s">
        <v>95</v>
      </c>
      <c r="J11" s="68" t="s">
        <v>96</v>
      </c>
      <c r="K11" s="69" t="s">
        <v>97</v>
      </c>
    </row>
    <row r="12" spans="1:13" ht="15.75" x14ac:dyDescent="0.25">
      <c r="A12" s="70" t="s">
        <v>98</v>
      </c>
      <c r="B12" s="71">
        <v>123117.58177888449</v>
      </c>
      <c r="C12" s="72">
        <f>1.057963604953*1.022</f>
        <v>1.0812388042619658</v>
      </c>
      <c r="D12" s="71">
        <f>B12*C12</f>
        <v>133119.50690622587</v>
      </c>
      <c r="E12" s="73">
        <f>ROUND(D12/(((DATE(LEFT('Planning Parameters'!$A$1,4)*1+1,5,31)-(DATE(LEFT('Planning Parameters'!$A$1,4)*1,6,1))+1))*$H$4),2)</f>
        <v>461.66</v>
      </c>
      <c r="F12" s="74"/>
      <c r="G12" s="74"/>
      <c r="H12" s="74"/>
      <c r="I12" s="74"/>
      <c r="J12" s="75"/>
      <c r="K12" s="76"/>
    </row>
    <row r="13" spans="1:13" ht="15.75" x14ac:dyDescent="0.25">
      <c r="A13" s="77" t="s">
        <v>59</v>
      </c>
      <c r="B13" s="78" t="s">
        <v>0</v>
      </c>
      <c r="C13" s="78"/>
      <c r="D13" s="78"/>
      <c r="E13" s="79">
        <f t="shared" ref="E13:E19" si="0">$E$12</f>
        <v>461.66</v>
      </c>
      <c r="F13" s="80">
        <v>36135.916024138329</v>
      </c>
      <c r="G13" s="81">
        <v>2199</v>
      </c>
      <c r="H13" s="80">
        <f>F13+G13</f>
        <v>38334.916024138329</v>
      </c>
      <c r="I13" s="79">
        <f>($D$12-H13)/((DATE(LEFT('Planning Parameters'!$A$1,4)*1+1,5,31)-(DATE(LEFT('Planning Parameters'!$A$1,4)*1,6,1))+1))</f>
        <v>259.68381063585628</v>
      </c>
      <c r="J13" s="79">
        <f>ROUND(I13/$H$4,2)</f>
        <v>328.71</v>
      </c>
      <c r="K13" s="82"/>
    </row>
    <row r="14" spans="1:13" ht="15.75" x14ac:dyDescent="0.25">
      <c r="A14" s="77" t="s">
        <v>67</v>
      </c>
      <c r="B14" s="78" t="s">
        <v>0</v>
      </c>
      <c r="C14" s="78"/>
      <c r="D14" s="78"/>
      <c r="E14" s="79">
        <f t="shared" si="0"/>
        <v>461.66</v>
      </c>
      <c r="F14" s="80">
        <v>60078.169885296411</v>
      </c>
      <c r="G14" s="81">
        <v>2199</v>
      </c>
      <c r="H14" s="80">
        <f t="shared" ref="H14:H18" si="1">F14+G14</f>
        <v>62277.169885296411</v>
      </c>
      <c r="I14" s="79">
        <f>($D$12-H14)/((DATE(LEFT('Planning Parameters'!$A$1,4)*1+1,5,31)-(DATE(LEFT('Planning Parameters'!$A$1,4)*1,6,1))+1))</f>
        <v>194.08859457788895</v>
      </c>
      <c r="J14" s="79">
        <f t="shared" ref="J14:J18" si="2">ROUND(I14/$H$4,2)</f>
        <v>245.68</v>
      </c>
      <c r="K14" s="83" t="s">
        <v>12</v>
      </c>
    </row>
    <row r="15" spans="1:13" ht="15.75" x14ac:dyDescent="0.25">
      <c r="A15" s="77" t="s">
        <v>69</v>
      </c>
      <c r="B15" s="78" t="s">
        <v>0</v>
      </c>
      <c r="C15" s="78"/>
      <c r="D15" s="78"/>
      <c r="E15" s="79">
        <f t="shared" si="0"/>
        <v>461.66</v>
      </c>
      <c r="F15" s="80">
        <v>37086.160840306242</v>
      </c>
      <c r="G15" s="81">
        <v>2199</v>
      </c>
      <c r="H15" s="80">
        <f t="shared" si="1"/>
        <v>39285.160840306242</v>
      </c>
      <c r="I15" s="79">
        <f>($D$12-H15)/((DATE(LEFT('Planning Parameters'!$A$1,4)*1+1,5,31)-(DATE(LEFT('Planning Parameters'!$A$1,4)*1,6,1))+1))</f>
        <v>257.08040018060171</v>
      </c>
      <c r="J15" s="79">
        <f t="shared" si="2"/>
        <v>325.42</v>
      </c>
      <c r="K15" s="82"/>
    </row>
    <row r="16" spans="1:13" ht="15.75" x14ac:dyDescent="0.25">
      <c r="A16" s="77" t="s">
        <v>99</v>
      </c>
      <c r="B16" s="78" t="s">
        <v>0</v>
      </c>
      <c r="C16" s="78"/>
      <c r="D16" s="78"/>
      <c r="E16" s="79">
        <f t="shared" si="0"/>
        <v>461.66</v>
      </c>
      <c r="F16" s="80">
        <v>34809.84313002511</v>
      </c>
      <c r="G16" s="81">
        <v>2199</v>
      </c>
      <c r="H16" s="80">
        <f t="shared" si="1"/>
        <v>37008.84313002511</v>
      </c>
      <c r="I16" s="79">
        <f>($D$12-H16)/((DATE(LEFT('Planning Parameters'!$A$1,4)*1+1,5,31)-(DATE(LEFT('Planning Parameters'!$A$1,4)*1,6,1))+1))</f>
        <v>263.31688705808426</v>
      </c>
      <c r="J16" s="79">
        <f t="shared" si="2"/>
        <v>333.31</v>
      </c>
      <c r="K16" s="82"/>
    </row>
    <row r="17" spans="1:11" ht="15.75" x14ac:dyDescent="0.25">
      <c r="A17" s="77" t="s">
        <v>100</v>
      </c>
      <c r="B17" s="78" t="s">
        <v>0</v>
      </c>
      <c r="C17" s="78"/>
      <c r="D17" s="78"/>
      <c r="E17" s="79">
        <f t="shared" si="0"/>
        <v>461.66</v>
      </c>
      <c r="F17" s="80">
        <v>35485.085673408314</v>
      </c>
      <c r="G17" s="81">
        <v>2199</v>
      </c>
      <c r="H17" s="80">
        <f t="shared" si="1"/>
        <v>37684.085673408314</v>
      </c>
      <c r="I17" s="79">
        <f>($D$12-H17)/((DATE(LEFT('Planning Parameters'!$A$1,4)*1+1,5,31)-(DATE(LEFT('Planning Parameters'!$A$1,4)*1,6,1))+1))</f>
        <v>261.46690748717134</v>
      </c>
      <c r="J17" s="79">
        <f t="shared" si="2"/>
        <v>330.97</v>
      </c>
      <c r="K17" s="84" t="s">
        <v>101</v>
      </c>
    </row>
    <row r="18" spans="1:11" ht="15.75" x14ac:dyDescent="0.25">
      <c r="A18" s="77" t="s">
        <v>75</v>
      </c>
      <c r="B18" s="78" t="s">
        <v>0</v>
      </c>
      <c r="C18" s="78"/>
      <c r="D18" s="78"/>
      <c r="E18" s="79">
        <f t="shared" si="0"/>
        <v>461.66</v>
      </c>
      <c r="F18" s="80">
        <v>44080.868684702727</v>
      </c>
      <c r="G18" s="81">
        <v>2199</v>
      </c>
      <c r="H18" s="80">
        <f t="shared" si="1"/>
        <v>46279.868684702727</v>
      </c>
      <c r="I18" s="79">
        <f>($D$12-H18)/((DATE(LEFT('Planning Parameters'!$A$1,4)*1+1,5,31)-(DATE(LEFT('Planning Parameters'!$A$1,4)*1,6,1))+1))</f>
        <v>237.91681704526889</v>
      </c>
      <c r="J18" s="79">
        <f t="shared" si="2"/>
        <v>301.16000000000003</v>
      </c>
      <c r="K18" s="82"/>
    </row>
    <row r="19" spans="1:11" ht="16.5" thickBot="1" x14ac:dyDescent="0.3">
      <c r="A19" s="85" t="s">
        <v>8</v>
      </c>
      <c r="B19" s="86" t="s">
        <v>0</v>
      </c>
      <c r="C19" s="86"/>
      <c r="D19" s="86"/>
      <c r="E19" s="87">
        <f t="shared" si="0"/>
        <v>461.66</v>
      </c>
      <c r="F19" s="88"/>
      <c r="G19" s="89" t="s">
        <v>0</v>
      </c>
      <c r="H19" s="89"/>
      <c r="I19" s="87">
        <f>ROUND(J19*$H$4,2)</f>
        <v>245.6</v>
      </c>
      <c r="J19" s="87">
        <f>ROUND(AVERAGE(J13:J18),2)</f>
        <v>310.88</v>
      </c>
      <c r="K19" s="90" t="s">
        <v>8</v>
      </c>
    </row>
    <row r="20" spans="1:11" ht="15.75" x14ac:dyDescent="0.25">
      <c r="A20" s="70" t="s">
        <v>102</v>
      </c>
      <c r="B20" s="71">
        <v>123919.53369339528</v>
      </c>
      <c r="C20" s="72">
        <f>1.061806981002*1.022</f>
        <v>1.0851667345840441</v>
      </c>
      <c r="D20" s="71">
        <f>B20*C20</f>
        <v>134473.35572923918</v>
      </c>
      <c r="E20" s="73">
        <f>ROUND(D20/(((DATE(LEFT('Planning Parameters'!$A$1,4)*1+1,5,31)-(DATE(LEFT('Planning Parameters'!$A$1,4)*1,6,1))+1))*$H$4),2)</f>
        <v>466.35</v>
      </c>
      <c r="F20" s="91"/>
      <c r="G20" s="92"/>
      <c r="H20" s="92"/>
      <c r="I20" s="73"/>
      <c r="J20" s="93" t="s">
        <v>0</v>
      </c>
      <c r="K20" s="76"/>
    </row>
    <row r="21" spans="1:11" ht="15.75" x14ac:dyDescent="0.25">
      <c r="A21" s="77" t="s">
        <v>17</v>
      </c>
      <c r="B21" s="78" t="s">
        <v>0</v>
      </c>
      <c r="C21" s="78"/>
      <c r="D21" s="78"/>
      <c r="E21" s="79">
        <f>$E$20</f>
        <v>466.35</v>
      </c>
      <c r="F21" s="80">
        <v>119201.55713893154</v>
      </c>
      <c r="G21" s="81">
        <v>2199</v>
      </c>
      <c r="H21" s="80">
        <f>F21+G21</f>
        <v>121400.55713893154</v>
      </c>
      <c r="I21" s="79">
        <f>($D$20-H21)/((DATE(LEFT('Planning Parameters'!$A$1,4)*1+1,5,31)-(DATE(LEFT('Planning Parameters'!$A$1,4)*1,6,1))+1))</f>
        <v>35.815886548788036</v>
      </c>
      <c r="J21" s="79">
        <f>ROUND(I21/$H$4,2)</f>
        <v>45.34</v>
      </c>
      <c r="K21" s="84" t="s">
        <v>17</v>
      </c>
    </row>
    <row r="22" spans="1:11" ht="15.75" x14ac:dyDescent="0.25">
      <c r="A22" s="77" t="s">
        <v>13</v>
      </c>
      <c r="B22" s="78"/>
      <c r="C22" s="78"/>
      <c r="D22" s="78"/>
      <c r="E22" s="79">
        <f>$E$20</f>
        <v>466.35</v>
      </c>
      <c r="F22" s="80">
        <v>67741.871240020628</v>
      </c>
      <c r="G22" s="81">
        <v>2199</v>
      </c>
      <c r="H22" s="80">
        <f>F22+G22</f>
        <v>69940.871240020628</v>
      </c>
      <c r="I22" s="79">
        <f>($D$20-H22)/((DATE(LEFT('Planning Parameters'!$A$1,4)*1+1,5,31)-(DATE(LEFT('Planning Parameters'!$A$1,4)*1,6,1))+1))</f>
        <v>176.80132736772205</v>
      </c>
      <c r="J22" s="79">
        <f t="shared" ref="J22" si="3">ROUND(I22/$H$4,2)</f>
        <v>223.8</v>
      </c>
      <c r="K22" s="84" t="s">
        <v>13</v>
      </c>
    </row>
    <row r="23" spans="1:11" ht="16.5" thickBot="1" x14ac:dyDescent="0.3">
      <c r="A23" s="85" t="s">
        <v>9</v>
      </c>
      <c r="B23" s="86"/>
      <c r="C23" s="86"/>
      <c r="D23" s="86"/>
      <c r="E23" s="87">
        <f>$E$20</f>
        <v>466.35</v>
      </c>
      <c r="F23" s="88"/>
      <c r="G23" s="89" t="s">
        <v>0</v>
      </c>
      <c r="H23" s="89"/>
      <c r="I23" s="87">
        <f>ROUND(J23*$H$4,2)</f>
        <v>106.31</v>
      </c>
      <c r="J23" s="87">
        <f>ROUND(AVERAGE(J21:J22),2)</f>
        <v>134.57</v>
      </c>
      <c r="K23" s="90" t="s">
        <v>9</v>
      </c>
    </row>
    <row r="24" spans="1:11" ht="15.75" x14ac:dyDescent="0.25">
      <c r="A24" s="70" t="s">
        <v>103</v>
      </c>
      <c r="B24" s="71">
        <v>118504.99898842888</v>
      </c>
      <c r="C24" s="72">
        <f>1.04393635822*1.022</f>
        <v>1.06690295810084</v>
      </c>
      <c r="D24" s="71">
        <f>B24*C24</f>
        <v>126433.33397049183</v>
      </c>
      <c r="E24" s="73">
        <f>ROUND(D24/(((DATE(LEFT('Planning Parameters'!$A$1,4)*1+1,5,31)-(DATE(LEFT('Planning Parameters'!$A$1,4)*1,6,1))+1))*$H$4),2)</f>
        <v>438.47</v>
      </c>
      <c r="F24" s="91"/>
      <c r="G24" s="92" t="s">
        <v>0</v>
      </c>
      <c r="H24" s="92"/>
      <c r="I24" s="73"/>
      <c r="J24" s="93"/>
      <c r="K24" s="76"/>
    </row>
    <row r="25" spans="1:11" ht="15.75" x14ac:dyDescent="0.25">
      <c r="A25" s="77" t="s">
        <v>70</v>
      </c>
      <c r="B25" s="78" t="s">
        <v>0</v>
      </c>
      <c r="C25" s="78"/>
      <c r="D25" s="78"/>
      <c r="E25" s="79">
        <f>$E$24</f>
        <v>438.47</v>
      </c>
      <c r="F25" s="80">
        <v>68747.274052310429</v>
      </c>
      <c r="G25" s="81">
        <v>2199</v>
      </c>
      <c r="H25" s="80">
        <f>F25+G25</f>
        <v>70946.274052310429</v>
      </c>
      <c r="I25" s="79">
        <f>($D$24-H25)/((DATE(LEFT('Planning Parameters'!$A$1,4)*1+1,5,31)-(DATE(LEFT('Planning Parameters'!$A$1,4)*1,6,1))+1))</f>
        <v>152.01934224159288</v>
      </c>
      <c r="J25" s="79">
        <f>ROUND(I25/$H$4,2)</f>
        <v>192.43</v>
      </c>
      <c r="K25" s="82"/>
    </row>
    <row r="26" spans="1:11" ht="15.75" x14ac:dyDescent="0.25">
      <c r="A26" s="77" t="s">
        <v>104</v>
      </c>
      <c r="B26" s="78"/>
      <c r="C26" s="78"/>
      <c r="D26" s="78"/>
      <c r="E26" s="79">
        <f>$E$24</f>
        <v>438.47</v>
      </c>
      <c r="F26" s="80">
        <v>74117.844084105469</v>
      </c>
      <c r="G26" s="81">
        <v>2199</v>
      </c>
      <c r="H26" s="80">
        <f>F26+G26</f>
        <v>76316.844084105469</v>
      </c>
      <c r="I26" s="79">
        <f>($D$24-H26)/((DATE(LEFT('Planning Parameters'!$A$1,4)*1+1,5,31)-(DATE(LEFT('Planning Parameters'!$A$1,4)*1,6,1))+1))</f>
        <v>137.30545174352429</v>
      </c>
      <c r="J26" s="79">
        <f t="shared" ref="J26:J27" si="4">ROUND(I26/$H$4,2)</f>
        <v>173.8</v>
      </c>
      <c r="K26" s="82"/>
    </row>
    <row r="27" spans="1:11" ht="15.75" x14ac:dyDescent="0.25">
      <c r="A27" s="77" t="s">
        <v>105</v>
      </c>
      <c r="B27" s="78"/>
      <c r="C27" s="78"/>
      <c r="D27" s="78"/>
      <c r="E27" s="79">
        <f>$E$24</f>
        <v>438.47</v>
      </c>
      <c r="F27" s="80">
        <v>49202.861013124559</v>
      </c>
      <c r="G27" s="81">
        <v>2199</v>
      </c>
      <c r="H27" s="80">
        <f>F27+G27</f>
        <v>51401.861013124559</v>
      </c>
      <c r="I27" s="79">
        <f>($D$24-H27)/((DATE(LEFT('Planning Parameters'!$A$1,4)*1+1,5,31)-(DATE(LEFT('Planning Parameters'!$A$1,4)*1,6,1))+1))</f>
        <v>205.56567933525284</v>
      </c>
      <c r="J27" s="79">
        <f t="shared" si="4"/>
        <v>260.20999999999998</v>
      </c>
      <c r="K27" s="84" t="s">
        <v>105</v>
      </c>
    </row>
    <row r="28" spans="1:11" ht="16.5" thickBot="1" x14ac:dyDescent="0.3">
      <c r="A28" s="85" t="s">
        <v>7</v>
      </c>
      <c r="B28" s="86" t="s">
        <v>0</v>
      </c>
      <c r="C28" s="86"/>
      <c r="D28" s="86"/>
      <c r="E28" s="87">
        <f>ROUND(AVERAGE(E13,E14,E15,E16,E17,E18,E21,E22,E25,E26,E27),2)</f>
        <v>456.19</v>
      </c>
      <c r="F28" s="88"/>
      <c r="G28" s="89" t="s">
        <v>0</v>
      </c>
      <c r="H28" s="89"/>
      <c r="I28" s="87">
        <f>ROUND(J28*$H$4,2)</f>
        <v>198.27</v>
      </c>
      <c r="J28" s="87">
        <f>ROUND(AVERAGE(J13,J14,J15,J16,J17,J18,J21,J22,J25,J26,J27),2)</f>
        <v>250.98</v>
      </c>
      <c r="K28" s="90" t="s">
        <v>7</v>
      </c>
    </row>
    <row r="29" spans="1:11" ht="15.75" x14ac:dyDescent="0.25">
      <c r="A29" s="70" t="s">
        <v>106</v>
      </c>
      <c r="B29" s="71">
        <v>118329.5518612935</v>
      </c>
      <c r="C29" s="72">
        <f>1.059285809862*1.022</f>
        <v>1.082590097678964</v>
      </c>
      <c r="D29" s="71">
        <f>B29*C29</f>
        <v>128102.40110782576</v>
      </c>
      <c r="E29" s="73">
        <f>ROUND(D29/(((DATE(LEFT('Planning Parameters'!$A$1,4)*1+1,5,31)-(DATE(LEFT('Planning Parameters'!$A$1,4)*1,6,1))+1))*$H$4),2)</f>
        <v>444.26</v>
      </c>
      <c r="F29" s="91"/>
      <c r="G29" s="92" t="s">
        <v>0</v>
      </c>
      <c r="H29" s="92"/>
      <c r="I29" s="73"/>
      <c r="J29" s="93"/>
      <c r="K29" s="76"/>
    </row>
    <row r="30" spans="1:11" ht="15.75" x14ac:dyDescent="0.25">
      <c r="A30" s="94" t="s">
        <v>61</v>
      </c>
      <c r="B30" s="78"/>
      <c r="C30" s="78"/>
      <c r="D30" s="78"/>
      <c r="E30" s="79">
        <f t="shared" ref="E30:E38" si="5">$E$29</f>
        <v>444.26</v>
      </c>
      <c r="F30" s="80">
        <v>74245.661890958378</v>
      </c>
      <c r="G30" s="81">
        <v>2199</v>
      </c>
      <c r="H30" s="80">
        <f t="shared" ref="H30:H38" si="6">F30+G30</f>
        <v>76444.661890958378</v>
      </c>
      <c r="I30" s="79">
        <f>($D$29-H30)/((DATE(LEFT('Planning Parameters'!$A$1,4)*1+1,5,31)-(DATE(LEFT('Planning Parameters'!$A$1,4)*1,6,1))+1))</f>
        <v>141.52805264895173</v>
      </c>
      <c r="J30" s="79">
        <f>ROUND(I30/$H$4,2)</f>
        <v>179.15</v>
      </c>
      <c r="K30" s="82"/>
    </row>
    <row r="31" spans="1:11" ht="15.75" x14ac:dyDescent="0.25">
      <c r="A31" s="94" t="s">
        <v>63</v>
      </c>
      <c r="B31" s="78"/>
      <c r="C31" s="78"/>
      <c r="D31" s="78"/>
      <c r="E31" s="79">
        <f t="shared" si="5"/>
        <v>444.26</v>
      </c>
      <c r="F31" s="80">
        <v>86470.140598324928</v>
      </c>
      <c r="G31" s="81">
        <v>2199</v>
      </c>
      <c r="H31" s="80">
        <f t="shared" si="6"/>
        <v>88669.140598324928</v>
      </c>
      <c r="I31" s="79">
        <f>($D$29-H31)/((DATE(LEFT('Planning Parameters'!$A$1,4)*1+1,5,31)-(DATE(LEFT('Planning Parameters'!$A$1,4)*1,6,1))+1))</f>
        <v>108.03633016301598</v>
      </c>
      <c r="J31" s="79">
        <f t="shared" ref="J31:J37" si="7">ROUND(I31/$H$4,2)</f>
        <v>136.75</v>
      </c>
      <c r="K31" s="82"/>
    </row>
    <row r="32" spans="1:11" ht="15.75" x14ac:dyDescent="0.25">
      <c r="A32" s="77" t="s">
        <v>14</v>
      </c>
      <c r="B32" s="78" t="s">
        <v>0</v>
      </c>
      <c r="C32" s="78"/>
      <c r="D32" s="78"/>
      <c r="E32" s="79">
        <f t="shared" si="5"/>
        <v>444.26</v>
      </c>
      <c r="F32" s="80">
        <v>57626.901191472942</v>
      </c>
      <c r="G32" s="81">
        <v>2199</v>
      </c>
      <c r="H32" s="80">
        <f t="shared" si="6"/>
        <v>59825.901191472942</v>
      </c>
      <c r="I32" s="79">
        <f>($D$29-H32)/((DATE(LEFT('Planning Parameters'!$A$1,4)*1+1,5,31)-(DATE(LEFT('Planning Parameters'!$A$1,4)*1,6,1))+1))</f>
        <v>187.05890388041871</v>
      </c>
      <c r="J32" s="79">
        <f t="shared" si="7"/>
        <v>236.78</v>
      </c>
      <c r="K32" s="84" t="s">
        <v>107</v>
      </c>
    </row>
    <row r="33" spans="1:11" ht="15.75" x14ac:dyDescent="0.25">
      <c r="A33" s="77" t="s">
        <v>19</v>
      </c>
      <c r="B33" s="78"/>
      <c r="C33" s="78"/>
      <c r="D33" s="78"/>
      <c r="E33" s="79">
        <f t="shared" si="5"/>
        <v>444.26</v>
      </c>
      <c r="F33" s="80">
        <v>70718.035982189205</v>
      </c>
      <c r="G33" s="81">
        <v>2199</v>
      </c>
      <c r="H33" s="80">
        <f t="shared" si="6"/>
        <v>72917.035982189205</v>
      </c>
      <c r="I33" s="79">
        <f>($D$29-H33)/((DATE(LEFT('Planning Parameters'!$A$1,4)*1+1,5,31)-(DATE(LEFT('Planning Parameters'!$A$1,4)*1,6,1))+1))</f>
        <v>151.19278116612756</v>
      </c>
      <c r="J33" s="79">
        <f t="shared" si="7"/>
        <v>191.38</v>
      </c>
      <c r="K33" s="83" t="s">
        <v>19</v>
      </c>
    </row>
    <row r="34" spans="1:11" ht="15.75" x14ac:dyDescent="0.25">
      <c r="A34" s="77" t="s">
        <v>20</v>
      </c>
      <c r="B34" s="78"/>
      <c r="C34" s="78"/>
      <c r="D34" s="78"/>
      <c r="E34" s="79">
        <f t="shared" si="5"/>
        <v>444.26</v>
      </c>
      <c r="F34" s="80">
        <v>66720.941473076498</v>
      </c>
      <c r="G34" s="81">
        <v>2199</v>
      </c>
      <c r="H34" s="80">
        <f t="shared" si="6"/>
        <v>68919.941473076498</v>
      </c>
      <c r="I34" s="79">
        <f>($D$29-H34)/((DATE(LEFT('Planning Parameters'!$A$1,4)*1+1,5,31)-(DATE(LEFT('Planning Parameters'!$A$1,4)*1,6,1))+1))</f>
        <v>162.14372502671031</v>
      </c>
      <c r="J34" s="79">
        <f t="shared" si="7"/>
        <v>205.25</v>
      </c>
      <c r="K34" s="83" t="s">
        <v>20</v>
      </c>
    </row>
    <row r="35" spans="1:11" ht="15.75" x14ac:dyDescent="0.25">
      <c r="A35" s="77" t="s">
        <v>65</v>
      </c>
      <c r="B35" s="78"/>
      <c r="C35" s="78"/>
      <c r="D35" s="78"/>
      <c r="E35" s="79">
        <f t="shared" si="5"/>
        <v>444.26</v>
      </c>
      <c r="F35" s="80">
        <v>68385.831440856709</v>
      </c>
      <c r="G35" s="81">
        <v>2199</v>
      </c>
      <c r="H35" s="80">
        <f t="shared" si="6"/>
        <v>70584.831440856709</v>
      </c>
      <c r="I35" s="79">
        <f>($D$29-H35)/((DATE(LEFT('Planning Parameters'!$A$1,4)*1+1,5,31)-(DATE(LEFT('Planning Parameters'!$A$1,4)*1,6,1))+1))</f>
        <v>157.58238264923028</v>
      </c>
      <c r="J35" s="79">
        <f t="shared" si="7"/>
        <v>199.47</v>
      </c>
      <c r="K35" s="82"/>
    </row>
    <row r="36" spans="1:11" ht="15.75" x14ac:dyDescent="0.25">
      <c r="A36" s="77" t="s">
        <v>66</v>
      </c>
      <c r="B36" s="78"/>
      <c r="C36" s="78"/>
      <c r="D36" s="78"/>
      <c r="E36" s="79">
        <f t="shared" si="5"/>
        <v>444.26</v>
      </c>
      <c r="F36" s="80">
        <v>81876.509692218402</v>
      </c>
      <c r="G36" s="81">
        <v>2199</v>
      </c>
      <c r="H36" s="80">
        <f t="shared" si="6"/>
        <v>84075.509692218402</v>
      </c>
      <c r="I36" s="79">
        <f>($D$29-H36)/((DATE(LEFT('Planning Parameters'!$A$1,4)*1+1,5,31)-(DATE(LEFT('Planning Parameters'!$A$1,4)*1,6,1))+1))</f>
        <v>120.62162031673249</v>
      </c>
      <c r="J36" s="79">
        <f t="shared" si="7"/>
        <v>152.69</v>
      </c>
      <c r="K36" s="82"/>
    </row>
    <row r="37" spans="1:11" ht="15.75" x14ac:dyDescent="0.25">
      <c r="A37" s="77" t="s">
        <v>68</v>
      </c>
      <c r="B37" s="78"/>
      <c r="C37" s="78"/>
      <c r="D37" s="78"/>
      <c r="E37" s="79">
        <f t="shared" si="5"/>
        <v>444.26</v>
      </c>
      <c r="F37" s="80">
        <v>53735.620369399992</v>
      </c>
      <c r="G37" s="81">
        <v>2199</v>
      </c>
      <c r="H37" s="80">
        <f t="shared" si="6"/>
        <v>55934.620369399992</v>
      </c>
      <c r="I37" s="79">
        <f>($D$29-H37)/((DATE(LEFT('Planning Parameters'!$A$1,4)*1+1,5,31)-(DATE(LEFT('Planning Parameters'!$A$1,4)*1,6,1))+1))</f>
        <v>197.71994722856374</v>
      </c>
      <c r="J37" s="79">
        <f t="shared" si="7"/>
        <v>250.28</v>
      </c>
      <c r="K37" s="82"/>
    </row>
    <row r="38" spans="1:11" ht="16.5" thickBot="1" x14ac:dyDescent="0.3">
      <c r="A38" s="77" t="s">
        <v>71</v>
      </c>
      <c r="B38" s="78"/>
      <c r="C38" s="78"/>
      <c r="D38" s="78"/>
      <c r="E38" s="79">
        <f t="shared" si="5"/>
        <v>444.26</v>
      </c>
      <c r="F38" s="95">
        <v>68725.082699466613</v>
      </c>
      <c r="G38" s="81">
        <v>2199</v>
      </c>
      <c r="H38" s="80">
        <f t="shared" si="6"/>
        <v>70924.082699466613</v>
      </c>
      <c r="I38" s="79">
        <f>($D$29-H38)/((DATE(LEFT('Planning Parameters'!$A$1,4)*1+1,5,31)-(DATE(LEFT('Planning Parameters'!$A$1,4)*1,6,1))+1))</f>
        <v>156.65292714618946</v>
      </c>
      <c r="J38" s="79">
        <f>ROUND(I38/$H$4,2)</f>
        <v>198.29</v>
      </c>
      <c r="K38" s="82"/>
    </row>
    <row r="39" spans="1:11" ht="15.75" x14ac:dyDescent="0.25">
      <c r="A39" s="70" t="s">
        <v>116</v>
      </c>
      <c r="B39" s="71">
        <v>118330</v>
      </c>
      <c r="C39" s="72" t="s">
        <v>22</v>
      </c>
      <c r="D39" s="71">
        <f>D29*1.0069</f>
        <v>128986.30767546974</v>
      </c>
      <c r="E39" s="73">
        <f>ROUND(D39/(((DATE(LEFT('Planning Parameters'!$A$1,4)*1+1,5,31)-(DATE(LEFT('Planning Parameters'!$A$1,4)*1,6,1))+1))*$H$4),2)</f>
        <v>447.33</v>
      </c>
      <c r="F39" s="91"/>
      <c r="G39" s="92"/>
      <c r="H39" s="92"/>
      <c r="I39" s="73"/>
      <c r="J39" s="93"/>
      <c r="K39" s="76"/>
    </row>
    <row r="40" spans="1:11" ht="16.5" thickBot="1" x14ac:dyDescent="0.3">
      <c r="A40" s="165" t="s">
        <v>16</v>
      </c>
      <c r="B40" s="166"/>
      <c r="C40" s="166"/>
      <c r="D40" s="166"/>
      <c r="E40" s="168">
        <f>E39</f>
        <v>447.33</v>
      </c>
      <c r="F40" s="167">
        <v>39305.949301820103</v>
      </c>
      <c r="G40" s="81">
        <v>2199</v>
      </c>
      <c r="H40" s="80">
        <f t="shared" ref="H40" si="8">F40+G40</f>
        <v>41504.949301820103</v>
      </c>
      <c r="I40" s="79">
        <f>($D$29-H40)/((DATE(LEFT('Planning Parameters'!$A$1,4)*1+1,5,31)-(DATE(LEFT('Planning Parameters'!$A$1,4)*1,6,1))+1))</f>
        <v>237.25329261919359</v>
      </c>
      <c r="J40" s="79">
        <f>ROUND(I40/$H$4,2)</f>
        <v>300.32</v>
      </c>
      <c r="K40" s="83" t="s">
        <v>16</v>
      </c>
    </row>
    <row r="41" spans="1:11" ht="16.5" thickBot="1" x14ac:dyDescent="0.3">
      <c r="A41" s="96" t="s">
        <v>1</v>
      </c>
      <c r="B41" s="97">
        <f>AVERAGE(B12,B20,B24,B29,B39)</f>
        <v>120440.33326440044</v>
      </c>
      <c r="C41" s="97"/>
      <c r="D41" s="97">
        <f>AVERAGE(D12,D20,D24,D29,D39)</f>
        <v>130222.98107785048</v>
      </c>
      <c r="E41" s="98">
        <f>ROUND(D41/(((DATE(LEFT('Planning Parameters'!$A$1,4)*1+1,5,31)-(DATE(LEFT('Planning Parameters'!$A$1,4)*1,6,1))+1))*$H$4),2)</f>
        <v>451.61</v>
      </c>
      <c r="F41" s="99">
        <v>62046.461617360175</v>
      </c>
      <c r="G41" s="100">
        <f>G32</f>
        <v>2199</v>
      </c>
      <c r="H41" s="99">
        <f>F41+G41</f>
        <v>64245.461617360175</v>
      </c>
      <c r="I41" s="98">
        <f>($D$41-H41)/((DATE(LEFT('Planning Parameters'!$A$1,4)*1+1,5,31)-(DATE(LEFT('Planning Parameters'!$A$1,4)*1,6,1))+1))</f>
        <v>180.7603272890145</v>
      </c>
      <c r="J41" s="98">
        <f>ROUND(I41/$H$4,2)</f>
        <v>228.81</v>
      </c>
      <c r="K41" s="101" t="s">
        <v>1</v>
      </c>
    </row>
    <row r="42" spans="1:11" x14ac:dyDescent="0.25">
      <c r="A42" s="102" t="s">
        <v>0</v>
      </c>
      <c r="B42" s="103"/>
      <c r="C42" s="103"/>
      <c r="D42" s="103"/>
      <c r="E42" s="103"/>
      <c r="F42" s="104"/>
      <c r="G42" s="103"/>
      <c r="H42" s="103"/>
      <c r="I42" s="103"/>
      <c r="J42" s="103"/>
      <c r="K42" s="103"/>
    </row>
    <row r="44" spans="1:11" x14ac:dyDescent="0.25">
      <c r="A44" t="s">
        <v>121</v>
      </c>
    </row>
  </sheetData>
  <mergeCells count="8">
    <mergeCell ref="A9:H9"/>
    <mergeCell ref="A7:H7"/>
    <mergeCell ref="A8:H8"/>
    <mergeCell ref="A2:H2"/>
    <mergeCell ref="A3:H3"/>
    <mergeCell ref="A4:G4"/>
    <mergeCell ref="A5:H5"/>
    <mergeCell ref="A6:H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C1"/>
    </sheetView>
  </sheetViews>
  <sheetFormatPr defaultRowHeight="15" x14ac:dyDescent="0.25"/>
  <cols>
    <col min="1" max="1" width="12.85546875" customWidth="1"/>
    <col min="2" max="2" width="100.85546875" customWidth="1"/>
    <col min="3" max="3" width="15.85546875" customWidth="1"/>
  </cols>
  <sheetData>
    <row r="1" spans="1:7" ht="18" x14ac:dyDescent="0.25">
      <c r="A1" s="240" t="s">
        <v>131</v>
      </c>
      <c r="B1" s="241"/>
      <c r="C1" s="242"/>
    </row>
    <row r="2" spans="1:7" ht="30" x14ac:dyDescent="0.25">
      <c r="A2" s="127" t="s">
        <v>108</v>
      </c>
      <c r="B2" s="128" t="s">
        <v>109</v>
      </c>
      <c r="C2" s="129" t="s">
        <v>110</v>
      </c>
      <c r="E2" s="126"/>
      <c r="F2" s="126"/>
      <c r="G2" s="126"/>
    </row>
    <row r="3" spans="1:7" ht="75" x14ac:dyDescent="0.25">
      <c r="A3" s="192" t="s">
        <v>148</v>
      </c>
      <c r="B3" s="193" t="s">
        <v>149</v>
      </c>
      <c r="C3" s="194" t="s">
        <v>111</v>
      </c>
    </row>
    <row r="4" spans="1:7" ht="45" x14ac:dyDescent="0.25">
      <c r="A4" s="195" t="s">
        <v>150</v>
      </c>
      <c r="B4" s="196" t="s">
        <v>151</v>
      </c>
      <c r="C4" s="197" t="s">
        <v>111</v>
      </c>
    </row>
    <row r="5" spans="1:7" ht="30" x14ac:dyDescent="0.25">
      <c r="A5" s="195" t="s">
        <v>152</v>
      </c>
      <c r="B5" s="196" t="s">
        <v>153</v>
      </c>
      <c r="C5" s="197" t="s">
        <v>111</v>
      </c>
    </row>
    <row r="6" spans="1:7" x14ac:dyDescent="0.25">
      <c r="A6" s="195" t="s">
        <v>154</v>
      </c>
      <c r="B6" s="196" t="s">
        <v>155</v>
      </c>
      <c r="C6" s="197" t="s">
        <v>111</v>
      </c>
    </row>
    <row r="7" spans="1:7" x14ac:dyDescent="0.25">
      <c r="A7" s="195" t="s">
        <v>156</v>
      </c>
      <c r="B7" s="196" t="s">
        <v>157</v>
      </c>
      <c r="C7" s="197" t="s">
        <v>111</v>
      </c>
    </row>
    <row r="8" spans="1:7" x14ac:dyDescent="0.25">
      <c r="A8" s="195" t="s">
        <v>158</v>
      </c>
      <c r="B8" s="196" t="s">
        <v>159</v>
      </c>
      <c r="C8" s="197" t="s">
        <v>111</v>
      </c>
    </row>
    <row r="9" spans="1:7" ht="30" x14ac:dyDescent="0.25">
      <c r="A9" s="195" t="s">
        <v>160</v>
      </c>
      <c r="B9" s="196" t="s">
        <v>161</v>
      </c>
      <c r="C9" s="197" t="s">
        <v>111</v>
      </c>
    </row>
    <row r="10" spans="1:7" x14ac:dyDescent="0.25">
      <c r="A10" s="195" t="s">
        <v>162</v>
      </c>
      <c r="B10" s="196" t="s">
        <v>163</v>
      </c>
      <c r="C10" s="197" t="s">
        <v>111</v>
      </c>
    </row>
    <row r="11" spans="1:7" ht="30" x14ac:dyDescent="0.25">
      <c r="A11" s="195" t="s">
        <v>164</v>
      </c>
      <c r="B11" s="196" t="s">
        <v>165</v>
      </c>
      <c r="C11" s="197" t="s">
        <v>111</v>
      </c>
    </row>
    <row r="12" spans="1:7" x14ac:dyDescent="0.25">
      <c r="A12" s="195" t="s">
        <v>166</v>
      </c>
      <c r="B12" s="196" t="s">
        <v>167</v>
      </c>
      <c r="C12" s="197" t="s">
        <v>111</v>
      </c>
    </row>
    <row r="13" spans="1:7" ht="30" x14ac:dyDescent="0.25">
      <c r="A13" s="195" t="s">
        <v>168</v>
      </c>
      <c r="B13" s="196" t="s">
        <v>169</v>
      </c>
      <c r="C13" s="197" t="s">
        <v>111</v>
      </c>
    </row>
    <row r="14" spans="1:7" ht="30" x14ac:dyDescent="0.25">
      <c r="A14" s="198" t="s">
        <v>170</v>
      </c>
      <c r="B14" s="199" t="s">
        <v>171</v>
      </c>
      <c r="C14" s="200" t="s">
        <v>111</v>
      </c>
    </row>
    <row r="15" spans="1:7" ht="45.75" thickBot="1" x14ac:dyDescent="0.3">
      <c r="A15" s="201" t="s">
        <v>172</v>
      </c>
      <c r="B15" s="202" t="s">
        <v>173</v>
      </c>
      <c r="C15" s="203" t="s">
        <v>63</v>
      </c>
    </row>
    <row r="16" spans="1:7" x14ac:dyDescent="0.25">
      <c r="C16" s="5"/>
    </row>
    <row r="17" spans="1:3" ht="15.75" thickBot="1" x14ac:dyDescent="0.3">
      <c r="C17" s="5"/>
    </row>
    <row r="18" spans="1:3" ht="18.75" thickBot="1" x14ac:dyDescent="0.3">
      <c r="A18" s="243" t="s">
        <v>132</v>
      </c>
      <c r="B18" s="244"/>
      <c r="C18" s="245"/>
    </row>
    <row r="19" spans="1:3" ht="30.75" thickBot="1" x14ac:dyDescent="0.3">
      <c r="A19" s="120" t="s">
        <v>108</v>
      </c>
      <c r="B19" s="121" t="s">
        <v>109</v>
      </c>
      <c r="C19" s="122" t="s">
        <v>110</v>
      </c>
    </row>
    <row r="20" spans="1:3" x14ac:dyDescent="0.25">
      <c r="A20" s="125" t="s">
        <v>112</v>
      </c>
      <c r="B20" s="123"/>
      <c r="C20" s="124"/>
    </row>
  </sheetData>
  <mergeCells count="2">
    <mergeCell ref="A1:C1"/>
    <mergeCell ref="A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Planning Parameters</vt:lpstr>
      <vt:lpstr>Net CONE</vt:lpstr>
      <vt:lpstr>Key Transmission Upgrades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Marzewski, Skyler</dc:creator>
  <cp:lastModifiedBy>Bachus, Tim D</cp:lastModifiedBy>
  <dcterms:created xsi:type="dcterms:W3CDTF">2021-08-09T11:52:54Z</dcterms:created>
  <dcterms:modified xsi:type="dcterms:W3CDTF">2024-07-11T21:06:15Z</dcterms:modified>
</cp:coreProperties>
</file>