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00" windowWidth="12240" windowHeight="9060" activeTab="0"/>
  </bookViews>
  <sheets>
    <sheet name="Summary" sheetId="1" r:id="rId1"/>
    <sheet name="BRA Resource Clearing Results" sheetId="2" r:id="rId2"/>
    <sheet name="BRA Load Pricing Results" sheetId="3" r:id="rId3"/>
    <sheet name="BRA CTRs" sheetId="4" r:id="rId4"/>
    <sheet name="BRA ICTRs" sheetId="5" r:id="rId5"/>
  </sheets>
  <definedNames>
    <definedName name="_xlnm.Print_Area" localSheetId="3">'BRA CTRs'!$A$1:$AB$45</definedName>
    <definedName name="_xlnm.Print_Area" localSheetId="4">'BRA ICTRs'!$A$1:$AC$105</definedName>
    <definedName name="_xlnm.Print_Area" localSheetId="2">'BRA Load Pricing Results'!$A$1:$L$59</definedName>
    <definedName name="_xlnm.Print_Area" localSheetId="1">'BRA Resource Clearing Results'!$A$1:$K$108</definedName>
    <definedName name="_xlnm.Print_Area" localSheetId="0">'Summary'!$A$1:$F$50</definedName>
  </definedNames>
  <calcPr fullCalcOnLoad="1"/>
</workbook>
</file>

<file path=xl/sharedStrings.xml><?xml version="1.0" encoding="utf-8"?>
<sst xmlns="http://schemas.openxmlformats.org/spreadsheetml/2006/main" count="800" uniqueCount="244">
  <si>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</si>
  <si>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</si>
  <si>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</si>
  <si>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</si>
  <si>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</si>
  <si>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</si>
  <si>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</si>
  <si>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</si>
  <si>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</si>
  <si>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</si>
  <si>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</si>
  <si>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</si>
  <si>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</si>
  <si>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</si>
  <si>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</si>
  <si>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</si>
  <si>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</si>
  <si>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</si>
  <si>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</si>
  <si>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</si>
  <si>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</si>
  <si>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</si>
  <si>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</si>
  <si>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</si>
  <si>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</si>
  <si>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</si>
  <si>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</si>
  <si>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</si>
  <si>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</si>
  <si>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</si>
  <si>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</si>
  <si>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</si>
  <si>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>LDA3</t>
  </si>
  <si>
    <t>Preliminary Zonal Capacity Price           [$/MW-day]</t>
  </si>
  <si>
    <t>RTO Reliability Requirement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</si>
  <si>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</si>
  <si>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</si>
  <si>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</si>
  <si>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</si>
  <si>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</si>
  <si>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</si>
  <si>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</si>
  <si>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</si>
  <si>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</si>
  <si>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</si>
  <si>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</si>
  <si>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</si>
  <si>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</si>
  <si>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</si>
  <si>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</si>
  <si>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</si>
  <si>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</si>
  <si>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</si>
  <si>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</si>
  <si>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</si>
  <si>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</si>
  <si>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</si>
  <si>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</si>
  <si>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</si>
  <si>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</si>
  <si>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</si>
  <si>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</si>
  <si>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</si>
  <si>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</si>
  <si>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</si>
  <si>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</si>
  <si>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</si>
  <si>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</si>
  <si>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</si>
  <si>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</si>
  <si>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</si>
  <si>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</si>
  <si>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</si>
  <si>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</si>
  <si>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</si>
  <si>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</si>
  <si>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</si>
  <si>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</si>
  <si>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</si>
  <si>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</si>
  <si>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</si>
  <si>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</si>
  <si>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</si>
  <si>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</si>
  <si>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CTRs Allocated to LSEs            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</si>
  <si>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</si>
  <si>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</si>
  <si>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</si>
  <si>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</si>
  <si>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</si>
  <si>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</si>
  <si>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</si>
  <si>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</si>
  <si>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</si>
  <si>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</si>
  <si>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</si>
  <si>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</si>
  <si>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</si>
  <si>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</si>
  <si>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</si>
  <si>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</si>
  <si>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</si>
  <si>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</si>
  <si>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</si>
  <si>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</si>
  <si>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</si>
  <si>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</si>
  <si>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</si>
  <si>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</si>
  <si>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</si>
  <si>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</si>
  <si>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</si>
  <si>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</si>
  <si>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</si>
  <si>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</si>
  <si>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</si>
  <si>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</si>
  <si>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</si>
  <si>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</si>
  <si>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</si>
  <si>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</si>
  <si>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</si>
  <si>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Capacity Cleared &amp; Resource Clearing Prices</t>
  </si>
  <si>
    <t>Base Residual Auction</t>
  </si>
  <si>
    <t>Zonal UCAP Obligations, Zonal Capacity Prices, &amp; Zonal CTR Credit Rates</t>
  </si>
  <si>
    <t>Base Zonal CTR Credit Rate ($/MW-UCAP Obligation-day)</t>
  </si>
  <si>
    <t>Total Resources Cleared for PJM LSEs (MW)</t>
  </si>
  <si>
    <t>** Obligation affected by FRR quantities.</t>
  </si>
  <si>
    <t>Base Zonal UCAP Obligation      (MW)</t>
  </si>
  <si>
    <t>Preliminary Zonal Capacity Price          ($/MW-day)</t>
  </si>
  <si>
    <t>Preliminary Zonal Net Load Price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</si>
  <si>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</si>
  <si>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</si>
  <si>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</si>
  <si>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</si>
  <si>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</si>
  <si>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</si>
  <si>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</si>
  <si>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</si>
  <si>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</si>
  <si>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</si>
  <si>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</si>
  <si>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</si>
  <si>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</si>
  <si>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</si>
  <si>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</si>
  <si>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</si>
  <si>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</si>
  <si>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</si>
  <si>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</si>
  <si>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</si>
  <si>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</si>
  <si>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</si>
  <si>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COMED **</t>
  </si>
  <si>
    <t>Certified ICTR [MW]</t>
  </si>
  <si>
    <t>Lower Voltage Facility: b1251, b1251.1</t>
  </si>
  <si>
    <t>ICTRs for Lower Voltage Facility: b1251, b1251.1 [MW]</t>
  </si>
  <si>
    <t>COMED ***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</si>
  <si>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</si>
  <si>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</si>
  <si>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</si>
  <si>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</si>
  <si>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</si>
  <si>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</si>
  <si>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</si>
  <si>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</si>
  <si>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</si>
  <si>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</si>
  <si>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</si>
  <si>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</si>
  <si>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</si>
  <si>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</si>
  <si>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</si>
  <si>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</si>
  <si>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</si>
  <si>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</si>
  <si>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</si>
  <si>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</si>
  <si>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RTO *</t>
  </si>
  <si>
    <t>* RTO resources do not include resources modeled in External Source Zones.</t>
  </si>
  <si>
    <t>Summary of 2018/2019 Base Residual Auction Results</t>
  </si>
  <si>
    <t>2018/2019 BRA Resource Clearing Results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</si>
  <si>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</si>
  <si>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</si>
  <si>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</si>
  <si>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</si>
  <si>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</si>
  <si>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</si>
  <si>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</si>
  <si>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</si>
  <si>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</si>
  <si>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</si>
  <si>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</si>
  <si>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</si>
  <si>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2018/2019 BRA Load Pricing Results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</si>
  <si>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</si>
  <si>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</si>
  <si>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</si>
  <si>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</si>
  <si>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</si>
  <si>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</si>
  <si>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</si>
  <si>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</si>
  <si>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</si>
  <si>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2014 W/N Coincident Peak Load               [MW]</t>
  </si>
  <si>
    <t>2018/2019 Prelim. Zonal Peak Load Forecast                     [MW]</t>
  </si>
  <si>
    <t xml:space="preserve">2018/2019 BRA ICTRs </t>
  </si>
  <si>
    <t>Regional Facilities (500 kV and above)</t>
  </si>
  <si>
    <t xml:space="preserve">ICTRs [MW] for Regional Facilities </t>
  </si>
  <si>
    <t>b2373: Build 2nd Loudoun - Brambleton 500 kV line (effective 2018/2019)</t>
  </si>
  <si>
    <t>b1251.1, b1251: Re-build the existing and build a second Raphael-Bagley 230 kV (2017/2018)</t>
  </si>
  <si>
    <t>b2443: Construct new underground 230 kV line fromGlebe to Station C (2018/2019).</t>
  </si>
  <si>
    <t>Y1-082:  Uprate bus equipment at Wye Mills 69 kV substation (2016/2017)</t>
  </si>
  <si>
    <t>Y3-082:  Upgrade Easton-Trappe Tap 69 kV circuit to 136/174 MVA SN/SE (2017/2018).</t>
  </si>
  <si>
    <t>Z2-017: Bristers Ox 500 kV (2018/2019).</t>
  </si>
  <si>
    <t>Lower Voltage Facility: b2443</t>
  </si>
  <si>
    <t>Regional Facilities</t>
  </si>
  <si>
    <t>ICTRs for Lower Voltage Facility: b2443 [MW]</t>
  </si>
  <si>
    <t>2018/2019 DY BRA CTRs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</si>
  <si>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</si>
  <si>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</si>
  <si>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</si>
  <si>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</si>
  <si>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</si>
  <si>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</si>
  <si>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</si>
  <si>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</si>
  <si>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</si>
  <si>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</si>
  <si>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</si>
  <si>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</si>
  <si>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Capacity Performance Resource Clearing Price            ($/MW-day)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</si>
  <si>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</si>
  <si>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</si>
  <si>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</si>
  <si>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</si>
  <si>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</si>
  <si>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</si>
  <si>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</si>
  <si>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</si>
  <si>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</si>
  <si>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</si>
  <si>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***  No external capacity modeled in the External Source Zones was offered in 2018/2019 BRA.</t>
  </si>
  <si>
    <t xml:space="preserve">Note:  Cost Allocation Percentages are based on July 2015 Transmission Enhancement Worksheet available at http://www.pjm.com/~/media/committees-groups/subcommittees/mss/postings/transmission-enhancement-worksheet-july-2015.ashx or 2015 cost responsibility assignments from the OATT (from 1-1-15 update).  The cost allocation percentages may change during actual Delivery Year.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</si>
</sst>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_);_(* \(#,##0\);_(* &quot;-&quot;??_);_(@_)"/>
    <numFmt numFmtId="211" formatCode="_(* #,##0.000000_);_(* \(#,##0.000000\);_(* &quot;-&quot;??_);_(@_)"/>
    <numFmt numFmtId="212" formatCode="_(* #,##0.000000000_);_(* \(#,##0.000000000\);_(* &quot;-&quot;??_);_(@_)"/>
    <numFmt numFmtId="213" formatCode="_(* #,##0.0000000_);_(* \(#,##0.0000000\);_(* &quot;-&quot;??_);_(@_)"/>
    <numFmt numFmtId="214" formatCode="_(* #,##0.00000000_);_(* \(#,##0.00000000\);_(* &quot;-&quot;??_);_(@_)"/>
  </numFmts>
  <fonts count="59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54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5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5" fillId="2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vertical="center"/>
    </xf>
    <xf numFmtId="192" fontId="26" fillId="2" borderId="10" xfId="42" applyNumberFormat="1" applyFont="1" applyFill="1" applyBorder="1" applyAlignment="1">
      <alignment vertical="center"/>
    </xf>
    <xf numFmtId="165" fontId="26" fillId="2" borderId="10" xfId="45" applyNumberFormat="1" applyFont="1" applyFill="1" applyBorder="1" applyAlignment="1">
      <alignment vertical="center"/>
    </xf>
    <xf numFmtId="0" fontId="26" fillId="7" borderId="10" xfId="0" applyFont="1" applyFill="1" applyBorder="1" applyAlignment="1">
      <alignment/>
    </xf>
    <xf numFmtId="192" fontId="26" fillId="2" borderId="10" xfId="42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6" fillId="2" borderId="10" xfId="42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65" fontId="26" fillId="2" borderId="10" xfId="42" applyNumberFormat="1" applyFont="1" applyFill="1" applyBorder="1" applyAlignment="1">
      <alignment vertical="center"/>
    </xf>
    <xf numFmtId="165" fontId="26" fillId="2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5" fontId="26" fillId="0" borderId="1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/>
    </xf>
    <xf numFmtId="165" fontId="5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192" fontId="26" fillId="0" borderId="10" xfId="42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192" fontId="26" fillId="0" borderId="10" xfId="42" applyNumberFormat="1" applyFont="1" applyFill="1" applyBorder="1" applyAlignment="1">
      <alignment horizontal="right"/>
    </xf>
    <xf numFmtId="1" fontId="26" fillId="0" borderId="10" xfId="42" applyNumberFormat="1" applyFont="1" applyBorder="1" applyAlignment="1">
      <alignment/>
    </xf>
    <xf numFmtId="1" fontId="26" fillId="0" borderId="10" xfId="42" applyNumberFormat="1" applyFont="1" applyFill="1" applyBorder="1" applyAlignment="1">
      <alignment horizontal="right"/>
    </xf>
    <xf numFmtId="192" fontId="26" fillId="0" borderId="0" xfId="0" applyNumberFormat="1" applyFont="1" applyBorder="1" applyAlignment="1">
      <alignment/>
    </xf>
    <xf numFmtId="0" fontId="26" fillId="0" borderId="11" xfId="0" applyFont="1" applyBorder="1" applyAlignment="1">
      <alignment/>
    </xf>
    <xf numFmtId="174" fontId="26" fillId="0" borderId="10" xfId="0" applyNumberFormat="1" applyFont="1" applyBorder="1" applyAlignment="1">
      <alignment horizontal="right"/>
    </xf>
    <xf numFmtId="174" fontId="26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5" fontId="26" fillId="0" borderId="1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0" fontId="26" fillId="0" borderId="11" xfId="0" applyFont="1" applyFill="1" applyBorder="1" applyAlignment="1">
      <alignment/>
    </xf>
    <xf numFmtId="174" fontId="25" fillId="0" borderId="1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left"/>
    </xf>
    <xf numFmtId="174" fontId="26" fillId="0" borderId="0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92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7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165" fontId="26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74" fontId="25" fillId="0" borderId="10" xfId="0" applyNumberFormat="1" applyFont="1" applyBorder="1" applyAlignment="1">
      <alignment/>
    </xf>
    <xf numFmtId="165" fontId="25" fillId="0" borderId="10" xfId="0" applyNumberFormat="1" applyFont="1" applyBorder="1" applyAlignment="1">
      <alignment/>
    </xf>
    <xf numFmtId="174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5" fontId="26" fillId="0" borderId="0" xfId="0" applyNumberFormat="1" applyFont="1" applyBorder="1" applyAlignment="1">
      <alignment horizontal="center" wrapText="1"/>
    </xf>
    <xf numFmtId="164" fontId="57" fillId="0" borderId="0" xfId="0" applyNumberFormat="1" applyFont="1" applyBorder="1" applyAlignment="1">
      <alignment horizontal="center"/>
    </xf>
    <xf numFmtId="165" fontId="26" fillId="0" borderId="0" xfId="42" applyNumberFormat="1" applyFont="1" applyBorder="1" applyAlignment="1">
      <alignment horizontal="center"/>
    </xf>
    <xf numFmtId="192" fontId="26" fillId="0" borderId="0" xfId="42" applyNumberFormat="1" applyFont="1" applyBorder="1" applyAlignment="1">
      <alignment horizontal="center"/>
    </xf>
    <xf numFmtId="192" fontId="56" fillId="0" borderId="0" xfId="42" applyNumberFormat="1" applyFont="1" applyBorder="1" applyAlignment="1">
      <alignment horizontal="left"/>
    </xf>
    <xf numFmtId="164" fontId="26" fillId="0" borderId="0" xfId="0" applyNumberFormat="1" applyFont="1" applyBorder="1" applyAlignment="1">
      <alignment horizontal="center"/>
    </xf>
    <xf numFmtId="165" fontId="26" fillId="0" borderId="0" xfId="45" applyNumberFormat="1" applyFont="1" applyBorder="1" applyAlignment="1">
      <alignment horizontal="center"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74" fontId="26" fillId="0" borderId="0" xfId="0" applyNumberFormat="1" applyFont="1" applyAlignment="1">
      <alignment/>
    </xf>
    <xf numFmtId="4" fontId="26" fillId="0" borderId="0" xfId="0" applyNumberFormat="1" applyFont="1" applyBorder="1" applyAlignment="1">
      <alignment horizontal="right"/>
    </xf>
    <xf numFmtId="193" fontId="26" fillId="0" borderId="0" xfId="0" applyNumberFormat="1" applyFont="1" applyAlignment="1">
      <alignment/>
    </xf>
    <xf numFmtId="165" fontId="26" fillId="0" borderId="10" xfId="42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188" fontId="32" fillId="0" borderId="0" xfId="0" applyNumberFormat="1" applyFont="1" applyBorder="1" applyAlignment="1">
      <alignment/>
    </xf>
    <xf numFmtId="165" fontId="29" fillId="0" borderId="0" xfId="0" applyNumberFormat="1" applyFont="1" applyBorder="1" applyAlignment="1">
      <alignment/>
    </xf>
    <xf numFmtId="0" fontId="57" fillId="0" borderId="0" xfId="0" applyNumberFormat="1" applyFont="1" applyBorder="1" applyAlignment="1">
      <alignment horizontal="center" wrapText="1"/>
    </xf>
    <xf numFmtId="0" fontId="25" fillId="0" borderId="14" xfId="0" applyNumberFormat="1" applyFont="1" applyFill="1" applyBorder="1" applyAlignment="1">
      <alignment horizontal="center" wrapText="1"/>
    </xf>
    <xf numFmtId="0" fontId="25" fillId="0" borderId="15" xfId="0" applyNumberFormat="1" applyFont="1" applyFill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70" fontId="26" fillId="0" borderId="10" xfId="0" applyNumberFormat="1" applyFont="1" applyBorder="1" applyAlignment="1">
      <alignment/>
    </xf>
    <xf numFmtId="192" fontId="26" fillId="0" borderId="10" xfId="42" applyNumberFormat="1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7" fontId="26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26" fillId="0" borderId="0" xfId="0" applyNumberFormat="1" applyFont="1" applyBorder="1" applyAlignment="1">
      <alignment/>
    </xf>
    <xf numFmtId="7" fontId="26" fillId="0" borderId="0" xfId="0" applyNumberFormat="1" applyFont="1" applyFill="1" applyBorder="1" applyAlignment="1">
      <alignment horizontal="left" wrapText="1"/>
    </xf>
    <xf numFmtId="43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92" fontId="26" fillId="0" borderId="10" xfId="42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6" fillId="0" borderId="11" xfId="0" applyFont="1" applyBorder="1" applyAlignment="1">
      <alignment horizontal="left"/>
    </xf>
    <xf numFmtId="3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164" fontId="26" fillId="0" borderId="10" xfId="42" applyNumberFormat="1" applyFont="1" applyBorder="1" applyAlignment="1">
      <alignment/>
    </xf>
    <xf numFmtId="0" fontId="26" fillId="0" borderId="18" xfId="0" applyFont="1" applyFill="1" applyBorder="1" applyAlignment="1">
      <alignment horizontal="left"/>
    </xf>
    <xf numFmtId="192" fontId="26" fillId="0" borderId="17" xfId="42" applyNumberFormat="1" applyFont="1" applyBorder="1" applyAlignment="1">
      <alignment/>
    </xf>
    <xf numFmtId="164" fontId="26" fillId="0" borderId="17" xfId="42" applyNumberFormat="1" applyFont="1" applyBorder="1" applyAlignment="1">
      <alignment/>
    </xf>
    <xf numFmtId="3" fontId="26" fillId="0" borderId="17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5" fontId="25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26" fillId="0" borderId="0" xfId="0" applyNumberFormat="1" applyFont="1" applyAlignment="1">
      <alignment horizontal="left"/>
    </xf>
    <xf numFmtId="165" fontId="26" fillId="0" borderId="13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/>
    </xf>
    <xf numFmtId="165" fontId="26" fillId="0" borderId="12" xfId="45" applyNumberFormat="1" applyFont="1" applyBorder="1" applyAlignment="1">
      <alignment horizontal="right"/>
    </xf>
    <xf numFmtId="174" fontId="26" fillId="0" borderId="11" xfId="0" applyNumberFormat="1" applyFont="1" applyBorder="1" applyAlignment="1">
      <alignment horizontal="right"/>
    </xf>
    <xf numFmtId="165" fontId="26" fillId="0" borderId="12" xfId="0" applyNumberFormat="1" applyFont="1" applyBorder="1" applyAlignment="1">
      <alignment horizontal="right"/>
    </xf>
    <xf numFmtId="192" fontId="26" fillId="0" borderId="11" xfId="42" applyNumberFormat="1" applyFont="1" applyBorder="1" applyAlignment="1">
      <alignment horizontal="right"/>
    </xf>
    <xf numFmtId="0" fontId="26" fillId="0" borderId="18" xfId="0" applyFont="1" applyFill="1" applyBorder="1" applyAlignment="1">
      <alignment/>
    </xf>
    <xf numFmtId="164" fontId="26" fillId="0" borderId="19" xfId="0" applyNumberFormat="1" applyFont="1" applyBorder="1" applyAlignment="1">
      <alignment horizontal="right"/>
    </xf>
    <xf numFmtId="165" fontId="26" fillId="0" borderId="20" xfId="45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5" fontId="25" fillId="0" borderId="22" xfId="45" applyNumberFormat="1" applyFont="1" applyBorder="1" applyAlignment="1">
      <alignment horizontal="right"/>
    </xf>
    <xf numFmtId="174" fontId="26" fillId="0" borderId="21" xfId="0" applyNumberFormat="1" applyFont="1" applyBorder="1" applyAlignment="1">
      <alignment horizontal="right"/>
    </xf>
    <xf numFmtId="165" fontId="25" fillId="0" borderId="23" xfId="45" applyNumberFormat="1" applyFont="1" applyBorder="1" applyAlignment="1">
      <alignment horizontal="right"/>
    </xf>
    <xf numFmtId="44" fontId="25" fillId="0" borderId="23" xfId="45" applyFont="1" applyBorder="1" applyAlignment="1">
      <alignment horizontal="right"/>
    </xf>
    <xf numFmtId="44" fontId="25" fillId="0" borderId="22" xfId="45" applyFont="1" applyBorder="1" applyAlignment="1">
      <alignment horizontal="right"/>
    </xf>
    <xf numFmtId="165" fontId="26" fillId="0" borderId="18" xfId="0" applyNumberFormat="1" applyFont="1" applyBorder="1" applyAlignment="1">
      <alignment horizontal="center" wrapText="1"/>
    </xf>
    <xf numFmtId="165" fontId="26" fillId="0" borderId="13" xfId="45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 vertical="center" wrapText="1"/>
    </xf>
    <xf numFmtId="10" fontId="26" fillId="0" borderId="10" xfId="62" applyNumberFormat="1" applyFont="1" applyFill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right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/>
    </xf>
    <xf numFmtId="164" fontId="25" fillId="0" borderId="18" xfId="0" applyNumberFormat="1" applyFont="1" applyBorder="1" applyAlignment="1">
      <alignment horizontal="right"/>
    </xf>
    <xf numFmtId="164" fontId="25" fillId="0" borderId="17" xfId="0" applyNumberFormat="1" applyFont="1" applyBorder="1" applyAlignment="1">
      <alignment horizontal="right"/>
    </xf>
    <xf numFmtId="165" fontId="25" fillId="0" borderId="13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165" fontId="26" fillId="0" borderId="28" xfId="0" applyNumberFormat="1" applyFont="1" applyBorder="1" applyAlignment="1">
      <alignment/>
    </xf>
    <xf numFmtId="165" fontId="26" fillId="0" borderId="20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 wrapText="1"/>
    </xf>
    <xf numFmtId="165" fontId="26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/>
    </xf>
    <xf numFmtId="164" fontId="56" fillId="0" borderId="0" xfId="0" applyNumberFormat="1" applyFont="1" applyBorder="1" applyAlignment="1">
      <alignment horizontal="center" vertical="center" wrapText="1"/>
    </xf>
    <xf numFmtId="165" fontId="26" fillId="3" borderId="10" xfId="0" applyNumberFormat="1" applyFont="1" applyFill="1" applyBorder="1" applyAlignment="1">
      <alignment horizontal="right"/>
    </xf>
    <xf numFmtId="165" fontId="26" fillId="12" borderId="10" xfId="0" applyNumberFormat="1" applyFont="1" applyFill="1" applyBorder="1" applyAlignment="1">
      <alignment/>
    </xf>
    <xf numFmtId="165" fontId="26" fillId="12" borderId="10" xfId="0" applyNumberFormat="1" applyFont="1" applyFill="1" applyBorder="1" applyAlignment="1">
      <alignment horizontal="right"/>
    </xf>
    <xf numFmtId="7" fontId="26" fillId="12" borderId="10" xfId="0" applyNumberFormat="1" applyFont="1" applyFill="1" applyBorder="1" applyAlignment="1">
      <alignment horizontal="right"/>
    </xf>
    <xf numFmtId="165" fontId="25" fillId="12" borderId="10" xfId="0" applyNumberFormat="1" applyFont="1" applyFill="1" applyBorder="1" applyAlignment="1">
      <alignment horizontal="right"/>
    </xf>
    <xf numFmtId="165" fontId="26" fillId="12" borderId="10" xfId="45" applyNumberFormat="1" applyFont="1" applyFill="1" applyBorder="1" applyAlignment="1">
      <alignment horizontal="right"/>
    </xf>
    <xf numFmtId="165" fontId="26" fillId="12" borderId="10" xfId="42" applyNumberFormat="1" applyFont="1" applyFill="1" applyBorder="1" applyAlignment="1">
      <alignment horizontal="right"/>
    </xf>
    <xf numFmtId="165" fontId="25" fillId="12" borderId="10" xfId="45" applyNumberFormat="1" applyFont="1" applyFill="1" applyBorder="1" applyAlignment="1">
      <alignment/>
    </xf>
    <xf numFmtId="192" fontId="26" fillId="9" borderId="12" xfId="42" applyNumberFormat="1" applyFont="1" applyFill="1" applyBorder="1" applyAlignment="1">
      <alignment horizontal="right"/>
    </xf>
    <xf numFmtId="1" fontId="26" fillId="9" borderId="12" xfId="42" applyNumberFormat="1" applyFont="1" applyFill="1" applyBorder="1" applyAlignment="1">
      <alignment horizontal="right"/>
    </xf>
    <xf numFmtId="1" fontId="26" fillId="9" borderId="13" xfId="42" applyNumberFormat="1" applyFont="1" applyFill="1" applyBorder="1" applyAlignment="1">
      <alignment/>
    </xf>
    <xf numFmtId="0" fontId="25" fillId="12" borderId="15" xfId="0" applyNumberFormat="1" applyFont="1" applyFill="1" applyBorder="1" applyAlignment="1">
      <alignment horizontal="center" wrapText="1"/>
    </xf>
    <xf numFmtId="0" fontId="25" fillId="12" borderId="16" xfId="0" applyNumberFormat="1" applyFont="1" applyFill="1" applyBorder="1" applyAlignment="1">
      <alignment horizontal="center" wrapText="1"/>
    </xf>
    <xf numFmtId="165" fontId="26" fillId="12" borderId="12" xfId="0" applyNumberFormat="1" applyFont="1" applyFill="1" applyBorder="1" applyAlignment="1">
      <alignment horizontal="right"/>
    </xf>
    <xf numFmtId="165" fontId="26" fillId="12" borderId="28" xfId="0" applyNumberFormat="1" applyFont="1" applyFill="1" applyBorder="1" applyAlignment="1">
      <alignment horizontal="right"/>
    </xf>
    <xf numFmtId="165" fontId="26" fillId="12" borderId="20" xfId="0" applyNumberFormat="1" applyFont="1" applyFill="1" applyBorder="1" applyAlignment="1">
      <alignment horizontal="right"/>
    </xf>
    <xf numFmtId="0" fontId="30" fillId="16" borderId="24" xfId="0" applyFont="1" applyFill="1" applyBorder="1" applyAlignment="1">
      <alignment horizontal="center"/>
    </xf>
    <xf numFmtId="0" fontId="30" fillId="18" borderId="28" xfId="0" applyFont="1" applyFill="1" applyBorder="1" applyAlignment="1">
      <alignment horizontal="center"/>
    </xf>
    <xf numFmtId="0" fontId="30" fillId="15" borderId="29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/>
    </xf>
    <xf numFmtId="167" fontId="26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3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/>
    </xf>
    <xf numFmtId="0" fontId="30" fillId="15" borderId="10" xfId="0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166" fontId="26" fillId="0" borderId="10" xfId="62" applyNumberFormat="1" applyFont="1" applyFill="1" applyBorder="1" applyAlignment="1">
      <alignment horizontal="right"/>
    </xf>
    <xf numFmtId="173" fontId="26" fillId="0" borderId="10" xfId="62" applyNumberFormat="1" applyFont="1" applyFill="1" applyBorder="1" applyAlignment="1">
      <alignment horizontal="right"/>
    </xf>
    <xf numFmtId="170" fontId="26" fillId="0" borderId="10" xfId="62" applyNumberFormat="1" applyFont="1" applyBorder="1" applyAlignment="1">
      <alignment horizontal="right"/>
    </xf>
    <xf numFmtId="0" fontId="30" fillId="18" borderId="28" xfId="0" applyFont="1" applyFill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5" fillId="11" borderId="10" xfId="0" applyNumberFormat="1" applyFont="1" applyFill="1" applyBorder="1" applyAlignment="1">
      <alignment horizontal="center" wrapText="1"/>
    </xf>
    <xf numFmtId="192" fontId="26" fillId="0" borderId="10" xfId="42" applyNumberFormat="1" applyFont="1" applyFill="1" applyBorder="1" applyAlignment="1">
      <alignment/>
    </xf>
    <xf numFmtId="165" fontId="26" fillId="11" borderId="10" xfId="0" applyNumberFormat="1" applyFont="1" applyFill="1" applyBorder="1" applyAlignment="1">
      <alignment horizontal="right"/>
    </xf>
    <xf numFmtId="192" fontId="25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92" fontId="25" fillId="0" borderId="10" xfId="42" applyNumberFormat="1" applyFont="1" applyFill="1" applyBorder="1" applyAlignment="1">
      <alignment/>
    </xf>
    <xf numFmtId="192" fontId="25" fillId="0" borderId="10" xfId="42" applyNumberFormat="1" applyFont="1" applyBorder="1" applyAlignment="1">
      <alignment horizontal="left" indent="2"/>
    </xf>
    <xf numFmtId="164" fontId="25" fillId="0" borderId="10" xfId="0" applyNumberFormat="1" applyFont="1" applyBorder="1" applyAlignment="1">
      <alignment horizontal="center"/>
    </xf>
    <xf numFmtId="0" fontId="30" fillId="17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43" fontId="26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44" fontId="25" fillId="0" borderId="10" xfId="45" applyFont="1" applyBorder="1" applyAlignment="1">
      <alignment horizontal="center" vertical="center" wrapText="1"/>
    </xf>
    <xf numFmtId="44" fontId="25" fillId="0" borderId="10" xfId="45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164" fontId="26" fillId="0" borderId="11" xfId="0" applyNumberFormat="1" applyFont="1" applyFill="1" applyBorder="1" applyAlignment="1">
      <alignment horizontal="right" vertical="center"/>
    </xf>
    <xf numFmtId="164" fontId="26" fillId="0" borderId="31" xfId="0" applyNumberFormat="1" applyFont="1" applyFill="1" applyBorder="1" applyAlignment="1">
      <alignment horizontal="right" vertical="center"/>
    </xf>
    <xf numFmtId="164" fontId="25" fillId="9" borderId="11" xfId="0" applyNumberFormat="1" applyFont="1" applyFill="1" applyBorder="1" applyAlignment="1">
      <alignment horizontal="right" vertical="center"/>
    </xf>
    <xf numFmtId="164" fontId="25" fillId="9" borderId="31" xfId="0" applyNumberFormat="1" applyFont="1" applyFill="1" applyBorder="1" applyAlignment="1">
      <alignment vertical="center"/>
    </xf>
    <xf numFmtId="164" fontId="25" fillId="0" borderId="11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vertical="center"/>
    </xf>
    <xf numFmtId="164" fontId="26" fillId="0" borderId="27" xfId="0" applyNumberFormat="1" applyFont="1" applyFill="1" applyBorder="1" applyAlignment="1">
      <alignment horizontal="right" vertical="center"/>
    </xf>
    <xf numFmtId="164" fontId="25" fillId="9" borderId="31" xfId="0" applyNumberFormat="1" applyFont="1" applyFill="1" applyBorder="1" applyAlignment="1">
      <alignment horizontal="right" vertical="center"/>
    </xf>
    <xf numFmtId="164" fontId="25" fillId="9" borderId="32" xfId="0" applyNumberFormat="1" applyFont="1" applyFill="1" applyBorder="1" applyAlignment="1">
      <alignment horizontal="right" vertical="center"/>
    </xf>
    <xf numFmtId="164" fontId="56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horizontal="right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64" fontId="3" fillId="0" borderId="0" xfId="59" applyNumberFormat="1" applyFont="1" applyBorder="1" applyAlignment="1">
      <alignment horizontal="center" vertical="center" wrapText="1"/>
      <protection/>
    </xf>
    <xf numFmtId="10" fontId="0" fillId="0" borderId="0" xfId="63" applyNumberFormat="1" applyFont="1" applyFill="1" applyBorder="1" applyAlignment="1">
      <alignment horizontal="right"/>
    </xf>
    <xf numFmtId="0" fontId="30" fillId="18" borderId="10" xfId="0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10" fontId="25" fillId="0" borderId="10" xfId="0" applyNumberFormat="1" applyFont="1" applyBorder="1" applyAlignment="1">
      <alignment horizontal="right"/>
    </xf>
    <xf numFmtId="164" fontId="25" fillId="0" borderId="3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165" fontId="25" fillId="0" borderId="22" xfId="0" applyNumberFormat="1" applyFont="1" applyBorder="1" applyAlignment="1">
      <alignment horizontal="center" vertical="center"/>
    </xf>
    <xf numFmtId="165" fontId="26" fillId="0" borderId="35" xfId="0" applyNumberFormat="1" applyFont="1" applyBorder="1" applyAlignment="1">
      <alignment/>
    </xf>
    <xf numFmtId="165" fontId="25" fillId="0" borderId="36" xfId="0" applyNumberFormat="1" applyFont="1" applyBorder="1" applyAlignment="1">
      <alignment horizontal="right"/>
    </xf>
    <xf numFmtId="164" fontId="26" fillId="0" borderId="37" xfId="0" applyNumberFormat="1" applyFont="1" applyBorder="1" applyAlignment="1">
      <alignment horizontal="right"/>
    </xf>
    <xf numFmtId="164" fontId="25" fillId="0" borderId="38" xfId="0" applyNumberFormat="1" applyFont="1" applyBorder="1" applyAlignment="1">
      <alignment horizontal="right"/>
    </xf>
    <xf numFmtId="164" fontId="25" fillId="0" borderId="14" xfId="0" applyNumberFormat="1" applyFont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1" fontId="26" fillId="0" borderId="10" xfId="42" applyNumberFormat="1" applyFont="1" applyBorder="1" applyAlignment="1">
      <alignment horizontal="right"/>
    </xf>
    <xf numFmtId="164" fontId="26" fillId="0" borderId="10" xfId="42" applyNumberFormat="1" applyFont="1" applyFill="1" applyBorder="1" applyAlignment="1">
      <alignment/>
    </xf>
    <xf numFmtId="164" fontId="26" fillId="0" borderId="17" xfId="42" applyNumberFormat="1" applyFont="1" applyFill="1" applyBorder="1" applyAlignment="1">
      <alignment/>
    </xf>
    <xf numFmtId="43" fontId="56" fillId="0" borderId="0" xfId="0" applyNumberFormat="1" applyFont="1" applyAlignment="1">
      <alignment/>
    </xf>
    <xf numFmtId="0" fontId="25" fillId="7" borderId="10" xfId="0" applyNumberFormat="1" applyFont="1" applyFill="1" applyBorder="1" applyAlignment="1">
      <alignment horizontal="center" wrapText="1"/>
    </xf>
    <xf numFmtId="192" fontId="26" fillId="7" borderId="10" xfId="42" applyNumberFormat="1" applyFont="1" applyFill="1" applyBorder="1" applyAlignment="1">
      <alignment/>
    </xf>
    <xf numFmtId="0" fontId="25" fillId="0" borderId="39" xfId="0" applyFont="1" applyBorder="1" applyAlignment="1">
      <alignment horizontal="center" vertical="center" wrapText="1"/>
    </xf>
    <xf numFmtId="165" fontId="26" fillId="0" borderId="40" xfId="0" applyNumberFormat="1" applyFont="1" applyBorder="1" applyAlignment="1">
      <alignment horizontal="right"/>
    </xf>
    <xf numFmtId="165" fontId="25" fillId="0" borderId="41" xfId="0" applyNumberFormat="1" applyFont="1" applyBorder="1" applyAlignment="1">
      <alignment horizontal="right"/>
    </xf>
    <xf numFmtId="0" fontId="25" fillId="0" borderId="42" xfId="0" applyFont="1" applyFill="1" applyBorder="1" applyAlignment="1">
      <alignment horizontal="center" vertical="center" wrapText="1"/>
    </xf>
    <xf numFmtId="164" fontId="26" fillId="0" borderId="43" xfId="0" applyNumberFormat="1" applyFont="1" applyBorder="1" applyAlignment="1">
      <alignment horizontal="right"/>
    </xf>
    <xf numFmtId="164" fontId="26" fillId="0" borderId="35" xfId="0" applyNumberFormat="1" applyFont="1" applyBorder="1" applyAlignment="1">
      <alignment horizontal="right"/>
    </xf>
    <xf numFmtId="164" fontId="25" fillId="0" borderId="36" xfId="0" applyNumberFormat="1" applyFont="1" applyBorder="1" applyAlignment="1">
      <alignment horizontal="right"/>
    </xf>
    <xf numFmtId="165" fontId="25" fillId="0" borderId="44" xfId="0" applyNumberFormat="1" applyFont="1" applyBorder="1" applyAlignment="1">
      <alignment horizontal="center" vertical="center"/>
    </xf>
    <xf numFmtId="165" fontId="25" fillId="0" borderId="33" xfId="0" applyNumberFormat="1" applyFont="1" applyBorder="1" applyAlignment="1">
      <alignment horizontal="center" vertical="center" wrapText="1"/>
    </xf>
    <xf numFmtId="165" fontId="25" fillId="0" borderId="35" xfId="0" applyNumberFormat="1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right" vertical="center" wrapText="1"/>
    </xf>
    <xf numFmtId="165" fontId="25" fillId="0" borderId="47" xfId="0" applyNumberFormat="1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left" wrapText="1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 wrapText="1"/>
    </xf>
    <xf numFmtId="165" fontId="26" fillId="2" borderId="10" xfId="45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4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left" vertical="center" wrapText="1"/>
    </xf>
    <xf numFmtId="0" fontId="25" fillId="9" borderId="27" xfId="0" applyFont="1" applyFill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9" borderId="51" xfId="0" applyFont="1" applyFill="1" applyBorder="1" applyAlignment="1">
      <alignment horizontal="right" vertical="center" wrapText="1"/>
    </xf>
    <xf numFmtId="164" fontId="25" fillId="9" borderId="18" xfId="0" applyNumberFormat="1" applyFont="1" applyFill="1" applyBorder="1" applyAlignment="1">
      <alignment horizontal="right" vertical="center"/>
    </xf>
    <xf numFmtId="7" fontId="26" fillId="0" borderId="10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NumberFormat="1" applyFont="1" applyFill="1" applyBorder="1" applyAlignment="1">
      <alignment horizontal="left" vertical="center" wrapText="1"/>
    </xf>
    <xf numFmtId="0" fontId="30" fillId="15" borderId="28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/>
    </xf>
    <xf numFmtId="0" fontId="30" fillId="17" borderId="35" xfId="0" applyFont="1" applyFill="1" applyBorder="1" applyAlignment="1">
      <alignment horizontal="center"/>
    </xf>
    <xf numFmtId="0" fontId="30" fillId="17" borderId="37" xfId="0" applyFont="1" applyFill="1" applyBorder="1" applyAlignment="1">
      <alignment horizontal="center"/>
    </xf>
    <xf numFmtId="0" fontId="30" fillId="16" borderId="35" xfId="0" applyFont="1" applyFill="1" applyBorder="1" applyAlignment="1">
      <alignment horizontal="center"/>
    </xf>
    <xf numFmtId="0" fontId="30" fillId="16" borderId="37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30" fillId="18" borderId="52" xfId="0" applyFont="1" applyFill="1" applyBorder="1" applyAlignment="1">
      <alignment horizontal="center" vertical="center" wrapText="1"/>
    </xf>
    <xf numFmtId="0" fontId="30" fillId="18" borderId="53" xfId="0" applyFont="1" applyFill="1" applyBorder="1" applyAlignment="1">
      <alignment horizontal="center" vertical="center" wrapText="1"/>
    </xf>
    <xf numFmtId="0" fontId="30" fillId="18" borderId="54" xfId="0" applyFont="1" applyFill="1" applyBorder="1" applyAlignment="1">
      <alignment horizontal="center" vertical="center" wrapText="1"/>
    </xf>
    <xf numFmtId="0" fontId="30" fillId="18" borderId="46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55" xfId="0" applyFont="1" applyFill="1" applyBorder="1" applyAlignment="1">
      <alignment horizontal="center" vertical="center" wrapText="1"/>
    </xf>
    <xf numFmtId="0" fontId="30" fillId="18" borderId="56" xfId="0" applyFont="1" applyFill="1" applyBorder="1" applyAlignment="1">
      <alignment horizontal="center" vertical="center" wrapText="1"/>
    </xf>
    <xf numFmtId="0" fontId="30" fillId="18" borderId="57" xfId="0" applyFont="1" applyFill="1" applyBorder="1" applyAlignment="1">
      <alignment horizontal="center" vertical="center" wrapText="1"/>
    </xf>
    <xf numFmtId="0" fontId="30" fillId="18" borderId="5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right"/>
    </xf>
    <xf numFmtId="0" fontId="25" fillId="0" borderId="59" xfId="0" applyFont="1" applyFill="1" applyBorder="1" applyAlignment="1">
      <alignment horizontal="right"/>
    </xf>
    <xf numFmtId="0" fontId="25" fillId="0" borderId="45" xfId="0" applyFont="1" applyFill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2" fillId="0" borderId="6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0" fillId="15" borderId="29" xfId="0" applyFont="1" applyFill="1" applyBorder="1" applyAlignment="1">
      <alignment horizontal="center" vertical="center" wrapText="1"/>
    </xf>
    <xf numFmtId="0" fontId="36" fillId="15" borderId="61" xfId="0" applyFont="1" applyFill="1" applyBorder="1" applyAlignment="1">
      <alignment/>
    </xf>
    <xf numFmtId="165" fontId="25" fillId="0" borderId="25" xfId="0" applyNumberFormat="1" applyFont="1" applyBorder="1" applyAlignment="1">
      <alignment horizontal="center" vertical="center" wrapText="1"/>
    </xf>
    <xf numFmtId="165" fontId="25" fillId="0" borderId="59" xfId="0" applyNumberFormat="1" applyFont="1" applyBorder="1" applyAlignment="1">
      <alignment horizontal="center" vertical="center" wrapText="1"/>
    </xf>
    <xf numFmtId="165" fontId="25" fillId="0" borderId="4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right" vertical="center"/>
    </xf>
    <xf numFmtId="0" fontId="26" fillId="0" borderId="59" xfId="0" applyFont="1" applyBorder="1" applyAlignment="1">
      <alignment horizontal="right" vertical="center"/>
    </xf>
    <xf numFmtId="0" fontId="26" fillId="0" borderId="62" xfId="0" applyFont="1" applyBorder="1" applyAlignment="1">
      <alignment horizontal="right" vertical="center"/>
    </xf>
    <xf numFmtId="0" fontId="30" fillId="17" borderId="29" xfId="0" applyFont="1" applyFill="1" applyBorder="1" applyAlignment="1">
      <alignment horizontal="center" vertical="center" wrapText="1"/>
    </xf>
    <xf numFmtId="0" fontId="30" fillId="17" borderId="46" xfId="0" applyFont="1" applyFill="1" applyBorder="1" applyAlignment="1">
      <alignment horizontal="center" vertical="center" wrapText="1"/>
    </xf>
    <xf numFmtId="0" fontId="30" fillId="17" borderId="5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right" vertical="center" wrapText="1"/>
    </xf>
    <xf numFmtId="0" fontId="26" fillId="0" borderId="59" xfId="0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32" fillId="0" borderId="63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165" fontId="25" fillId="0" borderId="25" xfId="0" applyNumberFormat="1" applyFont="1" applyBorder="1" applyAlignment="1">
      <alignment horizontal="center" vertical="top" wrapText="1"/>
    </xf>
    <xf numFmtId="165" fontId="25" fillId="0" borderId="45" xfId="0" applyNumberFormat="1" applyFont="1" applyBorder="1" applyAlignment="1">
      <alignment horizontal="center" vertical="top" wrapText="1"/>
    </xf>
    <xf numFmtId="0" fontId="26" fillId="0" borderId="56" xfId="0" applyFont="1" applyBorder="1" applyAlignment="1">
      <alignment horizontal="right" vertical="center"/>
    </xf>
    <xf numFmtId="0" fontId="26" fillId="0" borderId="57" xfId="0" applyFont="1" applyBorder="1" applyAlignment="1">
      <alignment horizontal="right" vertical="center"/>
    </xf>
    <xf numFmtId="0" fontId="26" fillId="0" borderId="64" xfId="0" applyFont="1" applyBorder="1" applyAlignment="1">
      <alignment horizontal="right" vertical="center"/>
    </xf>
    <xf numFmtId="165" fontId="25" fillId="0" borderId="52" xfId="0" applyNumberFormat="1" applyFont="1" applyBorder="1" applyAlignment="1">
      <alignment horizontal="center" vertical="center" wrapText="1"/>
    </xf>
    <xf numFmtId="165" fontId="25" fillId="0" borderId="53" xfId="0" applyNumberFormat="1" applyFont="1" applyBorder="1" applyAlignment="1">
      <alignment horizontal="center" vertical="center" wrapText="1"/>
    </xf>
    <xf numFmtId="165" fontId="25" fillId="0" borderId="54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E1"/>
    </sheetView>
  </sheetViews>
  <sheetFormatPr defaultColWidth="9.140625" defaultRowHeight="12.75"/>
  <cols>
    <col min="1" max="1" width="14.57421875" style="0" customWidth="1"/>
    <col min="2" max="2" width="14.00390625" style="0" bestFit="1" customWidth="1"/>
    <col min="3" max="3" width="14.7109375" style="0" bestFit="1" customWidth="1"/>
    <col min="4" max="4" width="12.8515625" style="0" bestFit="1" customWidth="1"/>
    <col min="5" max="5" width="14.7109375" style="0" bestFit="1" customWidth="1"/>
    <col min="6" max="6" width="15.7109375" style="0" customWidth="1"/>
  </cols>
  <sheetData>
    <row r="1" spans="1:5" ht="18">
      <c r="A1" s="322" t="s">
        <v>180</v>
      </c>
      <c r="B1" s="322"/>
      <c r="C1" s="322"/>
      <c r="D1" s="322"/>
      <c r="E1" s="322"/>
    </row>
    <row r="2" s="24" customFormat="1" ht="15">
      <c r="A2" s="280">
        <v>5149705</v>
      </c>
    </row>
    <row r="4" spans="1:5" ht="18">
      <c r="A4" s="38" t="s">
        <v>122</v>
      </c>
      <c r="B4" s="39"/>
      <c r="C4" s="39"/>
      <c r="D4" s="20"/>
      <c r="E4" s="20"/>
    </row>
    <row r="5" spans="1:5" ht="15">
      <c r="A5" s="23"/>
      <c r="B5" s="321" t="s">
        <v>123</v>
      </c>
      <c r="C5" s="321"/>
      <c r="D5" s="24"/>
      <c r="E5" s="24"/>
    </row>
    <row r="6" spans="1:6" ht="69">
      <c r="A6" s="40" t="s">
        <v>158</v>
      </c>
      <c r="B6" s="25" t="s">
        <v>126</v>
      </c>
      <c r="C6" s="25" t="s">
        <v>231</v>
      </c>
      <c r="D6" s="24"/>
      <c r="E6" s="24"/>
      <c r="F6" s="19" t="s">
        <v>24</v>
      </c>
    </row>
    <row r="7" spans="1:5" ht="13.5">
      <c r="A7" s="26" t="s">
        <v>178</v>
      </c>
      <c r="B7" s="27">
        <f>'BRA Resource Clearing Results'!E29</f>
        <v>166836.9</v>
      </c>
      <c r="C7" s="28">
        <f>'BRA Resource Clearing Results'!D5</f>
        <v>164.77</v>
      </c>
      <c r="D7" s="24"/>
      <c r="E7" s="243" t="s">
        <v>24</v>
      </c>
    </row>
    <row r="8" spans="1:5" ht="13.5">
      <c r="A8" s="26" t="s">
        <v>29</v>
      </c>
      <c r="B8" s="27">
        <f>'BRA Resource Clearing Results'!E30</f>
        <v>66071.2</v>
      </c>
      <c r="C8" s="28">
        <f>'BRA Resource Clearing Results'!D6</f>
        <v>164.77</v>
      </c>
      <c r="D8" s="24"/>
      <c r="E8" s="24"/>
    </row>
    <row r="9" spans="1:5" ht="13.5">
      <c r="A9" s="26" t="s">
        <v>35</v>
      </c>
      <c r="B9" s="27">
        <f>'BRA Resource Clearing Results'!E31</f>
        <v>31069</v>
      </c>
      <c r="C9" s="28">
        <f>'BRA Resource Clearing Results'!D7</f>
        <v>225.42000000000002</v>
      </c>
      <c r="D9" s="24"/>
      <c r="E9" s="24"/>
    </row>
    <row r="10" spans="1:5" ht="13.5">
      <c r="A10" s="26" t="s">
        <v>5</v>
      </c>
      <c r="B10" s="27">
        <f>'BRA Resource Clearing Results'!E32</f>
        <v>11180.699999999999</v>
      </c>
      <c r="C10" s="28">
        <f>'BRA Resource Clearing Results'!D8</f>
        <v>164.77</v>
      </c>
      <c r="D10" s="24"/>
      <c r="E10" s="24"/>
    </row>
    <row r="11" spans="1:5" ht="13.5">
      <c r="A11" s="26" t="s">
        <v>8</v>
      </c>
      <c r="B11" s="27">
        <f>'BRA Resource Clearing Results'!E33</f>
        <v>5300.799999999999</v>
      </c>
      <c r="C11" s="28">
        <f>'BRA Resource Clearing Results'!D9</f>
        <v>225.42000000000002</v>
      </c>
      <c r="D11" s="24"/>
      <c r="E11" s="24"/>
    </row>
    <row r="12" spans="1:5" ht="13.5">
      <c r="A12" s="26" t="s">
        <v>36</v>
      </c>
      <c r="B12" s="27">
        <f>'BRA Resource Clearing Results'!E34</f>
        <v>3168</v>
      </c>
      <c r="C12" s="28">
        <f>'BRA Resource Clearing Results'!D10</f>
        <v>225.42000000000002</v>
      </c>
      <c r="D12" s="24"/>
      <c r="E12" s="24"/>
    </row>
    <row r="13" spans="1:5" ht="13.5">
      <c r="A13" s="26" t="s">
        <v>37</v>
      </c>
      <c r="B13" s="27">
        <f>'BRA Resource Clearing Results'!E35</f>
        <v>1693.4999999999998</v>
      </c>
      <c r="C13" s="28">
        <f>'BRA Resource Clearing Results'!D11</f>
        <v>225.42000000000002</v>
      </c>
      <c r="D13" s="24"/>
      <c r="E13" s="24"/>
    </row>
    <row r="14" spans="1:5" ht="13.5">
      <c r="A14" s="26" t="s">
        <v>15</v>
      </c>
      <c r="B14" s="27">
        <f>'BRA Resource Clearing Results'!E36</f>
        <v>5478.7</v>
      </c>
      <c r="C14" s="28">
        <f>'BRA Resource Clearing Results'!D12</f>
        <v>164.77</v>
      </c>
      <c r="D14" s="24"/>
      <c r="E14" s="24"/>
    </row>
    <row r="15" spans="1:5" ht="13.5">
      <c r="A15" s="29" t="s">
        <v>45</v>
      </c>
      <c r="B15" s="30">
        <f>'BRA Resource Clearing Results'!E37</f>
        <v>10171.6</v>
      </c>
      <c r="C15" s="28">
        <f>'BRA Resource Clearing Results'!D13</f>
        <v>164.77</v>
      </c>
      <c r="D15" s="24"/>
      <c r="E15" s="24"/>
    </row>
    <row r="16" spans="1:5" ht="13.5">
      <c r="A16" s="29" t="s">
        <v>132</v>
      </c>
      <c r="B16" s="30">
        <f>'BRA Resource Clearing Results'!E38</f>
        <v>2258.1</v>
      </c>
      <c r="C16" s="28">
        <f>'BRA Resource Clearing Results'!D14</f>
        <v>164.77</v>
      </c>
      <c r="D16" s="24"/>
      <c r="E16" s="24"/>
    </row>
    <row r="17" spans="1:5" ht="13.5">
      <c r="A17" s="29" t="s">
        <v>20</v>
      </c>
      <c r="B17" s="32">
        <f>'BRA Resource Clearing Results'!E39</f>
        <v>23320.4</v>
      </c>
      <c r="C17" s="28">
        <f>'BRA Resource Clearing Results'!D15</f>
        <v>215</v>
      </c>
      <c r="D17" s="24"/>
      <c r="E17" s="24"/>
    </row>
    <row r="18" spans="1:5" ht="13.5">
      <c r="A18" s="29" t="s">
        <v>11</v>
      </c>
      <c r="B18" s="32">
        <f>'BRA Resource Clearing Results'!E40</f>
        <v>3296.9</v>
      </c>
      <c r="C18" s="28">
        <f>'BRA Resource Clearing Results'!D16</f>
        <v>164.77</v>
      </c>
      <c r="D18" s="24"/>
      <c r="E18" s="24"/>
    </row>
    <row r="19" spans="1:5" ht="13.5">
      <c r="A19" s="29" t="s">
        <v>10</v>
      </c>
      <c r="B19" s="32">
        <f>'BRA Resource Clearing Results'!E41</f>
        <v>9526.9</v>
      </c>
      <c r="C19" s="28">
        <f>'BRA Resource Clearing Results'!D17</f>
        <v>164.77</v>
      </c>
      <c r="D19" s="24"/>
      <c r="E19" s="24"/>
    </row>
    <row r="20" spans="1:5" ht="13.5">
      <c r="A20" s="29" t="s">
        <v>147</v>
      </c>
      <c r="B20" s="32">
        <f>'BRA Resource Clearing Results'!E42</f>
        <v>0</v>
      </c>
      <c r="C20" s="307" t="str">
        <f>'BRA Resource Clearing Results'!D18</f>
        <v>NA</v>
      </c>
      <c r="D20" s="24"/>
      <c r="E20" s="24"/>
    </row>
    <row r="21" spans="1:5" ht="13.5">
      <c r="A21" s="29" t="s">
        <v>148</v>
      </c>
      <c r="B21" s="32">
        <f>'BRA Resource Clearing Results'!E43</f>
        <v>0</v>
      </c>
      <c r="C21" s="307" t="str">
        <f>'BRA Resource Clearing Results'!D19</f>
        <v>NA</v>
      </c>
      <c r="D21" s="24"/>
      <c r="E21" s="24"/>
    </row>
    <row r="22" spans="1:5" ht="13.5">
      <c r="A22" s="29" t="s">
        <v>149</v>
      </c>
      <c r="B22" s="32">
        <f>'BRA Resource Clearing Results'!E44</f>
        <v>0</v>
      </c>
      <c r="C22" s="307" t="str">
        <f>'BRA Resource Clearing Results'!D20</f>
        <v>NA</v>
      </c>
      <c r="D22" s="24"/>
      <c r="E22" s="24"/>
    </row>
    <row r="23" spans="1:5" ht="13.5">
      <c r="A23" s="29" t="s">
        <v>150</v>
      </c>
      <c r="B23" s="32">
        <f>'BRA Resource Clearing Results'!E45</f>
        <v>0</v>
      </c>
      <c r="C23" s="307" t="str">
        <f>'BRA Resource Clearing Results'!D21</f>
        <v>NA</v>
      </c>
      <c r="D23" s="24"/>
      <c r="E23" s="24"/>
    </row>
    <row r="24" spans="1:5" ht="13.5">
      <c r="A24" s="29" t="s">
        <v>151</v>
      </c>
      <c r="B24" s="32">
        <f>'BRA Resource Clearing Results'!E46</f>
        <v>0</v>
      </c>
      <c r="C24" s="307" t="str">
        <f>'BRA Resource Clearing Results'!D22</f>
        <v>NA</v>
      </c>
      <c r="D24" s="24"/>
      <c r="E24" s="24"/>
    </row>
    <row r="25" spans="1:9" ht="13.5">
      <c r="A25" s="224" t="s">
        <v>179</v>
      </c>
      <c r="B25" s="224"/>
      <c r="C25" s="224"/>
      <c r="D25" s="150"/>
      <c r="E25" s="150"/>
      <c r="F25" s="150"/>
      <c r="G25" s="150"/>
      <c r="H25" s="150"/>
      <c r="I25" s="150"/>
    </row>
    <row r="26" spans="1:5" s="2" customFormat="1" ht="18">
      <c r="A26" s="38" t="s">
        <v>124</v>
      </c>
      <c r="B26" s="39"/>
      <c r="C26" s="39"/>
      <c r="D26" s="39"/>
      <c r="E26" s="39"/>
    </row>
    <row r="27" spans="1:5" ht="15">
      <c r="A27" s="23"/>
      <c r="B27" s="321" t="s">
        <v>123</v>
      </c>
      <c r="C27" s="321"/>
      <c r="D27" s="321"/>
      <c r="E27" s="321"/>
    </row>
    <row r="28" spans="1:5" ht="54.75" customHeight="1">
      <c r="A28" s="80" t="s">
        <v>7</v>
      </c>
      <c r="B28" s="25" t="s">
        <v>128</v>
      </c>
      <c r="C28" s="25" t="s">
        <v>129</v>
      </c>
      <c r="D28" s="25" t="s">
        <v>125</v>
      </c>
      <c r="E28" s="25" t="s">
        <v>130</v>
      </c>
    </row>
    <row r="29" spans="1:12" ht="13.5">
      <c r="A29" s="26" t="s">
        <v>16</v>
      </c>
      <c r="B29" s="27">
        <f>'BRA Load Pricing Results'!J38</f>
        <v>2964.6337927281334</v>
      </c>
      <c r="C29" s="34">
        <f>'BRA Load Pricing Results'!K38</f>
        <v>223.09414861460505</v>
      </c>
      <c r="D29" s="28">
        <f>'BRA CTRs'!AA21</f>
        <v>7.125377881045181</v>
      </c>
      <c r="E29" s="35">
        <f>C29-D29</f>
        <v>215.96877073355986</v>
      </c>
      <c r="I29" s="222"/>
      <c r="J29" s="221"/>
      <c r="K29" s="221"/>
      <c r="L29" s="221"/>
    </row>
    <row r="30" spans="1:12" ht="13.5">
      <c r="A30" s="26" t="s">
        <v>51</v>
      </c>
      <c r="B30" s="27">
        <f>'BRA Load Pricing Results'!J39</f>
        <v>12694.509813759363</v>
      </c>
      <c r="C30" s="34">
        <f>'BRA Load Pricing Results'!K39</f>
        <v>162.44414861460504</v>
      </c>
      <c r="D30" s="28">
        <f>'BRA CTRs'!AA22</f>
        <v>0</v>
      </c>
      <c r="E30" s="35">
        <f>C30-D30</f>
        <v>162.44414861460504</v>
      </c>
      <c r="I30" s="222"/>
      <c r="J30" s="221"/>
      <c r="K30" s="221"/>
      <c r="L30" s="221"/>
    </row>
    <row r="31" spans="1:12" ht="13.5">
      <c r="A31" s="26" t="s">
        <v>19</v>
      </c>
      <c r="B31" s="27">
        <f>'BRA Load Pricing Results'!J40</f>
        <v>9806.702443447315</v>
      </c>
      <c r="C31" s="34">
        <f>'BRA Load Pricing Results'!K40</f>
        <v>162.44414861460504</v>
      </c>
      <c r="D31" s="28">
        <f>'BRA CTRs'!AA23</f>
        <v>0</v>
      </c>
      <c r="E31" s="35">
        <f>C31-D31</f>
        <v>162.44414861460504</v>
      </c>
      <c r="I31" s="222"/>
      <c r="J31" s="221"/>
      <c r="K31" s="221"/>
      <c r="L31" s="221"/>
    </row>
    <row r="32" spans="1:12" ht="13.5">
      <c r="A32" s="26" t="s">
        <v>45</v>
      </c>
      <c r="B32" s="27">
        <f>'BRA Load Pricing Results'!J41</f>
        <v>14546.289725595445</v>
      </c>
      <c r="C32" s="34">
        <f>'BRA Load Pricing Results'!K41</f>
        <v>162.44414861460504</v>
      </c>
      <c r="D32" s="28">
        <f>'BRA CTRs'!AA24</f>
        <v>0</v>
      </c>
      <c r="E32" s="35">
        <f>C32-D32</f>
        <v>162.44414861460504</v>
      </c>
      <c r="I32" s="222"/>
      <c r="J32" s="221"/>
      <c r="K32" s="221"/>
      <c r="L32" s="221"/>
    </row>
    <row r="33" spans="1:12" ht="13.5">
      <c r="A33" s="26" t="s">
        <v>11</v>
      </c>
      <c r="B33" s="27">
        <f>'BRA Load Pricing Results'!J42</f>
        <v>7948.46007754217</v>
      </c>
      <c r="C33" s="34">
        <f>'BRA Load Pricing Results'!K42</f>
        <v>156.03061235019317</v>
      </c>
      <c r="D33" s="28">
        <f>'BRA CTRs'!AA25</f>
        <v>0</v>
      </c>
      <c r="E33" s="35">
        <f aca="true" t="shared" si="0" ref="E33:E47">C33-D33</f>
        <v>156.03061235019317</v>
      </c>
      <c r="I33" s="222"/>
      <c r="J33" s="221"/>
      <c r="K33" s="221"/>
      <c r="L33" s="221"/>
    </row>
    <row r="34" spans="1:12" ht="13.5">
      <c r="A34" s="26" t="s">
        <v>153</v>
      </c>
      <c r="B34" s="27">
        <f>'BRA Load Pricing Results'!J43</f>
        <v>25454.557643339445</v>
      </c>
      <c r="C34" s="34">
        <f>'BRA Load Pricing Results'!K43</f>
        <v>212.67414861460503</v>
      </c>
      <c r="D34" s="28">
        <f>'BRA CTRs'!AA26</f>
        <v>4.2113769929523945</v>
      </c>
      <c r="E34" s="35">
        <f t="shared" si="0"/>
        <v>208.46277162165265</v>
      </c>
      <c r="I34" s="222"/>
      <c r="J34" s="221"/>
      <c r="K34" s="221"/>
      <c r="L34" s="221"/>
    </row>
    <row r="35" spans="1:12" ht="13.5">
      <c r="A35" s="26" t="s">
        <v>21</v>
      </c>
      <c r="B35" s="27">
        <f>'BRA Load Pricing Results'!J44</f>
        <v>3946.0919048234</v>
      </c>
      <c r="C35" s="34">
        <f>'BRA Load Pricing Results'!K44</f>
        <v>162.44414861460504</v>
      </c>
      <c r="D35" s="28">
        <f>'BRA CTRs'!AA27</f>
        <v>0</v>
      </c>
      <c r="E35" s="35">
        <f t="shared" si="0"/>
        <v>162.44414861460504</v>
      </c>
      <c r="I35" s="222"/>
      <c r="J35" s="221"/>
      <c r="K35" s="221"/>
      <c r="L35" s="221"/>
    </row>
    <row r="36" spans="1:12" ht="13.5">
      <c r="A36" s="26" t="s">
        <v>54</v>
      </c>
      <c r="B36" s="27">
        <f>'BRA Load Pricing Results'!J45</f>
        <v>5117.750024787645</v>
      </c>
      <c r="C36" s="34">
        <f>'BRA Load Pricing Results'!K45</f>
        <v>162.44414861460504</v>
      </c>
      <c r="D36" s="28">
        <f>'BRA CTRs'!AA28</f>
        <v>0</v>
      </c>
      <c r="E36" s="35">
        <f t="shared" si="0"/>
        <v>162.44414861460504</v>
      </c>
      <c r="I36" s="222"/>
      <c r="J36" s="221"/>
      <c r="K36" s="221"/>
      <c r="L36" s="221"/>
    </row>
    <row r="37" spans="1:12" ht="13.5">
      <c r="A37" s="26" t="s">
        <v>44</v>
      </c>
      <c r="B37" s="27">
        <f>'BRA Load Pricing Results'!J46</f>
        <v>3273.027740794766</v>
      </c>
      <c r="C37" s="34">
        <f>'BRA Load Pricing Results'!K46</f>
        <v>162.44414861460504</v>
      </c>
      <c r="D37" s="28">
        <f>'BRA CTRs'!AA29</f>
        <v>0</v>
      </c>
      <c r="E37" s="35">
        <f t="shared" si="0"/>
        <v>162.44414861460504</v>
      </c>
      <c r="I37" s="222"/>
      <c r="J37" s="221"/>
      <c r="K37" s="221"/>
      <c r="L37" s="221"/>
    </row>
    <row r="38" spans="1:12" ht="13.5">
      <c r="A38" s="26" t="s">
        <v>31</v>
      </c>
      <c r="B38" s="27">
        <f>'BRA Load Pricing Results'!J47</f>
        <v>23137.42478250275</v>
      </c>
      <c r="C38" s="34">
        <f>'BRA Load Pricing Results'!K47</f>
        <v>162.44414861460504</v>
      </c>
      <c r="D38" s="28">
        <f>'BRA CTRs'!AA30</f>
        <v>0</v>
      </c>
      <c r="E38" s="35">
        <f t="shared" si="0"/>
        <v>162.44414861460504</v>
      </c>
      <c r="I38" s="222"/>
      <c r="J38" s="221"/>
      <c r="K38" s="221"/>
      <c r="L38" s="221"/>
    </row>
    <row r="39" spans="1:12" ht="13.5">
      <c r="A39" s="26" t="s">
        <v>17</v>
      </c>
      <c r="B39" s="27">
        <f>'BRA Load Pricing Results'!J48</f>
        <v>4686.68759032648</v>
      </c>
      <c r="C39" s="34">
        <f>'BRA Load Pricing Results'!K48</f>
        <v>223.09414861460505</v>
      </c>
      <c r="D39" s="28">
        <f>'BRA CTRs'!AA31</f>
        <v>7.125377881045181</v>
      </c>
      <c r="E39" s="35">
        <f t="shared" si="0"/>
        <v>215.96877073355986</v>
      </c>
      <c r="I39" s="222"/>
      <c r="J39" s="221"/>
      <c r="K39" s="221"/>
      <c r="L39" s="221"/>
    </row>
    <row r="40" spans="1:12" ht="13.5">
      <c r="A40" s="26" t="s">
        <v>135</v>
      </c>
      <c r="B40" s="27">
        <f>'BRA Load Pricing Results'!J49</f>
        <v>2518.7047498130783</v>
      </c>
      <c r="C40" s="34">
        <f>'BRA Load Pricing Results'!K49</f>
        <v>162.44414861460504</v>
      </c>
      <c r="D40" s="28">
        <f>'BRA CTRs'!AA32</f>
        <v>0</v>
      </c>
      <c r="E40" s="35">
        <f t="shared" si="0"/>
        <v>162.44414861460504</v>
      </c>
      <c r="I40" s="222"/>
      <c r="J40" s="221"/>
      <c r="K40" s="221"/>
      <c r="L40" s="221"/>
    </row>
    <row r="41" spans="1:12" ht="13.5">
      <c r="A41" s="26" t="s">
        <v>12</v>
      </c>
      <c r="B41" s="27">
        <f>'BRA Load Pricing Results'!J50</f>
        <v>7018.776131910647</v>
      </c>
      <c r="C41" s="34">
        <f>'BRA Load Pricing Results'!K50</f>
        <v>223.09414861460505</v>
      </c>
      <c r="D41" s="28">
        <f>'BRA CTRs'!AA33</f>
        <v>7.12537788104518</v>
      </c>
      <c r="E41" s="35">
        <f t="shared" si="0"/>
        <v>215.96877073355986</v>
      </c>
      <c r="I41" s="222"/>
      <c r="J41" s="221"/>
      <c r="K41" s="221"/>
      <c r="L41" s="221"/>
    </row>
    <row r="42" spans="1:12" ht="13.5">
      <c r="A42" s="26" t="s">
        <v>13</v>
      </c>
      <c r="B42" s="27">
        <f>'BRA Load Pricing Results'!J51</f>
        <v>3329.304008690136</v>
      </c>
      <c r="C42" s="34">
        <f>'BRA Load Pricing Results'!K51</f>
        <v>162.44414861460504</v>
      </c>
      <c r="D42" s="28">
        <f>'BRA CTRs'!AA34</f>
        <v>0</v>
      </c>
      <c r="E42" s="35">
        <f t="shared" si="0"/>
        <v>162.44414861460504</v>
      </c>
      <c r="I42" s="222"/>
      <c r="J42" s="221"/>
      <c r="K42" s="221"/>
      <c r="L42" s="221"/>
    </row>
    <row r="43" spans="1:12" ht="13.5">
      <c r="A43" s="26" t="s">
        <v>9</v>
      </c>
      <c r="B43" s="27">
        <f>'BRA Load Pricing Results'!J52</f>
        <v>9704.27963587774</v>
      </c>
      <c r="C43" s="34">
        <f>'BRA Load Pricing Results'!K52</f>
        <v>223.09414861460505</v>
      </c>
      <c r="D43" s="28">
        <f>'BRA CTRs'!AA35</f>
        <v>7.12537788104518</v>
      </c>
      <c r="E43" s="35">
        <f t="shared" si="0"/>
        <v>215.96877073355986</v>
      </c>
      <c r="I43" s="222"/>
      <c r="J43" s="221"/>
      <c r="K43" s="221"/>
      <c r="L43" s="221"/>
    </row>
    <row r="44" spans="1:12" ht="13.5">
      <c r="A44" s="26" t="s">
        <v>14</v>
      </c>
      <c r="B44" s="27">
        <f>'BRA Load Pricing Results'!J53</f>
        <v>3289.9106211633766</v>
      </c>
      <c r="C44" s="34">
        <f>'BRA Load Pricing Results'!K53</f>
        <v>162.44414861460504</v>
      </c>
      <c r="D44" s="28">
        <f>'BRA CTRs'!AA36</f>
        <v>0</v>
      </c>
      <c r="E44" s="35">
        <f t="shared" si="0"/>
        <v>162.44414861460504</v>
      </c>
      <c r="I44" s="222"/>
      <c r="J44" s="221"/>
      <c r="K44" s="221"/>
      <c r="L44" s="221"/>
    </row>
    <row r="45" spans="1:12" ht="13.5">
      <c r="A45" s="26" t="s">
        <v>15</v>
      </c>
      <c r="B45" s="27">
        <f>'BRA Load Pricing Results'!J54</f>
        <v>7315.914826398203</v>
      </c>
      <c r="C45" s="34">
        <f>'BRA Load Pricing Results'!K54</f>
        <v>154.74164163036284</v>
      </c>
      <c r="D45" s="28">
        <f>'BRA CTRs'!AA37</f>
        <v>0</v>
      </c>
      <c r="E45" s="35">
        <f t="shared" si="0"/>
        <v>154.74164163036284</v>
      </c>
      <c r="I45" s="222"/>
      <c r="J45" s="221"/>
      <c r="K45" s="221"/>
      <c r="L45" s="221"/>
    </row>
    <row r="46" spans="1:12" ht="13.5">
      <c r="A46" s="26" t="s">
        <v>10</v>
      </c>
      <c r="B46" s="27">
        <f>'BRA Load Pricing Results'!J55</f>
        <v>8201.703283071342</v>
      </c>
      <c r="C46" s="34">
        <f>'BRA Load Pricing Results'!K55</f>
        <v>152.73830517543715</v>
      </c>
      <c r="D46" s="28">
        <f>'BRA CTRs'!AA38</f>
        <v>0</v>
      </c>
      <c r="E46" s="35">
        <f t="shared" si="0"/>
        <v>152.73830517543715</v>
      </c>
      <c r="I46" s="222"/>
      <c r="J46" s="221"/>
      <c r="K46" s="221"/>
      <c r="L46" s="221"/>
    </row>
    <row r="47" spans="1:12" ht="13.5">
      <c r="A47" s="26" t="s">
        <v>8</v>
      </c>
      <c r="B47" s="27">
        <f>'BRA Load Pricing Results'!J56</f>
        <v>11419.580281328645</v>
      </c>
      <c r="C47" s="34">
        <f>'BRA Load Pricing Results'!K56</f>
        <v>223.09414861460505</v>
      </c>
      <c r="D47" s="28">
        <f>'BRA CTRs'!AA39</f>
        <v>7.125377881045181</v>
      </c>
      <c r="E47" s="35">
        <f t="shared" si="0"/>
        <v>215.96877073355986</v>
      </c>
      <c r="I47" s="222"/>
      <c r="J47" s="221"/>
      <c r="K47" s="221"/>
      <c r="L47" s="221"/>
    </row>
    <row r="48" spans="1:12" ht="13.5">
      <c r="A48" s="26" t="s">
        <v>18</v>
      </c>
      <c r="B48" s="27">
        <f>'BRA Load Pricing Results'!J57</f>
        <v>462.59092209994793</v>
      </c>
      <c r="C48" s="34">
        <f>'BRA Load Pricing Results'!K57</f>
        <v>223.09414861460505</v>
      </c>
      <c r="D48" s="28">
        <f>'BRA CTRs'!AA40</f>
        <v>7.12537788104518</v>
      </c>
      <c r="E48" s="35">
        <f>C48-D48</f>
        <v>215.96877073355986</v>
      </c>
      <c r="I48" s="222"/>
      <c r="J48" s="221"/>
      <c r="K48" s="221"/>
      <c r="L48" s="221"/>
    </row>
    <row r="49" spans="1:5" ht="13.5">
      <c r="A49" s="79" t="s">
        <v>50</v>
      </c>
      <c r="B49" s="78">
        <f>SUM(B29:B48)</f>
        <v>166836.90000000002</v>
      </c>
      <c r="C49" s="36"/>
      <c r="D49" s="36"/>
      <c r="E49" s="36"/>
    </row>
    <row r="50" spans="1:5" ht="13.5">
      <c r="A50" s="37" t="s">
        <v>127</v>
      </c>
      <c r="B50" s="36"/>
      <c r="C50" s="36"/>
      <c r="D50" s="36"/>
      <c r="E50" s="36"/>
    </row>
  </sheetData>
  <sheetProtection/>
  <mergeCells count="3">
    <mergeCell ref="B5:C5"/>
    <mergeCell ref="B27:E27"/>
    <mergeCell ref="A1:E1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125" style="4" bestFit="1" customWidth="1"/>
    <col min="14" max="15" width="9.140625" style="4" customWidth="1"/>
    <col min="16" max="16384" width="9.140625" style="4" customWidth="1"/>
  </cols>
  <sheetData>
    <row r="1" ht="18">
      <c r="A1" s="82" t="s">
        <v>181</v>
      </c>
    </row>
    <row r="2" spans="1:7" ht="18">
      <c r="A2" s="77"/>
      <c r="B2" s="7"/>
      <c r="E2" s="22"/>
      <c r="F2" s="21"/>
      <c r="G2" s="16"/>
    </row>
    <row r="3" spans="1:11" ht="15">
      <c r="A3" s="324" t="s">
        <v>58</v>
      </c>
      <c r="B3" s="324"/>
      <c r="C3" s="88"/>
      <c r="D3" s="88"/>
      <c r="E3" s="88"/>
      <c r="F3" s="88"/>
      <c r="G3" s="88"/>
      <c r="H3" s="88"/>
      <c r="K3" s="7"/>
    </row>
    <row r="4" spans="1:10" s="6" customFormat="1" ht="69.75" customHeight="1">
      <c r="A4" s="244" t="s">
        <v>158</v>
      </c>
      <c r="B4" s="218" t="s">
        <v>162</v>
      </c>
      <c r="C4" s="218" t="s">
        <v>164</v>
      </c>
      <c r="D4" s="245" t="s">
        <v>182</v>
      </c>
      <c r="E4" s="218" t="s">
        <v>186</v>
      </c>
      <c r="F4" s="245" t="s">
        <v>187</v>
      </c>
      <c r="G4" s="218" t="s">
        <v>188</v>
      </c>
      <c r="H4" s="245" t="s">
        <v>232</v>
      </c>
      <c r="I4" s="42"/>
      <c r="J4" s="42"/>
    </row>
    <row r="5" spans="1:10" ht="13.5">
      <c r="A5" s="45" t="s">
        <v>6</v>
      </c>
      <c r="B5" s="46">
        <v>164.77</v>
      </c>
      <c r="C5" s="46">
        <v>0</v>
      </c>
      <c r="D5" s="198">
        <f>B5+C5</f>
        <v>164.77</v>
      </c>
      <c r="E5" s="320">
        <v>-14.79</v>
      </c>
      <c r="F5" s="198">
        <f>D5+E5</f>
        <v>149.98000000000002</v>
      </c>
      <c r="G5" s="320">
        <v>0</v>
      </c>
      <c r="H5" s="198">
        <f>F5+G5</f>
        <v>149.98000000000002</v>
      </c>
      <c r="I5" s="47"/>
      <c r="J5" s="132" t="s">
        <v>24</v>
      </c>
    </row>
    <row r="6" spans="1:10" ht="13.5">
      <c r="A6" s="45" t="s">
        <v>29</v>
      </c>
      <c r="B6" s="46">
        <f>$B$5</f>
        <v>164.77</v>
      </c>
      <c r="C6" s="46">
        <v>0</v>
      </c>
      <c r="D6" s="198">
        <f>B6+C6</f>
        <v>164.77</v>
      </c>
      <c r="E6" s="320">
        <v>-14.79</v>
      </c>
      <c r="F6" s="198">
        <f aca="true" t="shared" si="0" ref="F6:F17">D6+E6</f>
        <v>149.98000000000002</v>
      </c>
      <c r="G6" s="320">
        <v>0</v>
      </c>
      <c r="H6" s="198">
        <f aca="true" t="shared" si="1" ref="H6:H17">F6+G6</f>
        <v>149.98000000000002</v>
      </c>
      <c r="I6" s="47"/>
      <c r="J6" s="130" t="s">
        <v>24</v>
      </c>
    </row>
    <row r="7" spans="1:10" ht="13.5">
      <c r="A7" s="45" t="s">
        <v>35</v>
      </c>
      <c r="B7" s="46">
        <f aca="true" t="shared" si="2" ref="B7:B17">$B$5</f>
        <v>164.77</v>
      </c>
      <c r="C7" s="46">
        <v>60.65</v>
      </c>
      <c r="D7" s="198">
        <f>B7+C6+C7</f>
        <v>225.42000000000002</v>
      </c>
      <c r="E7" s="320">
        <v>-14.79</v>
      </c>
      <c r="F7" s="198">
        <f t="shared" si="0"/>
        <v>210.63000000000002</v>
      </c>
      <c r="G7" s="320">
        <v>0</v>
      </c>
      <c r="H7" s="198">
        <f t="shared" si="1"/>
        <v>210.63000000000002</v>
      </c>
      <c r="I7" s="47" t="s">
        <v>24</v>
      </c>
      <c r="J7" s="132"/>
    </row>
    <row r="8" spans="1:10" ht="13.5">
      <c r="A8" s="45" t="s">
        <v>5</v>
      </c>
      <c r="B8" s="46">
        <f t="shared" si="2"/>
        <v>164.77</v>
      </c>
      <c r="C8" s="46">
        <v>0</v>
      </c>
      <c r="D8" s="198">
        <f>B8+C6+C8</f>
        <v>164.77</v>
      </c>
      <c r="E8" s="320">
        <v>-14.79</v>
      </c>
      <c r="F8" s="198">
        <f t="shared" si="0"/>
        <v>149.98000000000002</v>
      </c>
      <c r="G8" s="320">
        <v>-90.03</v>
      </c>
      <c r="H8" s="198">
        <f t="shared" si="1"/>
        <v>59.95000000000002</v>
      </c>
      <c r="I8" s="47" t="s">
        <v>24</v>
      </c>
      <c r="J8" s="47"/>
    </row>
    <row r="9" spans="1:10" ht="13.5">
      <c r="A9" s="45" t="s">
        <v>8</v>
      </c>
      <c r="B9" s="46">
        <f t="shared" si="2"/>
        <v>164.77</v>
      </c>
      <c r="C9" s="46">
        <v>0</v>
      </c>
      <c r="D9" s="198">
        <f>B9+C6+C7+C9</f>
        <v>225.42000000000002</v>
      </c>
      <c r="E9" s="320">
        <v>-14.79</v>
      </c>
      <c r="F9" s="198">
        <f t="shared" si="0"/>
        <v>210.63000000000002</v>
      </c>
      <c r="G9" s="320">
        <v>0</v>
      </c>
      <c r="H9" s="198">
        <f t="shared" si="1"/>
        <v>210.63000000000002</v>
      </c>
      <c r="I9" s="47"/>
      <c r="J9" s="47"/>
    </row>
    <row r="10" spans="1:10" ht="13.5">
      <c r="A10" s="45" t="s">
        <v>36</v>
      </c>
      <c r="B10" s="46">
        <f t="shared" si="2"/>
        <v>164.77</v>
      </c>
      <c r="C10" s="46">
        <v>0</v>
      </c>
      <c r="D10" s="198">
        <f>B10+C6+C7+C9+C10</f>
        <v>225.42000000000002</v>
      </c>
      <c r="E10" s="320">
        <v>-14.79</v>
      </c>
      <c r="F10" s="198">
        <f t="shared" si="0"/>
        <v>210.63000000000002</v>
      </c>
      <c r="G10" s="320">
        <v>0</v>
      </c>
      <c r="H10" s="198">
        <f t="shared" si="1"/>
        <v>210.63000000000002</v>
      </c>
      <c r="I10" s="47"/>
      <c r="J10" s="47"/>
    </row>
    <row r="11" spans="1:10" ht="13.5">
      <c r="A11" s="45" t="s">
        <v>37</v>
      </c>
      <c r="B11" s="46">
        <f t="shared" si="2"/>
        <v>164.77</v>
      </c>
      <c r="C11" s="46">
        <v>0</v>
      </c>
      <c r="D11" s="198">
        <f>B11+C6+C7+C11</f>
        <v>225.42000000000002</v>
      </c>
      <c r="E11" s="320">
        <v>-14.79</v>
      </c>
      <c r="F11" s="198">
        <f t="shared" si="0"/>
        <v>210.63000000000002</v>
      </c>
      <c r="G11" s="320">
        <v>0</v>
      </c>
      <c r="H11" s="198">
        <f t="shared" si="1"/>
        <v>210.63000000000002</v>
      </c>
      <c r="I11" s="47" t="s">
        <v>24</v>
      </c>
      <c r="J11" s="47"/>
    </row>
    <row r="12" spans="1:10" ht="13.5">
      <c r="A12" s="31" t="s">
        <v>15</v>
      </c>
      <c r="B12" s="46">
        <f t="shared" si="2"/>
        <v>164.77</v>
      </c>
      <c r="C12" s="50">
        <v>0</v>
      </c>
      <c r="D12" s="198">
        <f>B12+C6+C8+C12</f>
        <v>164.77</v>
      </c>
      <c r="E12" s="320">
        <v>-14.79</v>
      </c>
      <c r="F12" s="198">
        <f t="shared" si="0"/>
        <v>149.98000000000002</v>
      </c>
      <c r="G12" s="320">
        <v>-108.89</v>
      </c>
      <c r="H12" s="198">
        <f t="shared" si="1"/>
        <v>41.09000000000002</v>
      </c>
      <c r="I12" s="47" t="s">
        <v>24</v>
      </c>
      <c r="J12" s="47"/>
    </row>
    <row r="13" spans="1:10" ht="13.5">
      <c r="A13" s="31" t="s">
        <v>45</v>
      </c>
      <c r="B13" s="46">
        <f t="shared" si="2"/>
        <v>164.77</v>
      </c>
      <c r="C13" s="50">
        <v>0</v>
      </c>
      <c r="D13" s="198">
        <f>B13+C13</f>
        <v>164.77</v>
      </c>
      <c r="E13" s="320">
        <v>-14.79</v>
      </c>
      <c r="F13" s="198">
        <f t="shared" si="0"/>
        <v>149.98000000000002</v>
      </c>
      <c r="G13" s="320">
        <v>0</v>
      </c>
      <c r="H13" s="198">
        <f t="shared" si="1"/>
        <v>149.98000000000002</v>
      </c>
      <c r="I13" s="47"/>
      <c r="J13" s="51" t="s">
        <v>24</v>
      </c>
    </row>
    <row r="14" spans="1:10" ht="13.5">
      <c r="A14" s="31" t="s">
        <v>132</v>
      </c>
      <c r="B14" s="46">
        <f t="shared" si="2"/>
        <v>164.77</v>
      </c>
      <c r="C14" s="50">
        <v>0</v>
      </c>
      <c r="D14" s="198">
        <f>B14+C13+C14</f>
        <v>164.77</v>
      </c>
      <c r="E14" s="320">
        <v>-14.79</v>
      </c>
      <c r="F14" s="198">
        <f t="shared" si="0"/>
        <v>149.98000000000002</v>
      </c>
      <c r="G14" s="320">
        <v>0</v>
      </c>
      <c r="H14" s="198">
        <f t="shared" si="1"/>
        <v>149.98000000000002</v>
      </c>
      <c r="I14" s="47"/>
      <c r="J14" s="47" t="s">
        <v>24</v>
      </c>
    </row>
    <row r="15" spans="1:10" ht="13.5">
      <c r="A15" s="31" t="s">
        <v>20</v>
      </c>
      <c r="B15" s="46">
        <f t="shared" si="2"/>
        <v>164.77</v>
      </c>
      <c r="C15" s="50">
        <v>50.23</v>
      </c>
      <c r="D15" s="198">
        <f>B15+C15</f>
        <v>215</v>
      </c>
      <c r="E15" s="320">
        <v>-14.79</v>
      </c>
      <c r="F15" s="198">
        <f t="shared" si="0"/>
        <v>200.21</v>
      </c>
      <c r="G15" s="320">
        <v>0</v>
      </c>
      <c r="H15" s="198">
        <f t="shared" si="1"/>
        <v>200.21</v>
      </c>
      <c r="I15" s="47" t="s">
        <v>24</v>
      </c>
      <c r="J15" s="51" t="s">
        <v>24</v>
      </c>
    </row>
    <row r="16" spans="1:10" ht="13.5">
      <c r="A16" s="31" t="s">
        <v>11</v>
      </c>
      <c r="B16" s="46">
        <f t="shared" si="2"/>
        <v>164.77</v>
      </c>
      <c r="C16" s="50">
        <v>0</v>
      </c>
      <c r="D16" s="198">
        <f>B16+C6+C8+C16</f>
        <v>164.77</v>
      </c>
      <c r="E16" s="320">
        <v>-14.79</v>
      </c>
      <c r="F16" s="198">
        <f t="shared" si="0"/>
        <v>149.98000000000002</v>
      </c>
      <c r="G16" s="320">
        <v>-90.03</v>
      </c>
      <c r="H16" s="198">
        <f t="shared" si="1"/>
        <v>59.95000000000002</v>
      </c>
      <c r="I16" s="47"/>
      <c r="J16" s="47"/>
    </row>
    <row r="17" spans="1:10" ht="13.5">
      <c r="A17" s="31" t="s">
        <v>10</v>
      </c>
      <c r="B17" s="46">
        <f t="shared" si="2"/>
        <v>164.77</v>
      </c>
      <c r="C17" s="50">
        <v>0</v>
      </c>
      <c r="D17" s="198">
        <f>B17+C6+C17</f>
        <v>164.77</v>
      </c>
      <c r="E17" s="320">
        <v>-89.77</v>
      </c>
      <c r="F17" s="198">
        <f t="shared" si="0"/>
        <v>75.00000000000001</v>
      </c>
      <c r="G17" s="320">
        <v>0</v>
      </c>
      <c r="H17" s="198">
        <f t="shared" si="1"/>
        <v>75.00000000000001</v>
      </c>
      <c r="I17" s="47" t="s">
        <v>24</v>
      </c>
      <c r="J17" s="47"/>
    </row>
    <row r="18" spans="1:11" ht="13.5">
      <c r="A18" s="31" t="s">
        <v>226</v>
      </c>
      <c r="B18" s="46" t="s">
        <v>152</v>
      </c>
      <c r="C18" s="46" t="s">
        <v>152</v>
      </c>
      <c r="D18" s="198" t="s">
        <v>152</v>
      </c>
      <c r="E18" s="46" t="s">
        <v>152</v>
      </c>
      <c r="F18" s="198" t="s">
        <v>152</v>
      </c>
      <c r="G18" s="46" t="s">
        <v>152</v>
      </c>
      <c r="H18" s="198" t="s">
        <v>152</v>
      </c>
      <c r="I18" s="152" t="s">
        <v>24</v>
      </c>
      <c r="J18" s="47"/>
      <c r="K18"/>
    </row>
    <row r="19" spans="1:11" ht="13.5">
      <c r="A19" s="31" t="s">
        <v>227</v>
      </c>
      <c r="B19" s="46" t="s">
        <v>152</v>
      </c>
      <c r="C19" s="46" t="s">
        <v>152</v>
      </c>
      <c r="D19" s="198" t="s">
        <v>152</v>
      </c>
      <c r="E19" s="46" t="s">
        <v>152</v>
      </c>
      <c r="F19" s="198" t="s">
        <v>152</v>
      </c>
      <c r="G19" s="46" t="s">
        <v>152</v>
      </c>
      <c r="H19" s="198" t="s">
        <v>152</v>
      </c>
      <c r="I19" s="47"/>
      <c r="J19" s="47"/>
      <c r="K19"/>
    </row>
    <row r="20" spans="1:11" ht="13.5">
      <c r="A20" s="31" t="s">
        <v>228</v>
      </c>
      <c r="B20" s="46" t="s">
        <v>152</v>
      </c>
      <c r="C20" s="46" t="s">
        <v>152</v>
      </c>
      <c r="D20" s="198" t="s">
        <v>152</v>
      </c>
      <c r="E20" s="46" t="s">
        <v>152</v>
      </c>
      <c r="F20" s="198" t="s">
        <v>152</v>
      </c>
      <c r="G20" s="46" t="s">
        <v>152</v>
      </c>
      <c r="H20" s="198" t="s">
        <v>152</v>
      </c>
      <c r="I20" s="47"/>
      <c r="J20" s="47"/>
      <c r="K20"/>
    </row>
    <row r="21" spans="1:11" ht="13.5">
      <c r="A21" s="31" t="s">
        <v>229</v>
      </c>
      <c r="B21" s="46" t="s">
        <v>152</v>
      </c>
      <c r="C21" s="46" t="s">
        <v>152</v>
      </c>
      <c r="D21" s="198" t="s">
        <v>152</v>
      </c>
      <c r="E21" s="46" t="s">
        <v>152</v>
      </c>
      <c r="F21" s="198" t="s">
        <v>152</v>
      </c>
      <c r="G21" s="46" t="s">
        <v>152</v>
      </c>
      <c r="H21" s="198" t="s">
        <v>152</v>
      </c>
      <c r="I21" s="47"/>
      <c r="J21" s="47"/>
      <c r="K21"/>
    </row>
    <row r="22" spans="1:11" ht="13.5">
      <c r="A22" s="31" t="s">
        <v>230</v>
      </c>
      <c r="B22" s="46" t="s">
        <v>152</v>
      </c>
      <c r="C22" s="46" t="s">
        <v>152</v>
      </c>
      <c r="D22" s="198" t="s">
        <v>152</v>
      </c>
      <c r="E22" s="46" t="s">
        <v>152</v>
      </c>
      <c r="F22" s="198" t="s">
        <v>152</v>
      </c>
      <c r="G22" s="46" t="s">
        <v>152</v>
      </c>
      <c r="H22" s="198" t="s">
        <v>152</v>
      </c>
      <c r="I22" s="152" t="s">
        <v>24</v>
      </c>
      <c r="J22" s="47"/>
      <c r="K22"/>
    </row>
    <row r="23" spans="1:11" ht="13.5">
      <c r="A23" s="33" t="s">
        <v>219</v>
      </c>
      <c r="B23" s="49"/>
      <c r="C23" s="48"/>
      <c r="D23" s="48"/>
      <c r="E23" s="48"/>
      <c r="F23" s="48"/>
      <c r="G23" s="48"/>
      <c r="H23" s="48"/>
      <c r="I23" s="47"/>
      <c r="J23" s="47"/>
      <c r="K23"/>
    </row>
    <row r="24" spans="1:11" ht="23.25" customHeight="1">
      <c r="A24" s="323" t="s">
        <v>163</v>
      </c>
      <c r="B24" s="323"/>
      <c r="C24" s="323"/>
      <c r="D24" s="323"/>
      <c r="E24" s="323"/>
      <c r="F24" s="323"/>
      <c r="G24" s="323"/>
      <c r="H24" s="323"/>
      <c r="I24" s="87" t="s">
        <v>24</v>
      </c>
      <c r="J24" s="55"/>
      <c r="K24"/>
    </row>
    <row r="25" spans="1:11" ht="12.75" customHeight="1">
      <c r="A25" s="305" t="s">
        <v>242</v>
      </c>
      <c r="B25" s="304"/>
      <c r="C25" s="304"/>
      <c r="D25" s="304"/>
      <c r="E25" s="304"/>
      <c r="F25" s="304"/>
      <c r="G25" s="304"/>
      <c r="H25" s="304"/>
      <c r="I25" s="87"/>
      <c r="J25" s="55"/>
      <c r="K25"/>
    </row>
    <row r="26" spans="1:11" ht="13.5">
      <c r="A26" s="33"/>
      <c r="B26" s="49"/>
      <c r="C26" s="49"/>
      <c r="D26" s="49"/>
      <c r="E26" s="53"/>
      <c r="F26" s="54"/>
      <c r="G26" s="54"/>
      <c r="H26" s="54"/>
      <c r="I26" s="55"/>
      <c r="J26" s="55"/>
      <c r="K26"/>
    </row>
    <row r="27" spans="1:11" ht="15">
      <c r="A27" s="325" t="s">
        <v>59</v>
      </c>
      <c r="B27" s="325"/>
      <c r="C27" s="83" t="s">
        <v>24</v>
      </c>
      <c r="D27" s="48"/>
      <c r="E27" s="84"/>
      <c r="F27" s="85"/>
      <c r="G27" s="54"/>
      <c r="H27" s="54"/>
      <c r="I27" s="55"/>
      <c r="J27" s="55"/>
      <c r="K27"/>
    </row>
    <row r="28" spans="1:11" ht="60" customHeight="1">
      <c r="A28" s="41" t="s">
        <v>158</v>
      </c>
      <c r="B28" s="218" t="s">
        <v>183</v>
      </c>
      <c r="C28" s="218" t="s">
        <v>184</v>
      </c>
      <c r="D28" s="218" t="s">
        <v>233</v>
      </c>
      <c r="E28" s="218" t="s">
        <v>53</v>
      </c>
      <c r="F28" s="218" t="s">
        <v>185</v>
      </c>
      <c r="G28" s="218" t="s">
        <v>190</v>
      </c>
      <c r="H28" s="218" t="s">
        <v>234</v>
      </c>
      <c r="I28" s="218" t="s">
        <v>85</v>
      </c>
      <c r="J28" s="58"/>
      <c r="K28"/>
    </row>
    <row r="29" spans="1:13" ht="13.5">
      <c r="A29" s="45" t="s">
        <v>173</v>
      </c>
      <c r="B29" s="59">
        <v>140600.4</v>
      </c>
      <c r="C29" s="59">
        <v>16277.1</v>
      </c>
      <c r="D29" s="59">
        <v>9959.4</v>
      </c>
      <c r="E29" s="60">
        <f aca="true" t="shared" si="3" ref="E29:E37">B29+C29+D29</f>
        <v>166836.9</v>
      </c>
      <c r="F29" s="45">
        <v>38.6</v>
      </c>
      <c r="G29" s="45">
        <v>0</v>
      </c>
      <c r="H29" s="45">
        <v>0</v>
      </c>
      <c r="I29" s="45">
        <f aca="true" t="shared" si="4" ref="I29:I36">F29+G29+H29</f>
        <v>38.6</v>
      </c>
      <c r="J29" s="47"/>
      <c r="K29"/>
      <c r="M29" s="14" t="s">
        <v>24</v>
      </c>
    </row>
    <row r="30" spans="1:11" ht="13.5">
      <c r="A30" s="45" t="s">
        <v>29</v>
      </c>
      <c r="B30" s="59">
        <v>53469</v>
      </c>
      <c r="C30" s="59">
        <v>8856.8</v>
      </c>
      <c r="D30" s="59">
        <v>3745.4</v>
      </c>
      <c r="E30" s="60">
        <f t="shared" si="3"/>
        <v>66071.2</v>
      </c>
      <c r="F30" s="45">
        <v>38.6</v>
      </c>
      <c r="G30" s="45">
        <v>0</v>
      </c>
      <c r="H30" s="45">
        <v>0</v>
      </c>
      <c r="I30" s="45">
        <f t="shared" si="4"/>
        <v>38.6</v>
      </c>
      <c r="J30" s="47"/>
      <c r="K30"/>
    </row>
    <row r="31" spans="1:11" ht="13.5">
      <c r="A31" s="45" t="s">
        <v>35</v>
      </c>
      <c r="B31" s="59">
        <v>22970.6</v>
      </c>
      <c r="C31" s="59">
        <v>6573.5</v>
      </c>
      <c r="D31" s="59">
        <v>1524.9</v>
      </c>
      <c r="E31" s="60">
        <f t="shared" si="3"/>
        <v>31069</v>
      </c>
      <c r="F31" s="45">
        <v>0</v>
      </c>
      <c r="G31" s="45">
        <v>0</v>
      </c>
      <c r="H31" s="45">
        <v>0</v>
      </c>
      <c r="I31" s="45">
        <f t="shared" si="4"/>
        <v>0</v>
      </c>
      <c r="J31" s="47"/>
      <c r="K31"/>
    </row>
    <row r="32" spans="1:11" ht="13.5">
      <c r="A32" s="45" t="s">
        <v>5</v>
      </c>
      <c r="B32" s="59">
        <v>9420.5</v>
      </c>
      <c r="C32" s="59">
        <v>672.8</v>
      </c>
      <c r="D32" s="59">
        <v>1087.4</v>
      </c>
      <c r="E32" s="60">
        <f t="shared" si="3"/>
        <v>11180.699999999999</v>
      </c>
      <c r="F32" s="45">
        <v>0</v>
      </c>
      <c r="G32" s="45">
        <v>0</v>
      </c>
      <c r="H32" s="45">
        <v>0</v>
      </c>
      <c r="I32" s="45">
        <f t="shared" si="4"/>
        <v>0</v>
      </c>
      <c r="J32" s="47"/>
      <c r="K32"/>
    </row>
    <row r="33" spans="1:11" ht="13.5">
      <c r="A33" s="45" t="s">
        <v>8</v>
      </c>
      <c r="B33" s="59">
        <v>4821.2</v>
      </c>
      <c r="C33" s="59">
        <v>111.4</v>
      </c>
      <c r="D33" s="59">
        <v>368.2</v>
      </c>
      <c r="E33" s="60">
        <f t="shared" si="3"/>
        <v>5300.799999999999</v>
      </c>
      <c r="F33" s="45">
        <v>0</v>
      </c>
      <c r="G33" s="45">
        <v>0</v>
      </c>
      <c r="H33" s="45">
        <v>0</v>
      </c>
      <c r="I33" s="45">
        <f t="shared" si="4"/>
        <v>0</v>
      </c>
      <c r="J33" s="47"/>
      <c r="K33"/>
    </row>
    <row r="34" spans="1:11" ht="13.5">
      <c r="A34" s="45" t="s">
        <v>36</v>
      </c>
      <c r="B34" s="59">
        <v>3008</v>
      </c>
      <c r="C34" s="59">
        <v>30</v>
      </c>
      <c r="D34" s="59">
        <v>130</v>
      </c>
      <c r="E34" s="60">
        <f>B34+C34+D34</f>
        <v>3168</v>
      </c>
      <c r="F34" s="45">
        <v>0</v>
      </c>
      <c r="G34" s="45">
        <v>0</v>
      </c>
      <c r="H34" s="45">
        <v>0</v>
      </c>
      <c r="I34" s="45">
        <f t="shared" si="4"/>
        <v>0</v>
      </c>
      <c r="J34" s="47"/>
      <c r="K34"/>
    </row>
    <row r="35" spans="1:15" ht="13.5">
      <c r="A35" s="45" t="s">
        <v>37</v>
      </c>
      <c r="B35" s="59">
        <v>1270.3</v>
      </c>
      <c r="C35" s="59">
        <v>345.4</v>
      </c>
      <c r="D35" s="59">
        <v>77.8</v>
      </c>
      <c r="E35" s="60">
        <f t="shared" si="3"/>
        <v>1693.4999999999998</v>
      </c>
      <c r="F35" s="45">
        <v>0</v>
      </c>
      <c r="G35" s="45">
        <v>0</v>
      </c>
      <c r="H35" s="45">
        <v>0</v>
      </c>
      <c r="I35" s="45">
        <f t="shared" si="4"/>
        <v>0</v>
      </c>
      <c r="J35" s="33" t="s">
        <v>24</v>
      </c>
      <c r="K35"/>
      <c r="M35" s="4" t="s">
        <v>24</v>
      </c>
      <c r="N35" s="129" t="s">
        <v>24</v>
      </c>
      <c r="O35" s="129" t="s">
        <v>24</v>
      </c>
    </row>
    <row r="36" spans="1:15" ht="13.5">
      <c r="A36" s="31" t="s">
        <v>15</v>
      </c>
      <c r="B36" s="59">
        <v>4875.7</v>
      </c>
      <c r="C36" s="59">
        <v>103</v>
      </c>
      <c r="D36" s="59">
        <v>500</v>
      </c>
      <c r="E36" s="60">
        <f t="shared" si="3"/>
        <v>5478.7</v>
      </c>
      <c r="F36" s="45">
        <v>0</v>
      </c>
      <c r="G36" s="45">
        <v>0</v>
      </c>
      <c r="H36" s="45">
        <v>0</v>
      </c>
      <c r="I36" s="45">
        <f t="shared" si="4"/>
        <v>0</v>
      </c>
      <c r="J36" s="47"/>
      <c r="K36"/>
      <c r="O36" s="4" t="s">
        <v>24</v>
      </c>
    </row>
    <row r="37" spans="1:11" ht="13.5">
      <c r="A37" s="31" t="s">
        <v>45</v>
      </c>
      <c r="B37" s="59">
        <v>8583.5</v>
      </c>
      <c r="C37" s="59">
        <v>750.7</v>
      </c>
      <c r="D37" s="59">
        <v>837.4</v>
      </c>
      <c r="E37" s="60">
        <f t="shared" si="3"/>
        <v>10171.6</v>
      </c>
      <c r="F37" s="45">
        <v>0</v>
      </c>
      <c r="G37" s="45">
        <v>0</v>
      </c>
      <c r="H37" s="45">
        <v>0</v>
      </c>
      <c r="I37" s="45">
        <f>F37+G37+H37</f>
        <v>0</v>
      </c>
      <c r="J37" s="47"/>
      <c r="K37"/>
    </row>
    <row r="38" spans="1:11" ht="13.5">
      <c r="A38" s="31" t="s">
        <v>132</v>
      </c>
      <c r="B38" s="59">
        <v>2002.5</v>
      </c>
      <c r="C38" s="145">
        <v>0</v>
      </c>
      <c r="D38" s="59">
        <v>255.6</v>
      </c>
      <c r="E38" s="60">
        <f>B38+C38+D38</f>
        <v>2258.1</v>
      </c>
      <c r="F38" s="45">
        <v>0</v>
      </c>
      <c r="G38" s="45">
        <v>0</v>
      </c>
      <c r="H38" s="45">
        <v>0</v>
      </c>
      <c r="I38" s="45">
        <f>F38+G38+H38</f>
        <v>0</v>
      </c>
      <c r="J38" s="47"/>
      <c r="K38"/>
    </row>
    <row r="39" spans="1:11" ht="13.5">
      <c r="A39" s="31" t="s">
        <v>20</v>
      </c>
      <c r="B39" s="59">
        <v>20564.4</v>
      </c>
      <c r="C39" s="59">
        <v>891.5</v>
      </c>
      <c r="D39" s="59">
        <v>1864.5</v>
      </c>
      <c r="E39" s="61">
        <f>B39+C39+D39</f>
        <v>23320.4</v>
      </c>
      <c r="F39" s="45">
        <v>0</v>
      </c>
      <c r="G39" s="45">
        <v>0</v>
      </c>
      <c r="H39" s="45">
        <v>0</v>
      </c>
      <c r="I39" s="45">
        <f>F39+G39+H39</f>
        <v>0</v>
      </c>
      <c r="J39" s="47"/>
      <c r="K39"/>
    </row>
    <row r="40" spans="1:11" ht="13.5">
      <c r="A40" s="31" t="s">
        <v>11</v>
      </c>
      <c r="B40" s="59">
        <v>2139.7</v>
      </c>
      <c r="C40" s="59">
        <v>569.8</v>
      </c>
      <c r="D40" s="59">
        <v>587.4</v>
      </c>
      <c r="E40" s="61">
        <f>B40+C40+D40</f>
        <v>3296.9</v>
      </c>
      <c r="F40" s="45">
        <v>0</v>
      </c>
      <c r="G40" s="45">
        <v>0</v>
      </c>
      <c r="H40" s="45">
        <v>0</v>
      </c>
      <c r="I40" s="45">
        <f>F40+G40+H40</f>
        <v>0</v>
      </c>
      <c r="J40" s="47"/>
      <c r="K40"/>
    </row>
    <row r="41" spans="1:11" ht="13.5">
      <c r="A41" s="31" t="s">
        <v>10</v>
      </c>
      <c r="B41" s="59">
        <v>8380.4</v>
      </c>
      <c r="C41" s="59">
        <v>663.7</v>
      </c>
      <c r="D41" s="59">
        <v>482.8</v>
      </c>
      <c r="E41" s="61">
        <f>B41+C41+D41</f>
        <v>9526.9</v>
      </c>
      <c r="F41" s="45">
        <v>38.6</v>
      </c>
      <c r="G41" s="45">
        <v>0</v>
      </c>
      <c r="H41" s="45">
        <v>0</v>
      </c>
      <c r="I41" s="45">
        <f>F41+G41+H41</f>
        <v>38.6</v>
      </c>
      <c r="J41" s="47"/>
      <c r="K41"/>
    </row>
    <row r="42" spans="1:11" ht="13.5">
      <c r="A42" s="31" t="s">
        <v>147</v>
      </c>
      <c r="B42" s="62">
        <v>0</v>
      </c>
      <c r="C42" s="62">
        <v>0</v>
      </c>
      <c r="D42" s="282" t="s">
        <v>152</v>
      </c>
      <c r="E42" s="63">
        <f>B42+C42</f>
        <v>0</v>
      </c>
      <c r="F42" s="63">
        <v>0</v>
      </c>
      <c r="G42" s="63">
        <v>0</v>
      </c>
      <c r="H42" s="63">
        <v>0</v>
      </c>
      <c r="I42" s="63">
        <f>F42</f>
        <v>0</v>
      </c>
      <c r="J42" s="47"/>
      <c r="K42"/>
    </row>
    <row r="43" spans="1:11" ht="13.5">
      <c r="A43" s="31" t="s">
        <v>148</v>
      </c>
      <c r="B43" s="62">
        <v>0</v>
      </c>
      <c r="C43" s="62">
        <v>0</v>
      </c>
      <c r="D43" s="282" t="s">
        <v>152</v>
      </c>
      <c r="E43" s="63">
        <f>B43+C43</f>
        <v>0</v>
      </c>
      <c r="F43" s="63">
        <v>0</v>
      </c>
      <c r="G43" s="63">
        <v>0</v>
      </c>
      <c r="H43" s="63">
        <v>0</v>
      </c>
      <c r="I43" s="63">
        <f>F43</f>
        <v>0</v>
      </c>
      <c r="J43" s="47"/>
      <c r="K43"/>
    </row>
    <row r="44" spans="1:11" ht="13.5">
      <c r="A44" s="31" t="s">
        <v>149</v>
      </c>
      <c r="B44" s="62">
        <v>0</v>
      </c>
      <c r="C44" s="62">
        <v>0</v>
      </c>
      <c r="D44" s="282" t="s">
        <v>152</v>
      </c>
      <c r="E44" s="63">
        <f>B44+C44</f>
        <v>0</v>
      </c>
      <c r="F44" s="63">
        <v>0</v>
      </c>
      <c r="G44" s="63">
        <v>0</v>
      </c>
      <c r="H44" s="63">
        <v>0</v>
      </c>
      <c r="I44" s="63">
        <f>F44</f>
        <v>0</v>
      </c>
      <c r="J44" s="47"/>
      <c r="K44"/>
    </row>
    <row r="45" spans="1:11" ht="13.5">
      <c r="A45" s="31" t="s">
        <v>150</v>
      </c>
      <c r="B45" s="62">
        <v>0</v>
      </c>
      <c r="C45" s="62">
        <v>0</v>
      </c>
      <c r="D45" s="282" t="s">
        <v>152</v>
      </c>
      <c r="E45" s="63">
        <f>B45+C45</f>
        <v>0</v>
      </c>
      <c r="F45" s="63">
        <v>0</v>
      </c>
      <c r="G45" s="63">
        <v>0</v>
      </c>
      <c r="H45" s="63">
        <v>0</v>
      </c>
      <c r="I45" s="63">
        <f>F45</f>
        <v>0</v>
      </c>
      <c r="J45" s="64" t="s">
        <v>24</v>
      </c>
      <c r="K45"/>
    </row>
    <row r="46" spans="1:11" ht="13.5">
      <c r="A46" s="31" t="s">
        <v>151</v>
      </c>
      <c r="B46" s="62">
        <v>0</v>
      </c>
      <c r="C46" s="62">
        <v>0</v>
      </c>
      <c r="D46" s="282" t="s">
        <v>152</v>
      </c>
      <c r="E46" s="63">
        <f>B46+C46</f>
        <v>0</v>
      </c>
      <c r="F46" s="63">
        <v>0</v>
      </c>
      <c r="G46" s="63">
        <v>0</v>
      </c>
      <c r="H46" s="63">
        <v>0</v>
      </c>
      <c r="I46" s="63">
        <f>F46</f>
        <v>0</v>
      </c>
      <c r="J46" s="47"/>
      <c r="K46"/>
    </row>
    <row r="47" spans="1:11" ht="13.5">
      <c r="A47" s="331" t="s">
        <v>174</v>
      </c>
      <c r="B47" s="331"/>
      <c r="C47" s="331"/>
      <c r="D47" s="331"/>
      <c r="E47" s="331"/>
      <c r="F47" s="331"/>
      <c r="G47" s="331"/>
      <c r="H47" s="331"/>
      <c r="I47" s="331"/>
      <c r="J47" s="47"/>
      <c r="K47"/>
    </row>
    <row r="48" spans="1:11" ht="13.5">
      <c r="A48" s="33"/>
      <c r="B48" s="49"/>
      <c r="C48" s="49"/>
      <c r="D48" s="49"/>
      <c r="E48" s="53"/>
      <c r="F48" s="54"/>
      <c r="G48" s="54"/>
      <c r="H48" s="54"/>
      <c r="I48" s="55"/>
      <c r="J48" s="55"/>
      <c r="K48"/>
    </row>
    <row r="49" spans="1:11" ht="15">
      <c r="A49" s="326" t="s">
        <v>57</v>
      </c>
      <c r="B49" s="327"/>
      <c r="C49" s="49"/>
      <c r="D49" s="49"/>
      <c r="E49" s="53"/>
      <c r="F49" s="54"/>
      <c r="G49" s="54"/>
      <c r="H49" s="54"/>
      <c r="I49" s="55"/>
      <c r="J49" s="55"/>
      <c r="K49"/>
    </row>
    <row r="50" spans="1:11" ht="60" customHeight="1">
      <c r="A50" s="244" t="s">
        <v>158</v>
      </c>
      <c r="B50" s="218" t="s">
        <v>183</v>
      </c>
      <c r="C50" s="218" t="s">
        <v>184</v>
      </c>
      <c r="D50" s="218" t="s">
        <v>233</v>
      </c>
      <c r="E50" s="218" t="s">
        <v>53</v>
      </c>
      <c r="F50" s="244" t="s">
        <v>189</v>
      </c>
      <c r="G50" s="244" t="s">
        <v>191</v>
      </c>
      <c r="H50" s="244" t="s">
        <v>235</v>
      </c>
      <c r="I50" s="244" t="s">
        <v>56</v>
      </c>
      <c r="J50" s="24"/>
      <c r="K50"/>
    </row>
    <row r="51" spans="1:11" ht="13.5">
      <c r="A51" s="45" t="s">
        <v>46</v>
      </c>
      <c r="B51" s="66">
        <f>B29-B30-B37-B39</f>
        <v>57983.49999999999</v>
      </c>
      <c r="C51" s="66">
        <f>C29-C30-C37-C39</f>
        <v>5778.100000000001</v>
      </c>
      <c r="D51" s="66">
        <f>D29-D30-D37-D39</f>
        <v>3512.1000000000004</v>
      </c>
      <c r="E51" s="67">
        <f>B51+C51+D51</f>
        <v>67273.7</v>
      </c>
      <c r="F51" s="68">
        <f aca="true" t="shared" si="5" ref="F51:F63">B51*D5</f>
        <v>9553941.295</v>
      </c>
      <c r="G51" s="68">
        <f aca="true" t="shared" si="6" ref="G51:G63">C51*F5</f>
        <v>866599.4380000003</v>
      </c>
      <c r="H51" s="68">
        <f aca="true" t="shared" si="7" ref="H51:H63">D51*H5</f>
        <v>526744.7580000001</v>
      </c>
      <c r="I51" s="68">
        <f aca="true" t="shared" si="8" ref="I51:I63">F51+G51+H51</f>
        <v>10947285.491</v>
      </c>
      <c r="J51" s="24"/>
      <c r="K51"/>
    </row>
    <row r="52" spans="1:11" ht="13.5">
      <c r="A52" s="45" t="s">
        <v>49</v>
      </c>
      <c r="B52" s="66">
        <f>B30-B31-B32-B41</f>
        <v>12697.500000000002</v>
      </c>
      <c r="C52" s="66">
        <f>C30-C31-C32-C41</f>
        <v>946.7999999999993</v>
      </c>
      <c r="D52" s="66">
        <f>D30-D31-D32-D41</f>
        <v>650.3</v>
      </c>
      <c r="E52" s="67">
        <f>B52+C52+D52</f>
        <v>14294.6</v>
      </c>
      <c r="F52" s="68">
        <f t="shared" si="5"/>
        <v>2092167.0750000004</v>
      </c>
      <c r="G52" s="68">
        <f t="shared" si="6"/>
        <v>142001.0639999999</v>
      </c>
      <c r="H52" s="68">
        <f t="shared" si="7"/>
        <v>97531.994</v>
      </c>
      <c r="I52" s="68">
        <f t="shared" si="8"/>
        <v>2331700.1330000004</v>
      </c>
      <c r="J52" s="24"/>
      <c r="K52"/>
    </row>
    <row r="53" spans="1:11" ht="13.5">
      <c r="A53" s="45" t="s">
        <v>48</v>
      </c>
      <c r="B53" s="66">
        <f>B31-B33-B35</f>
        <v>16879.1</v>
      </c>
      <c r="C53" s="66">
        <f>C31-C33-C35</f>
        <v>6116.700000000001</v>
      </c>
      <c r="D53" s="66">
        <f>D31-D33-D35</f>
        <v>1078.9</v>
      </c>
      <c r="E53" s="67">
        <f>B53+C53+D53</f>
        <v>24074.7</v>
      </c>
      <c r="F53" s="68">
        <f t="shared" si="5"/>
        <v>3804886.722</v>
      </c>
      <c r="G53" s="68">
        <f t="shared" si="6"/>
        <v>1288360.5210000004</v>
      </c>
      <c r="H53" s="68">
        <f t="shared" si="7"/>
        <v>227248.70700000005</v>
      </c>
      <c r="I53" s="68">
        <f t="shared" si="8"/>
        <v>5320495.950000001</v>
      </c>
      <c r="J53" s="24"/>
      <c r="K53"/>
    </row>
    <row r="54" spans="1:11" ht="13.5">
      <c r="A54" s="45" t="s">
        <v>47</v>
      </c>
      <c r="B54" s="66">
        <f>B32-B36-B40</f>
        <v>2405.1000000000004</v>
      </c>
      <c r="C54" s="66">
        <f>C32-C36-C40</f>
        <v>0</v>
      </c>
      <c r="D54" s="66">
        <f>D32-D36-D40</f>
        <v>0</v>
      </c>
      <c r="E54" s="67">
        <f>B54+C54+D54</f>
        <v>2405.1000000000004</v>
      </c>
      <c r="F54" s="68">
        <f t="shared" si="5"/>
        <v>396288.3270000001</v>
      </c>
      <c r="G54" s="68">
        <f t="shared" si="6"/>
        <v>0</v>
      </c>
      <c r="H54" s="68">
        <f t="shared" si="7"/>
        <v>0</v>
      </c>
      <c r="I54" s="68">
        <f t="shared" si="8"/>
        <v>396288.3270000001</v>
      </c>
      <c r="J54" s="24"/>
      <c r="K54"/>
    </row>
    <row r="55" spans="1:11" ht="13.5">
      <c r="A55" s="45" t="s">
        <v>39</v>
      </c>
      <c r="B55" s="66">
        <f>B33-B34</f>
        <v>1813.1999999999998</v>
      </c>
      <c r="C55" s="66">
        <f>C33-C34</f>
        <v>81.4</v>
      </c>
      <c r="D55" s="66">
        <f>D33-D34</f>
        <v>238.2</v>
      </c>
      <c r="E55" s="67">
        <f>B55+C55+D55</f>
        <v>2132.7999999999997</v>
      </c>
      <c r="F55" s="68">
        <f t="shared" si="5"/>
        <v>408731.544</v>
      </c>
      <c r="G55" s="68">
        <f t="shared" si="6"/>
        <v>17145.282000000003</v>
      </c>
      <c r="H55" s="68">
        <f t="shared" si="7"/>
        <v>50172.066000000006</v>
      </c>
      <c r="I55" s="68">
        <f t="shared" si="8"/>
        <v>476048.892</v>
      </c>
      <c r="J55" s="24"/>
      <c r="K55"/>
    </row>
    <row r="56" spans="1:11" ht="13.5">
      <c r="A56" s="45" t="s">
        <v>36</v>
      </c>
      <c r="B56" s="66">
        <f aca="true" t="shared" si="9" ref="B56:D58">B34</f>
        <v>3008</v>
      </c>
      <c r="C56" s="66">
        <f t="shared" si="9"/>
        <v>30</v>
      </c>
      <c r="D56" s="66">
        <f t="shared" si="9"/>
        <v>130</v>
      </c>
      <c r="E56" s="67">
        <f aca="true" t="shared" si="10" ref="E56:E63">B56+C56+D56</f>
        <v>3168</v>
      </c>
      <c r="F56" s="68">
        <f t="shared" si="5"/>
        <v>678063.3600000001</v>
      </c>
      <c r="G56" s="68">
        <f t="shared" si="6"/>
        <v>6318.900000000001</v>
      </c>
      <c r="H56" s="68">
        <f t="shared" si="7"/>
        <v>27381.9</v>
      </c>
      <c r="I56" s="68">
        <f t="shared" si="8"/>
        <v>711764.1600000001</v>
      </c>
      <c r="J56" s="24"/>
      <c r="K56"/>
    </row>
    <row r="57" spans="1:11" ht="13.5">
      <c r="A57" s="45" t="s">
        <v>37</v>
      </c>
      <c r="B57" s="66">
        <f t="shared" si="9"/>
        <v>1270.3</v>
      </c>
      <c r="C57" s="66">
        <f t="shared" si="9"/>
        <v>345.4</v>
      </c>
      <c r="D57" s="66">
        <f t="shared" si="9"/>
        <v>77.8</v>
      </c>
      <c r="E57" s="67">
        <f t="shared" si="10"/>
        <v>1693.4999999999998</v>
      </c>
      <c r="F57" s="68">
        <f t="shared" si="5"/>
        <v>286351.026</v>
      </c>
      <c r="G57" s="68">
        <f t="shared" si="6"/>
        <v>72751.602</v>
      </c>
      <c r="H57" s="68">
        <f t="shared" si="7"/>
        <v>16387.014000000003</v>
      </c>
      <c r="I57" s="68">
        <f t="shared" si="8"/>
        <v>375489.64200000005</v>
      </c>
      <c r="J57" s="24"/>
      <c r="K57"/>
    </row>
    <row r="58" spans="1:11" ht="13.5">
      <c r="A58" s="45" t="s">
        <v>15</v>
      </c>
      <c r="B58" s="66">
        <f t="shared" si="9"/>
        <v>4875.7</v>
      </c>
      <c r="C58" s="66">
        <f t="shared" si="9"/>
        <v>103</v>
      </c>
      <c r="D58" s="66">
        <f t="shared" si="9"/>
        <v>500</v>
      </c>
      <c r="E58" s="67">
        <f t="shared" si="10"/>
        <v>5478.7</v>
      </c>
      <c r="F58" s="68">
        <f t="shared" si="5"/>
        <v>803369.089</v>
      </c>
      <c r="G58" s="68">
        <f t="shared" si="6"/>
        <v>15447.940000000002</v>
      </c>
      <c r="H58" s="68">
        <f t="shared" si="7"/>
        <v>20545.000000000007</v>
      </c>
      <c r="I58" s="68">
        <f t="shared" si="8"/>
        <v>839362.0290000001</v>
      </c>
      <c r="J58" s="24"/>
      <c r="K58"/>
    </row>
    <row r="59" spans="1:11" ht="13.5">
      <c r="A59" s="45" t="s">
        <v>133</v>
      </c>
      <c r="B59" s="66">
        <f>B37-B38</f>
        <v>6581</v>
      </c>
      <c r="C59" s="66">
        <f>C37-C38</f>
        <v>750.7</v>
      </c>
      <c r="D59" s="66">
        <f>D37-D38</f>
        <v>581.8</v>
      </c>
      <c r="E59" s="67">
        <f t="shared" si="10"/>
        <v>7913.5</v>
      </c>
      <c r="F59" s="68">
        <f t="shared" si="5"/>
        <v>1084351.37</v>
      </c>
      <c r="G59" s="68">
        <f t="shared" si="6"/>
        <v>112589.98600000002</v>
      </c>
      <c r="H59" s="68">
        <f t="shared" si="7"/>
        <v>87258.364</v>
      </c>
      <c r="I59" s="68">
        <f t="shared" si="8"/>
        <v>1284199.7200000002</v>
      </c>
      <c r="J59" s="70" t="s">
        <v>24</v>
      </c>
      <c r="K59"/>
    </row>
    <row r="60" spans="1:11" ht="13.5">
      <c r="A60" s="31" t="s">
        <v>132</v>
      </c>
      <c r="B60" s="66">
        <f aca="true" t="shared" si="11" ref="B60:D68">B38</f>
        <v>2002.5</v>
      </c>
      <c r="C60" s="66">
        <f t="shared" si="11"/>
        <v>0</v>
      </c>
      <c r="D60" s="66">
        <f t="shared" si="11"/>
        <v>255.6</v>
      </c>
      <c r="E60" s="67">
        <f t="shared" si="10"/>
        <v>2258.1</v>
      </c>
      <c r="F60" s="68">
        <f t="shared" si="5"/>
        <v>329951.92500000005</v>
      </c>
      <c r="G60" s="68">
        <f t="shared" si="6"/>
        <v>0</v>
      </c>
      <c r="H60" s="68">
        <f t="shared" si="7"/>
        <v>38334.888000000006</v>
      </c>
      <c r="I60" s="68">
        <f t="shared" si="8"/>
        <v>368286.8130000001</v>
      </c>
      <c r="J60" s="24"/>
      <c r="K60"/>
    </row>
    <row r="61" spans="1:11" ht="13.5">
      <c r="A61" s="31" t="s">
        <v>20</v>
      </c>
      <c r="B61" s="66">
        <f t="shared" si="11"/>
        <v>20564.4</v>
      </c>
      <c r="C61" s="66">
        <f t="shared" si="11"/>
        <v>891.5</v>
      </c>
      <c r="D61" s="66">
        <f t="shared" si="11"/>
        <v>1864.5</v>
      </c>
      <c r="E61" s="67">
        <f t="shared" si="10"/>
        <v>23320.4</v>
      </c>
      <c r="F61" s="68">
        <f t="shared" si="5"/>
        <v>4421346</v>
      </c>
      <c r="G61" s="68">
        <f t="shared" si="6"/>
        <v>178487.215</v>
      </c>
      <c r="H61" s="68">
        <f t="shared" si="7"/>
        <v>373291.54500000004</v>
      </c>
      <c r="I61" s="68">
        <f t="shared" si="8"/>
        <v>4973124.76</v>
      </c>
      <c r="J61" s="24"/>
      <c r="K61"/>
    </row>
    <row r="62" spans="1:11" ht="13.5">
      <c r="A62" s="31" t="s">
        <v>11</v>
      </c>
      <c r="B62" s="66">
        <f t="shared" si="11"/>
        <v>2139.7</v>
      </c>
      <c r="C62" s="66">
        <f t="shared" si="11"/>
        <v>569.8</v>
      </c>
      <c r="D62" s="66">
        <f t="shared" si="11"/>
        <v>587.4</v>
      </c>
      <c r="E62" s="67">
        <f t="shared" si="10"/>
        <v>3296.9</v>
      </c>
      <c r="F62" s="68">
        <f t="shared" si="5"/>
        <v>352558.369</v>
      </c>
      <c r="G62" s="68">
        <f t="shared" si="6"/>
        <v>85458.604</v>
      </c>
      <c r="H62" s="68">
        <f t="shared" si="7"/>
        <v>35214.63000000001</v>
      </c>
      <c r="I62" s="68">
        <f t="shared" si="8"/>
        <v>473231.603</v>
      </c>
      <c r="J62" s="24"/>
      <c r="K62"/>
    </row>
    <row r="63" spans="1:11" ht="13.5">
      <c r="A63" s="31" t="s">
        <v>10</v>
      </c>
      <c r="B63" s="66">
        <f t="shared" si="11"/>
        <v>8380.4</v>
      </c>
      <c r="C63" s="66">
        <f t="shared" si="11"/>
        <v>663.7</v>
      </c>
      <c r="D63" s="66">
        <f t="shared" si="11"/>
        <v>482.8</v>
      </c>
      <c r="E63" s="67">
        <f t="shared" si="10"/>
        <v>9526.9</v>
      </c>
      <c r="F63" s="68">
        <f t="shared" si="5"/>
        <v>1380838.508</v>
      </c>
      <c r="G63" s="68">
        <f t="shared" si="6"/>
        <v>49777.500000000015</v>
      </c>
      <c r="H63" s="68">
        <f t="shared" si="7"/>
        <v>36210.00000000001</v>
      </c>
      <c r="I63" s="68">
        <f t="shared" si="8"/>
        <v>1466826.008</v>
      </c>
      <c r="J63" s="24"/>
      <c r="K63"/>
    </row>
    <row r="64" spans="1:11" ht="13.5">
      <c r="A64" s="31" t="s">
        <v>147</v>
      </c>
      <c r="B64" s="66">
        <f t="shared" si="11"/>
        <v>0</v>
      </c>
      <c r="C64" s="66">
        <f t="shared" si="11"/>
        <v>0</v>
      </c>
      <c r="D64" s="66" t="str">
        <f t="shared" si="11"/>
        <v>NA</v>
      </c>
      <c r="E64" s="67">
        <f>B64+C64</f>
        <v>0</v>
      </c>
      <c r="F64" s="68">
        <v>0</v>
      </c>
      <c r="G64" s="68">
        <v>0</v>
      </c>
      <c r="H64" s="220" t="s">
        <v>152</v>
      </c>
      <c r="I64" s="68">
        <f>F64+G64</f>
        <v>0</v>
      </c>
      <c r="J64" s="24"/>
      <c r="K64"/>
    </row>
    <row r="65" spans="1:11" ht="13.5">
      <c r="A65" s="31" t="s">
        <v>148</v>
      </c>
      <c r="B65" s="66">
        <f t="shared" si="11"/>
        <v>0</v>
      </c>
      <c r="C65" s="66">
        <f t="shared" si="11"/>
        <v>0</v>
      </c>
      <c r="D65" s="66" t="str">
        <f t="shared" si="11"/>
        <v>NA</v>
      </c>
      <c r="E65" s="67">
        <f>B65+C65</f>
        <v>0</v>
      </c>
      <c r="F65" s="68">
        <v>0</v>
      </c>
      <c r="G65" s="68">
        <v>0</v>
      </c>
      <c r="H65" s="220" t="s">
        <v>152</v>
      </c>
      <c r="I65" s="68">
        <f>F65+G65</f>
        <v>0</v>
      </c>
      <c r="J65" s="24"/>
      <c r="K65"/>
    </row>
    <row r="66" spans="1:11" ht="13.5">
      <c r="A66" s="31" t="s">
        <v>149</v>
      </c>
      <c r="B66" s="66">
        <f t="shared" si="11"/>
        <v>0</v>
      </c>
      <c r="C66" s="66">
        <f t="shared" si="11"/>
        <v>0</v>
      </c>
      <c r="D66" s="66" t="str">
        <f t="shared" si="11"/>
        <v>NA</v>
      </c>
      <c r="E66" s="67">
        <f>B66+C66</f>
        <v>0</v>
      </c>
      <c r="F66" s="68">
        <v>0</v>
      </c>
      <c r="G66" s="68">
        <v>0</v>
      </c>
      <c r="H66" s="220" t="s">
        <v>152</v>
      </c>
      <c r="I66" s="68">
        <f>F66+G66</f>
        <v>0</v>
      </c>
      <c r="J66" s="24"/>
      <c r="K66"/>
    </row>
    <row r="67" spans="1:11" ht="13.5">
      <c r="A67" s="31" t="s">
        <v>150</v>
      </c>
      <c r="B67" s="66">
        <f t="shared" si="11"/>
        <v>0</v>
      </c>
      <c r="C67" s="66">
        <f t="shared" si="11"/>
        <v>0</v>
      </c>
      <c r="D67" s="66" t="str">
        <f t="shared" si="11"/>
        <v>NA</v>
      </c>
      <c r="E67" s="67">
        <f>B67+C67</f>
        <v>0</v>
      </c>
      <c r="F67" s="68">
        <v>0</v>
      </c>
      <c r="G67" s="68">
        <v>0</v>
      </c>
      <c r="H67" s="220" t="s">
        <v>152</v>
      </c>
      <c r="I67" s="68">
        <f>F67+G67</f>
        <v>0</v>
      </c>
      <c r="J67" s="24"/>
      <c r="K67"/>
    </row>
    <row r="68" spans="1:11" ht="13.5">
      <c r="A68" s="31" t="s">
        <v>151</v>
      </c>
      <c r="B68" s="66">
        <f t="shared" si="11"/>
        <v>0</v>
      </c>
      <c r="C68" s="66">
        <f t="shared" si="11"/>
        <v>0</v>
      </c>
      <c r="D68" s="66" t="str">
        <f t="shared" si="11"/>
        <v>NA</v>
      </c>
      <c r="E68" s="67">
        <f>B68+C68</f>
        <v>0</v>
      </c>
      <c r="F68" s="68">
        <v>0</v>
      </c>
      <c r="G68" s="68">
        <v>0</v>
      </c>
      <c r="H68" s="220" t="s">
        <v>152</v>
      </c>
      <c r="I68" s="68">
        <f>F68+G68</f>
        <v>0</v>
      </c>
      <c r="J68" s="24"/>
      <c r="K68"/>
    </row>
    <row r="69" spans="1:10" ht="13.5">
      <c r="A69" s="90" t="s">
        <v>50</v>
      </c>
      <c r="B69" s="72">
        <f aca="true" t="shared" si="12" ref="B69:G69">SUM(B51:B68)</f>
        <v>140600.40000000002</v>
      </c>
      <c r="C69" s="72">
        <f t="shared" si="12"/>
        <v>16277.100000000002</v>
      </c>
      <c r="D69" s="72">
        <f t="shared" si="12"/>
        <v>9959.4</v>
      </c>
      <c r="E69" s="72">
        <f t="shared" si="12"/>
        <v>166836.9</v>
      </c>
      <c r="F69" s="57">
        <f t="shared" si="12"/>
        <v>25592844.610000003</v>
      </c>
      <c r="G69" s="57">
        <f t="shared" si="12"/>
        <v>2834938.052</v>
      </c>
      <c r="H69" s="57">
        <f>SUM(H51:H63)</f>
        <v>1536320.8660000002</v>
      </c>
      <c r="I69" s="57">
        <f>SUM(I51:I68)</f>
        <v>29964103.528000005</v>
      </c>
      <c r="J69" s="70" t="s">
        <v>24</v>
      </c>
    </row>
    <row r="70" spans="1:10" ht="13.5">
      <c r="A70" s="47"/>
      <c r="B70" s="73"/>
      <c r="C70" s="73"/>
      <c r="D70" s="73"/>
      <c r="E70" s="74"/>
      <c r="F70" s="52" t="s">
        <v>24</v>
      </c>
      <c r="G70" s="49"/>
      <c r="H70" s="49"/>
      <c r="I70" s="51"/>
      <c r="J70" s="73"/>
    </row>
    <row r="71" spans="1:10" ht="15">
      <c r="A71" s="328" t="s">
        <v>159</v>
      </c>
      <c r="B71" s="329"/>
      <c r="C71" s="73"/>
      <c r="D71" s="73"/>
      <c r="E71" s="75"/>
      <c r="F71" s="49"/>
      <c r="G71" s="49"/>
      <c r="H71" s="49"/>
      <c r="I71" s="51"/>
      <c r="J71" s="73"/>
    </row>
    <row r="72" spans="1:10" ht="60" customHeight="1">
      <c r="A72" s="244" t="s">
        <v>158</v>
      </c>
      <c r="B72" s="218" t="s">
        <v>185</v>
      </c>
      <c r="C72" s="218" t="s">
        <v>190</v>
      </c>
      <c r="D72" s="218" t="s">
        <v>234</v>
      </c>
      <c r="E72" s="246" t="s">
        <v>85</v>
      </c>
      <c r="F72" s="246" t="s">
        <v>192</v>
      </c>
      <c r="G72" s="246" t="s">
        <v>193</v>
      </c>
      <c r="H72" s="246" t="s">
        <v>236</v>
      </c>
      <c r="I72" s="247" t="s">
        <v>165</v>
      </c>
      <c r="J72" s="246" t="s">
        <v>166</v>
      </c>
    </row>
    <row r="73" spans="1:10" ht="13.5">
      <c r="A73" s="45" t="s">
        <v>46</v>
      </c>
      <c r="B73" s="66">
        <f>F29-F30-F37-F39</f>
        <v>0</v>
      </c>
      <c r="C73" s="66">
        <f>G29-G30-G37-G39</f>
        <v>0</v>
      </c>
      <c r="D73" s="66">
        <f>H29-H30-H37-H39</f>
        <v>0</v>
      </c>
      <c r="E73" s="67">
        <f aca="true" t="shared" si="13" ref="E73:E79">B73+C73+D73</f>
        <v>0</v>
      </c>
      <c r="F73" s="46">
        <f aca="true" t="shared" si="14" ref="F73:F85">B73*D5</f>
        <v>0</v>
      </c>
      <c r="G73" s="46">
        <f aca="true" t="shared" si="15" ref="G73:G85">C73*F5</f>
        <v>0</v>
      </c>
      <c r="H73" s="46">
        <f aca="true" t="shared" si="16" ref="H73:H85">D73*H5</f>
        <v>0</v>
      </c>
      <c r="I73" s="46">
        <v>0</v>
      </c>
      <c r="J73" s="68">
        <f aca="true" t="shared" si="17" ref="J73:J85">F73+G73+H73+I73</f>
        <v>0</v>
      </c>
    </row>
    <row r="74" spans="1:10" ht="13.5">
      <c r="A74" s="45" t="s">
        <v>49</v>
      </c>
      <c r="B74" s="66">
        <f>F30-F31-F32-F41</f>
        <v>0</v>
      </c>
      <c r="C74" s="66">
        <f>G30-G31-G32-G41</f>
        <v>0</v>
      </c>
      <c r="D74" s="66">
        <f>H30-H31-H32-H41</f>
        <v>0</v>
      </c>
      <c r="E74" s="67">
        <f t="shared" si="13"/>
        <v>0</v>
      </c>
      <c r="F74" s="46">
        <f t="shared" si="14"/>
        <v>0</v>
      </c>
      <c r="G74" s="46">
        <f t="shared" si="15"/>
        <v>0</v>
      </c>
      <c r="H74" s="46">
        <f t="shared" si="16"/>
        <v>0</v>
      </c>
      <c r="I74" s="46">
        <v>0</v>
      </c>
      <c r="J74" s="68">
        <f t="shared" si="17"/>
        <v>0</v>
      </c>
    </row>
    <row r="75" spans="1:10" ht="13.5">
      <c r="A75" s="45" t="s">
        <v>48</v>
      </c>
      <c r="B75" s="66">
        <f>F31-F33-F35</f>
        <v>0</v>
      </c>
      <c r="C75" s="66">
        <f>G31-G33-G35</f>
        <v>0</v>
      </c>
      <c r="D75" s="66">
        <f>H31-H33-H35</f>
        <v>0</v>
      </c>
      <c r="E75" s="67">
        <f t="shared" si="13"/>
        <v>0</v>
      </c>
      <c r="F75" s="46">
        <f t="shared" si="14"/>
        <v>0</v>
      </c>
      <c r="G75" s="46">
        <f t="shared" si="15"/>
        <v>0</v>
      </c>
      <c r="H75" s="46">
        <f t="shared" si="16"/>
        <v>0</v>
      </c>
      <c r="I75" s="46">
        <v>0</v>
      </c>
      <c r="J75" s="68">
        <f t="shared" si="17"/>
        <v>0</v>
      </c>
    </row>
    <row r="76" spans="1:10" ht="13.5">
      <c r="A76" s="45" t="s">
        <v>47</v>
      </c>
      <c r="B76" s="66">
        <f>F32-F36-F40</f>
        <v>0</v>
      </c>
      <c r="C76" s="66">
        <f>G32-G36-G40</f>
        <v>0</v>
      </c>
      <c r="D76" s="66">
        <f>H32-H36-H40</f>
        <v>0</v>
      </c>
      <c r="E76" s="67">
        <f t="shared" si="13"/>
        <v>0</v>
      </c>
      <c r="F76" s="46">
        <f t="shared" si="14"/>
        <v>0</v>
      </c>
      <c r="G76" s="46">
        <f t="shared" si="15"/>
        <v>0</v>
      </c>
      <c r="H76" s="46">
        <f t="shared" si="16"/>
        <v>0</v>
      </c>
      <c r="I76" s="46">
        <v>0</v>
      </c>
      <c r="J76" s="68">
        <f t="shared" si="17"/>
        <v>0</v>
      </c>
    </row>
    <row r="77" spans="1:10" ht="13.5">
      <c r="A77" s="45" t="s">
        <v>39</v>
      </c>
      <c r="B77" s="66">
        <f>F33-F34</f>
        <v>0</v>
      </c>
      <c r="C77" s="66">
        <f>G33-G34</f>
        <v>0</v>
      </c>
      <c r="D77" s="66">
        <f>H33-H34</f>
        <v>0</v>
      </c>
      <c r="E77" s="67">
        <f t="shared" si="13"/>
        <v>0</v>
      </c>
      <c r="F77" s="46">
        <f t="shared" si="14"/>
        <v>0</v>
      </c>
      <c r="G77" s="46">
        <f t="shared" si="15"/>
        <v>0</v>
      </c>
      <c r="H77" s="46">
        <f t="shared" si="16"/>
        <v>0</v>
      </c>
      <c r="I77" s="46">
        <v>0</v>
      </c>
      <c r="J77" s="68">
        <f t="shared" si="17"/>
        <v>0</v>
      </c>
    </row>
    <row r="78" spans="1:10" ht="13.5">
      <c r="A78" s="45" t="s">
        <v>36</v>
      </c>
      <c r="B78" s="66">
        <f aca="true" t="shared" si="18" ref="B78:D80">F34</f>
        <v>0</v>
      </c>
      <c r="C78" s="66">
        <f t="shared" si="18"/>
        <v>0</v>
      </c>
      <c r="D78" s="66">
        <f t="shared" si="18"/>
        <v>0</v>
      </c>
      <c r="E78" s="67">
        <f t="shared" si="13"/>
        <v>0</v>
      </c>
      <c r="F78" s="46">
        <f t="shared" si="14"/>
        <v>0</v>
      </c>
      <c r="G78" s="46">
        <f t="shared" si="15"/>
        <v>0</v>
      </c>
      <c r="H78" s="46">
        <f t="shared" si="16"/>
        <v>0</v>
      </c>
      <c r="I78" s="46">
        <v>0</v>
      </c>
      <c r="J78" s="68">
        <f t="shared" si="17"/>
        <v>0</v>
      </c>
    </row>
    <row r="79" spans="1:10" ht="13.5">
      <c r="A79" s="45" t="s">
        <v>37</v>
      </c>
      <c r="B79" s="66">
        <f t="shared" si="18"/>
        <v>0</v>
      </c>
      <c r="C79" s="66">
        <f t="shared" si="18"/>
        <v>0</v>
      </c>
      <c r="D79" s="66">
        <f t="shared" si="18"/>
        <v>0</v>
      </c>
      <c r="E79" s="67">
        <f t="shared" si="13"/>
        <v>0</v>
      </c>
      <c r="F79" s="46">
        <f t="shared" si="14"/>
        <v>0</v>
      </c>
      <c r="G79" s="46">
        <f t="shared" si="15"/>
        <v>0</v>
      </c>
      <c r="H79" s="46">
        <f t="shared" si="16"/>
        <v>0</v>
      </c>
      <c r="I79" s="46">
        <v>0</v>
      </c>
      <c r="J79" s="68">
        <f t="shared" si="17"/>
        <v>0</v>
      </c>
    </row>
    <row r="80" spans="1:10" ht="13.5">
      <c r="A80" s="45" t="s">
        <v>15</v>
      </c>
      <c r="B80" s="66">
        <f t="shared" si="18"/>
        <v>0</v>
      </c>
      <c r="C80" s="66">
        <f t="shared" si="18"/>
        <v>0</v>
      </c>
      <c r="D80" s="66">
        <f t="shared" si="18"/>
        <v>0</v>
      </c>
      <c r="E80" s="67">
        <f aca="true" t="shared" si="19" ref="E80:E85">B80+C80+D80</f>
        <v>0</v>
      </c>
      <c r="F80" s="46">
        <f t="shared" si="14"/>
        <v>0</v>
      </c>
      <c r="G80" s="46">
        <f t="shared" si="15"/>
        <v>0</v>
      </c>
      <c r="H80" s="46">
        <f t="shared" si="16"/>
        <v>0</v>
      </c>
      <c r="I80" s="46">
        <v>0</v>
      </c>
      <c r="J80" s="68">
        <f t="shared" si="17"/>
        <v>0</v>
      </c>
    </row>
    <row r="81" spans="1:10" ht="13.5">
      <c r="A81" s="45" t="s">
        <v>133</v>
      </c>
      <c r="B81" s="66">
        <f>F37-F38</f>
        <v>0</v>
      </c>
      <c r="C81" s="66">
        <f>G37-G38</f>
        <v>0</v>
      </c>
      <c r="D81" s="66">
        <f>H37-H38</f>
        <v>0</v>
      </c>
      <c r="E81" s="67">
        <f t="shared" si="19"/>
        <v>0</v>
      </c>
      <c r="F81" s="46">
        <f t="shared" si="14"/>
        <v>0</v>
      </c>
      <c r="G81" s="46">
        <f t="shared" si="15"/>
        <v>0</v>
      </c>
      <c r="H81" s="46">
        <f t="shared" si="16"/>
        <v>0</v>
      </c>
      <c r="I81" s="46">
        <v>0</v>
      </c>
      <c r="J81" s="68">
        <f t="shared" si="17"/>
        <v>0</v>
      </c>
    </row>
    <row r="82" spans="1:10" ht="13.5">
      <c r="A82" s="45" t="s">
        <v>132</v>
      </c>
      <c r="B82" s="66">
        <f aca="true" t="shared" si="20" ref="B82:B90">F38</f>
        <v>0</v>
      </c>
      <c r="C82" s="66">
        <f aca="true" t="shared" si="21" ref="C82:C90">G38</f>
        <v>0</v>
      </c>
      <c r="D82" s="66">
        <f>H38</f>
        <v>0</v>
      </c>
      <c r="E82" s="67">
        <f t="shared" si="19"/>
        <v>0</v>
      </c>
      <c r="F82" s="46">
        <f t="shared" si="14"/>
        <v>0</v>
      </c>
      <c r="G82" s="46">
        <f t="shared" si="15"/>
        <v>0</v>
      </c>
      <c r="H82" s="46">
        <f t="shared" si="16"/>
        <v>0</v>
      </c>
      <c r="I82" s="46">
        <v>0</v>
      </c>
      <c r="J82" s="68">
        <f t="shared" si="17"/>
        <v>0</v>
      </c>
    </row>
    <row r="83" spans="1:10" ht="13.5">
      <c r="A83" s="31" t="s">
        <v>20</v>
      </c>
      <c r="B83" s="66">
        <f t="shared" si="20"/>
        <v>0</v>
      </c>
      <c r="C83" s="66">
        <f t="shared" si="21"/>
        <v>0</v>
      </c>
      <c r="D83" s="66">
        <f>H39</f>
        <v>0</v>
      </c>
      <c r="E83" s="67">
        <f t="shared" si="19"/>
        <v>0</v>
      </c>
      <c r="F83" s="46">
        <f t="shared" si="14"/>
        <v>0</v>
      </c>
      <c r="G83" s="46">
        <f t="shared" si="15"/>
        <v>0</v>
      </c>
      <c r="H83" s="46">
        <f t="shared" si="16"/>
        <v>0</v>
      </c>
      <c r="I83" s="46">
        <v>0</v>
      </c>
      <c r="J83" s="68">
        <f t="shared" si="17"/>
        <v>0</v>
      </c>
    </row>
    <row r="84" spans="1:10" ht="13.5">
      <c r="A84" s="31" t="s">
        <v>11</v>
      </c>
      <c r="B84" s="66">
        <f t="shared" si="20"/>
        <v>0</v>
      </c>
      <c r="C84" s="66">
        <f t="shared" si="21"/>
        <v>0</v>
      </c>
      <c r="D84" s="66">
        <f>H40</f>
        <v>0</v>
      </c>
      <c r="E84" s="67">
        <f t="shared" si="19"/>
        <v>0</v>
      </c>
      <c r="F84" s="46">
        <f t="shared" si="14"/>
        <v>0</v>
      </c>
      <c r="G84" s="46">
        <f t="shared" si="15"/>
        <v>0</v>
      </c>
      <c r="H84" s="46">
        <f t="shared" si="16"/>
        <v>0</v>
      </c>
      <c r="I84" s="46">
        <v>0</v>
      </c>
      <c r="J84" s="68">
        <f t="shared" si="17"/>
        <v>0</v>
      </c>
    </row>
    <row r="85" spans="1:10" ht="13.5">
      <c r="A85" s="31" t="s">
        <v>10</v>
      </c>
      <c r="B85" s="66">
        <f t="shared" si="20"/>
        <v>38.6</v>
      </c>
      <c r="C85" s="66">
        <f t="shared" si="21"/>
        <v>0</v>
      </c>
      <c r="D85" s="66">
        <f>H41</f>
        <v>0</v>
      </c>
      <c r="E85" s="67">
        <f t="shared" si="19"/>
        <v>38.6</v>
      </c>
      <c r="F85" s="46">
        <f t="shared" si="14"/>
        <v>6360.122</v>
      </c>
      <c r="G85" s="46">
        <f t="shared" si="15"/>
        <v>0</v>
      </c>
      <c r="H85" s="46">
        <f t="shared" si="16"/>
        <v>0</v>
      </c>
      <c r="I85" s="46">
        <v>0</v>
      </c>
      <c r="J85" s="68">
        <f t="shared" si="17"/>
        <v>6360.122</v>
      </c>
    </row>
    <row r="86" spans="1:10" ht="13.5">
      <c r="A86" s="31" t="s">
        <v>147</v>
      </c>
      <c r="B86" s="66">
        <f t="shared" si="20"/>
        <v>0</v>
      </c>
      <c r="C86" s="66">
        <f t="shared" si="21"/>
        <v>0</v>
      </c>
      <c r="D86" s="66" t="s">
        <v>152</v>
      </c>
      <c r="E86" s="67">
        <f>B86+C86</f>
        <v>0</v>
      </c>
      <c r="F86" s="46">
        <v>0</v>
      </c>
      <c r="G86" s="46">
        <v>0</v>
      </c>
      <c r="H86" s="46" t="s">
        <v>152</v>
      </c>
      <c r="I86" s="46">
        <v>0</v>
      </c>
      <c r="J86" s="68">
        <f>F86+I86</f>
        <v>0</v>
      </c>
    </row>
    <row r="87" spans="1:10" ht="13.5">
      <c r="A87" s="31" t="s">
        <v>148</v>
      </c>
      <c r="B87" s="66">
        <f t="shared" si="20"/>
        <v>0</v>
      </c>
      <c r="C87" s="66">
        <f t="shared" si="21"/>
        <v>0</v>
      </c>
      <c r="D87" s="66" t="s">
        <v>152</v>
      </c>
      <c r="E87" s="67">
        <f>B87+C87</f>
        <v>0</v>
      </c>
      <c r="F87" s="46">
        <v>0</v>
      </c>
      <c r="G87" s="46">
        <v>0</v>
      </c>
      <c r="H87" s="46" t="s">
        <v>152</v>
      </c>
      <c r="I87" s="46">
        <v>0</v>
      </c>
      <c r="J87" s="68">
        <f>F87+I87</f>
        <v>0</v>
      </c>
    </row>
    <row r="88" spans="1:10" ht="13.5">
      <c r="A88" s="31" t="s">
        <v>149</v>
      </c>
      <c r="B88" s="66">
        <f t="shared" si="20"/>
        <v>0</v>
      </c>
      <c r="C88" s="66">
        <f t="shared" si="21"/>
        <v>0</v>
      </c>
      <c r="D88" s="66" t="s">
        <v>152</v>
      </c>
      <c r="E88" s="67">
        <f>B88+C88</f>
        <v>0</v>
      </c>
      <c r="F88" s="46">
        <v>0</v>
      </c>
      <c r="G88" s="46">
        <v>0</v>
      </c>
      <c r="H88" s="46" t="s">
        <v>152</v>
      </c>
      <c r="I88" s="46">
        <v>0</v>
      </c>
      <c r="J88" s="68">
        <f>F88+I88</f>
        <v>0</v>
      </c>
    </row>
    <row r="89" spans="1:10" ht="13.5">
      <c r="A89" s="31" t="s">
        <v>150</v>
      </c>
      <c r="B89" s="66">
        <f t="shared" si="20"/>
        <v>0</v>
      </c>
      <c r="C89" s="66">
        <f t="shared" si="21"/>
        <v>0</v>
      </c>
      <c r="D89" s="66" t="s">
        <v>152</v>
      </c>
      <c r="E89" s="67">
        <f>B89+C89</f>
        <v>0</v>
      </c>
      <c r="F89" s="46">
        <v>0</v>
      </c>
      <c r="G89" s="46">
        <v>0</v>
      </c>
      <c r="H89" s="46" t="s">
        <v>152</v>
      </c>
      <c r="I89" s="46">
        <v>0</v>
      </c>
      <c r="J89" s="68">
        <f>F89+I89</f>
        <v>0</v>
      </c>
    </row>
    <row r="90" spans="1:10" ht="13.5">
      <c r="A90" s="31" t="s">
        <v>151</v>
      </c>
      <c r="B90" s="66">
        <f t="shared" si="20"/>
        <v>0</v>
      </c>
      <c r="C90" s="66">
        <f t="shared" si="21"/>
        <v>0</v>
      </c>
      <c r="D90" s="66" t="s">
        <v>152</v>
      </c>
      <c r="E90" s="67">
        <f>B90+C90</f>
        <v>0</v>
      </c>
      <c r="F90" s="46">
        <v>0</v>
      </c>
      <c r="G90" s="46">
        <v>0</v>
      </c>
      <c r="H90" s="46" t="s">
        <v>152</v>
      </c>
      <c r="I90" s="46">
        <v>0</v>
      </c>
      <c r="J90" s="68">
        <f>F90+I90</f>
        <v>0</v>
      </c>
    </row>
    <row r="91" spans="1:10" ht="13.5">
      <c r="A91" s="90" t="s">
        <v>50</v>
      </c>
      <c r="B91" s="72">
        <f>SUM(B73:B90)</f>
        <v>38.6</v>
      </c>
      <c r="C91" s="72">
        <f>SUM(C73:C90)</f>
        <v>0</v>
      </c>
      <c r="D91" s="72">
        <f>SUM(D73:D85)</f>
        <v>0</v>
      </c>
      <c r="E91" s="91">
        <f>B91+C91+D91</f>
        <v>38.6</v>
      </c>
      <c r="F91" s="57">
        <f>SUM(F73:F90)</f>
        <v>6360.122</v>
      </c>
      <c r="G91" s="57">
        <f>SUM(G73:G90)</f>
        <v>0</v>
      </c>
      <c r="H91" s="57">
        <f>SUM(H73:H85)</f>
        <v>0</v>
      </c>
      <c r="I91" s="57">
        <f>SUM(I73:I90)</f>
        <v>0</v>
      </c>
      <c r="J91" s="92">
        <f>SUM(J73:J90)</f>
        <v>6360.122</v>
      </c>
    </row>
    <row r="92" spans="1:10" ht="13.5">
      <c r="A92" s="47"/>
      <c r="B92" s="73"/>
      <c r="C92" s="73"/>
      <c r="D92" s="73"/>
      <c r="E92" s="75"/>
      <c r="F92" s="49"/>
      <c r="G92" s="49"/>
      <c r="H92" s="49"/>
      <c r="I92" s="51"/>
      <c r="J92" s="73"/>
    </row>
    <row r="93" spans="1:10" ht="15">
      <c r="A93" s="330" t="s">
        <v>160</v>
      </c>
      <c r="B93" s="330"/>
      <c r="C93" s="330"/>
      <c r="D93" s="330"/>
      <c r="E93" s="24"/>
      <c r="F93" s="24"/>
      <c r="G93" s="24"/>
      <c r="H93" s="24"/>
      <c r="I93" s="24"/>
      <c r="J93" s="24"/>
    </row>
    <row r="94" spans="1:10" ht="79.5" customHeight="1">
      <c r="A94" s="41" t="s">
        <v>66</v>
      </c>
      <c r="B94" s="41" t="s">
        <v>161</v>
      </c>
      <c r="C94" s="41" t="s">
        <v>92</v>
      </c>
      <c r="D94" s="41" t="s">
        <v>67</v>
      </c>
      <c r="E94" s="24"/>
      <c r="F94" s="24"/>
      <c r="G94" s="24"/>
      <c r="H94" s="24"/>
      <c r="I94" s="24"/>
      <c r="J94" s="24"/>
    </row>
    <row r="95" spans="1:10" ht="13.5">
      <c r="A95" s="223" t="s">
        <v>29</v>
      </c>
      <c r="B95" s="223">
        <v>0</v>
      </c>
      <c r="C95" s="68">
        <f>C6</f>
        <v>0</v>
      </c>
      <c r="D95" s="68">
        <f aca="true" t="shared" si="22" ref="D95:D106">B95*C95</f>
        <v>0</v>
      </c>
      <c r="E95" s="24"/>
      <c r="F95" s="24"/>
      <c r="G95" s="24"/>
      <c r="H95" s="24"/>
      <c r="I95" s="24"/>
      <c r="J95" s="24"/>
    </row>
    <row r="96" spans="1:10" ht="13.5">
      <c r="A96" s="223" t="s">
        <v>35</v>
      </c>
      <c r="B96" s="223">
        <v>0</v>
      </c>
      <c r="C96" s="68">
        <f>C7</f>
        <v>60.65</v>
      </c>
      <c r="D96" s="68">
        <f t="shared" si="22"/>
        <v>0</v>
      </c>
      <c r="E96" s="24"/>
      <c r="F96" s="24"/>
      <c r="G96" s="24"/>
      <c r="H96" s="24"/>
      <c r="I96" s="24"/>
      <c r="J96" s="24"/>
    </row>
    <row r="97" spans="1:10" ht="13.5">
      <c r="A97" s="223" t="s">
        <v>5</v>
      </c>
      <c r="B97" s="223">
        <v>0</v>
      </c>
      <c r="C97" s="68">
        <f aca="true" t="shared" si="23" ref="C97:C106">C8</f>
        <v>0</v>
      </c>
      <c r="D97" s="68">
        <f t="shared" si="22"/>
        <v>0</v>
      </c>
      <c r="E97" s="24"/>
      <c r="F97" s="24"/>
      <c r="G97" s="24"/>
      <c r="H97" s="24"/>
      <c r="I97" s="24"/>
      <c r="J97" s="24"/>
    </row>
    <row r="98" spans="1:10" ht="13.5">
      <c r="A98" s="223" t="s">
        <v>8</v>
      </c>
      <c r="B98" s="223">
        <v>0</v>
      </c>
      <c r="C98" s="68">
        <f t="shared" si="23"/>
        <v>0</v>
      </c>
      <c r="D98" s="68">
        <f t="shared" si="22"/>
        <v>0</v>
      </c>
      <c r="E98" s="24"/>
      <c r="F98" s="24" t="s">
        <v>24</v>
      </c>
      <c r="G98" s="24"/>
      <c r="H98" s="24"/>
      <c r="I98" s="24"/>
      <c r="J98" s="24"/>
    </row>
    <row r="99" spans="1:10" ht="13.5">
      <c r="A99" s="223" t="s">
        <v>36</v>
      </c>
      <c r="B99" s="223">
        <v>0</v>
      </c>
      <c r="C99" s="68">
        <f t="shared" si="23"/>
        <v>0</v>
      </c>
      <c r="D99" s="68">
        <f t="shared" si="22"/>
        <v>0</v>
      </c>
      <c r="E99" s="24"/>
      <c r="F99" s="24"/>
      <c r="G99" s="24"/>
      <c r="H99" s="24"/>
      <c r="I99" s="24"/>
      <c r="J99" s="24"/>
    </row>
    <row r="100" spans="1:10" ht="13.5">
      <c r="A100" s="223" t="s">
        <v>37</v>
      </c>
      <c r="B100" s="223">
        <v>0</v>
      </c>
      <c r="C100" s="68">
        <f t="shared" si="23"/>
        <v>0</v>
      </c>
      <c r="D100" s="68">
        <f t="shared" si="22"/>
        <v>0</v>
      </c>
      <c r="E100" s="24"/>
      <c r="F100" s="24"/>
      <c r="G100" s="24"/>
      <c r="H100" s="24"/>
      <c r="I100" s="24"/>
      <c r="J100" s="24"/>
    </row>
    <row r="101" spans="1:10" ht="13.5">
      <c r="A101" s="31" t="s">
        <v>15</v>
      </c>
      <c r="B101" s="223">
        <v>0</v>
      </c>
      <c r="C101" s="68">
        <f t="shared" si="23"/>
        <v>0</v>
      </c>
      <c r="D101" s="68">
        <f t="shared" si="22"/>
        <v>0</v>
      </c>
      <c r="E101" s="24"/>
      <c r="F101" s="24"/>
      <c r="G101" s="24"/>
      <c r="H101" s="24"/>
      <c r="I101" s="24"/>
      <c r="J101" s="24"/>
    </row>
    <row r="102" spans="1:10" ht="13.5">
      <c r="A102" s="31" t="s">
        <v>45</v>
      </c>
      <c r="B102" s="223">
        <v>0</v>
      </c>
      <c r="C102" s="68">
        <f t="shared" si="23"/>
        <v>0</v>
      </c>
      <c r="D102" s="68">
        <f t="shared" si="22"/>
        <v>0</v>
      </c>
      <c r="E102" s="24"/>
      <c r="F102" s="24"/>
      <c r="G102" s="24"/>
      <c r="H102" s="24"/>
      <c r="I102" s="24"/>
      <c r="J102" s="24"/>
    </row>
    <row r="103" spans="1:10" ht="13.5">
      <c r="A103" s="31" t="s">
        <v>132</v>
      </c>
      <c r="B103" s="223">
        <v>0</v>
      </c>
      <c r="C103" s="68">
        <f t="shared" si="23"/>
        <v>0</v>
      </c>
      <c r="D103" s="68">
        <f t="shared" si="22"/>
        <v>0</v>
      </c>
      <c r="E103" s="24"/>
      <c r="F103" s="24"/>
      <c r="G103" s="24"/>
      <c r="H103" s="24"/>
      <c r="I103" s="24"/>
      <c r="J103" s="24"/>
    </row>
    <row r="104" spans="1:10" ht="13.5">
      <c r="A104" s="31" t="s">
        <v>20</v>
      </c>
      <c r="B104" s="223">
        <v>0</v>
      </c>
      <c r="C104" s="68">
        <f t="shared" si="23"/>
        <v>50.23</v>
      </c>
      <c r="D104" s="68">
        <f t="shared" si="22"/>
        <v>0</v>
      </c>
      <c r="E104" s="24"/>
      <c r="F104" s="24"/>
      <c r="G104" s="24"/>
      <c r="H104" s="24"/>
      <c r="I104" s="24"/>
      <c r="J104" s="24"/>
    </row>
    <row r="105" spans="1:10" ht="13.5">
      <c r="A105" s="31" t="s">
        <v>11</v>
      </c>
      <c r="B105" s="223">
        <v>0</v>
      </c>
      <c r="C105" s="68">
        <f t="shared" si="23"/>
        <v>0</v>
      </c>
      <c r="D105" s="68">
        <f t="shared" si="22"/>
        <v>0</v>
      </c>
      <c r="E105" s="24"/>
      <c r="F105" s="24"/>
      <c r="G105" s="24"/>
      <c r="H105" s="24"/>
      <c r="I105" s="24"/>
      <c r="J105" s="24"/>
    </row>
    <row r="106" spans="1:10" ht="13.5">
      <c r="A106" s="31" t="s">
        <v>10</v>
      </c>
      <c r="B106" s="223">
        <v>0</v>
      </c>
      <c r="C106" s="68">
        <f t="shared" si="23"/>
        <v>0</v>
      </c>
      <c r="D106" s="68">
        <f t="shared" si="22"/>
        <v>0</v>
      </c>
      <c r="E106" s="24"/>
      <c r="F106" s="24"/>
      <c r="G106" s="24"/>
      <c r="H106" s="24"/>
      <c r="I106" s="24"/>
      <c r="J106" s="24"/>
    </row>
    <row r="107" spans="1:10" ht="13.5">
      <c r="A107" s="225" t="s">
        <v>50</v>
      </c>
      <c r="B107" s="223" t="s">
        <v>24</v>
      </c>
      <c r="C107" s="223"/>
      <c r="D107" s="92">
        <f>SUM(D95:D106)</f>
        <v>0</v>
      </c>
      <c r="E107" s="24"/>
      <c r="F107" s="24"/>
      <c r="G107" s="24"/>
      <c r="H107" s="24"/>
      <c r="I107" s="24"/>
      <c r="J107" s="24"/>
    </row>
    <row r="108" spans="1:10" ht="13.5">
      <c r="A108" s="33" t="s">
        <v>93</v>
      </c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3.5">
      <c r="A109" s="24"/>
      <c r="B109" s="24" t="s">
        <v>24</v>
      </c>
      <c r="C109" s="24"/>
      <c r="D109" s="24"/>
      <c r="E109" s="24"/>
      <c r="F109" s="24"/>
      <c r="G109" s="24"/>
      <c r="H109" s="24"/>
      <c r="I109" s="24"/>
      <c r="J109" s="24"/>
    </row>
    <row r="110" ht="12.75">
      <c r="B110" s="4" t="s">
        <v>24</v>
      </c>
    </row>
    <row r="111" ht="12.75">
      <c r="B111" s="4" t="s">
        <v>24</v>
      </c>
    </row>
  </sheetData>
  <sheetProtection/>
  <mergeCells count="7">
    <mergeCell ref="A24:H24"/>
    <mergeCell ref="A3:B3"/>
    <mergeCell ref="A27:B27"/>
    <mergeCell ref="A49:B49"/>
    <mergeCell ref="A71:B71"/>
    <mergeCell ref="A93:D93"/>
    <mergeCell ref="A47:I47"/>
  </mergeCells>
  <printOptions/>
  <pageMargins left="0.45" right="0.45" top="0.5" bottom="0.5" header="0" footer="0"/>
  <pageSetup fitToHeight="1" fitToWidth="1" horizontalDpi="600" verticalDpi="600" orientation="portrait" paperSize="17" scale="68" r:id="rId1"/>
  <rowBreaks count="1" manualBreakCount="1">
    <brk id="7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12.7109375" style="4" customWidth="1"/>
    <col min="14" max="16384" width="9.140625" style="4" customWidth="1"/>
  </cols>
  <sheetData>
    <row r="1" spans="1:7" ht="18">
      <c r="A1" s="127" t="s">
        <v>194</v>
      </c>
      <c r="E1" s="16" t="s">
        <v>24</v>
      </c>
      <c r="F1" s="16" t="s">
        <v>24</v>
      </c>
      <c r="G1" s="16" t="s">
        <v>24</v>
      </c>
    </row>
    <row r="2" ht="12.75">
      <c r="A2" s="20"/>
    </row>
    <row r="3" spans="1:13" ht="15">
      <c r="A3" s="226" t="s">
        <v>0</v>
      </c>
      <c r="B3" s="24"/>
      <c r="C3" s="24"/>
      <c r="D3" s="124" t="s">
        <v>24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223" t="s">
        <v>1</v>
      </c>
      <c r="B4" s="228">
        <v>0.157</v>
      </c>
      <c r="C4" s="24"/>
      <c r="D4" s="94" t="s">
        <v>24</v>
      </c>
      <c r="E4" s="43" t="s">
        <v>24</v>
      </c>
      <c r="F4" s="43" t="s">
        <v>24</v>
      </c>
      <c r="G4" s="43" t="s">
        <v>24</v>
      </c>
      <c r="H4" s="43" t="s">
        <v>24</v>
      </c>
      <c r="I4" s="43" t="s">
        <v>24</v>
      </c>
      <c r="J4" s="43" t="s">
        <v>24</v>
      </c>
      <c r="K4" s="24"/>
      <c r="L4" s="43" t="s">
        <v>24</v>
      </c>
      <c r="M4" s="24"/>
    </row>
    <row r="5" spans="1:13" ht="12.75" customHeight="1">
      <c r="A5" s="227" t="s">
        <v>2</v>
      </c>
      <c r="B5" s="173">
        <v>0.0635</v>
      </c>
      <c r="C5" s="24"/>
      <c r="D5" s="47" t="s">
        <v>24</v>
      </c>
      <c r="E5" s="93" t="s">
        <v>24</v>
      </c>
      <c r="F5" s="95" t="s">
        <v>24</v>
      </c>
      <c r="G5" s="95" t="s">
        <v>24</v>
      </c>
      <c r="H5" s="95" t="s">
        <v>24</v>
      </c>
      <c r="I5" s="95" t="s">
        <v>24</v>
      </c>
      <c r="J5" s="43" t="s">
        <v>24</v>
      </c>
      <c r="K5" s="43" t="s">
        <v>24</v>
      </c>
      <c r="L5" s="93" t="s">
        <v>24</v>
      </c>
      <c r="M5" s="24"/>
    </row>
    <row r="6" spans="1:13" ht="12.75" customHeight="1">
      <c r="A6" s="223" t="s">
        <v>4</v>
      </c>
      <c r="B6" s="229">
        <v>1.0835</v>
      </c>
      <c r="C6" s="24"/>
      <c r="D6" s="47" t="s">
        <v>24</v>
      </c>
      <c r="E6" s="96" t="s">
        <v>24</v>
      </c>
      <c r="F6" s="89" t="s">
        <v>24</v>
      </c>
      <c r="G6" s="97" t="s">
        <v>24</v>
      </c>
      <c r="H6" s="98" t="s">
        <v>24</v>
      </c>
      <c r="I6" s="98" t="s">
        <v>24</v>
      </c>
      <c r="J6" s="98" t="s">
        <v>24</v>
      </c>
      <c r="K6" s="99" t="s">
        <v>24</v>
      </c>
      <c r="L6" s="100" t="s">
        <v>24</v>
      </c>
      <c r="M6" s="24"/>
    </row>
    <row r="7" spans="1:13" ht="12.75" customHeight="1">
      <c r="A7" s="223" t="s">
        <v>34</v>
      </c>
      <c r="B7" s="61">
        <v>160607.4</v>
      </c>
      <c r="C7" s="24"/>
      <c r="D7" s="47" t="s">
        <v>24</v>
      </c>
      <c r="E7" s="93" t="s">
        <v>24</v>
      </c>
      <c r="F7" s="101" t="s">
        <v>24</v>
      </c>
      <c r="G7" s="89" t="s">
        <v>24</v>
      </c>
      <c r="H7" s="89" t="s">
        <v>24</v>
      </c>
      <c r="I7" s="89" t="s">
        <v>24</v>
      </c>
      <c r="J7" s="97" t="s">
        <v>24</v>
      </c>
      <c r="K7" s="98"/>
      <c r="L7" s="93" t="s">
        <v>24</v>
      </c>
      <c r="M7" s="24"/>
    </row>
    <row r="8" spans="1:13" ht="12.75" customHeight="1">
      <c r="A8" s="223" t="s">
        <v>23</v>
      </c>
      <c r="B8" s="230">
        <f>'BRA Resource Clearing Results'!E69/('BRA Load Pricing Results'!G58*'BRA Load Pricing Results'!B6)</f>
        <v>1.0387866708882474</v>
      </c>
      <c r="C8" s="47" t="s">
        <v>24</v>
      </c>
      <c r="D8" s="102" t="s">
        <v>24</v>
      </c>
      <c r="E8" s="93" t="s">
        <v>24</v>
      </c>
      <c r="F8" s="101" t="s">
        <v>24</v>
      </c>
      <c r="G8" s="97" t="s">
        <v>24</v>
      </c>
      <c r="H8" s="97" t="s">
        <v>24</v>
      </c>
      <c r="I8" s="97" t="s">
        <v>24</v>
      </c>
      <c r="J8" s="97" t="s">
        <v>24</v>
      </c>
      <c r="K8" s="98" t="s">
        <v>24</v>
      </c>
      <c r="L8" s="93" t="s">
        <v>24</v>
      </c>
      <c r="M8" s="24"/>
    </row>
    <row r="9" spans="1:13" ht="13.5">
      <c r="A9" s="24"/>
      <c r="B9" s="24"/>
      <c r="C9" s="24"/>
      <c r="D9" s="33" t="s">
        <v>24</v>
      </c>
      <c r="E9" s="103"/>
      <c r="F9" s="81"/>
      <c r="G9" s="103"/>
      <c r="H9" s="104" t="s">
        <v>24</v>
      </c>
      <c r="I9" s="24"/>
      <c r="J9" s="24"/>
      <c r="K9" s="24"/>
      <c r="L9" s="24" t="s">
        <v>24</v>
      </c>
      <c r="M9" s="24"/>
    </row>
    <row r="10" spans="1:13" ht="13.5">
      <c r="A10" s="33"/>
      <c r="B10" s="49"/>
      <c r="C10" s="49"/>
      <c r="D10" s="49"/>
      <c r="E10" s="53" t="s">
        <v>24</v>
      </c>
      <c r="F10" s="54"/>
      <c r="G10" s="54"/>
      <c r="H10" s="54"/>
      <c r="I10" s="55"/>
      <c r="J10" s="55"/>
      <c r="K10" s="55"/>
      <c r="L10" s="56"/>
      <c r="M10" s="24"/>
    </row>
    <row r="11" spans="1:13" ht="15">
      <c r="A11" s="215" t="s">
        <v>170</v>
      </c>
      <c r="B11" s="49"/>
      <c r="C11" s="49"/>
      <c r="D11" s="49"/>
      <c r="E11" s="84"/>
      <c r="F11" s="85"/>
      <c r="G11" s="85"/>
      <c r="H11" s="85"/>
      <c r="I11" s="86"/>
      <c r="J11" s="86"/>
      <c r="K11" s="55"/>
      <c r="L11" s="56"/>
      <c r="M11" s="24"/>
    </row>
    <row r="12" spans="1:13" ht="69.75" customHeight="1">
      <c r="A12" s="244" t="s">
        <v>3</v>
      </c>
      <c r="B12" s="244" t="s">
        <v>61</v>
      </c>
      <c r="C12" s="244" t="s">
        <v>196</v>
      </c>
      <c r="D12" s="244" t="s">
        <v>197</v>
      </c>
      <c r="E12" s="244" t="s">
        <v>198</v>
      </c>
      <c r="F12" s="244" t="s">
        <v>195</v>
      </c>
      <c r="G12" s="244" t="s">
        <v>237</v>
      </c>
      <c r="H12" s="244" t="s">
        <v>238</v>
      </c>
      <c r="I12" s="244" t="s">
        <v>168</v>
      </c>
      <c r="J12" s="244" t="s">
        <v>169</v>
      </c>
      <c r="K12" s="244" t="s">
        <v>199</v>
      </c>
      <c r="L12" s="244" t="s">
        <v>90</v>
      </c>
      <c r="M12" s="24"/>
    </row>
    <row r="13" spans="1:13" ht="13.5">
      <c r="A13" s="45" t="s">
        <v>6</v>
      </c>
      <c r="B13" s="61">
        <f>J58</f>
        <v>166836.90000000002</v>
      </c>
      <c r="C13" s="200">
        <f>'BRA Resource Clearing Results'!B5</f>
        <v>164.77</v>
      </c>
      <c r="D13" s="200">
        <f>'BRA Resource Clearing Results'!C5</f>
        <v>0</v>
      </c>
      <c r="E13" s="128">
        <f>('BRA Resource Clearing Results'!C29+'BRA Resource Clearing Results'!D29)*'BRA Resource Clearing Results'!E5</f>
        <v>-388037.83499999996</v>
      </c>
      <c r="F13" s="201">
        <f>E13/B13</f>
        <v>-2.325851385394957</v>
      </c>
      <c r="G13" s="128">
        <f>('BRA Resource Clearing Results'!D29*'BRA Resource Clearing Results'!G5)</f>
        <v>0</v>
      </c>
      <c r="H13" s="201">
        <f>G13/B13</f>
        <v>0</v>
      </c>
      <c r="I13" s="50" t="s">
        <v>152</v>
      </c>
      <c r="J13" s="200" t="s">
        <v>152</v>
      </c>
      <c r="K13" s="200">
        <f>'BRA Resource Clearing Results'!J73/'BRA Load Pricing Results'!B13</f>
        <v>0</v>
      </c>
      <c r="L13" s="202">
        <f>C13+D13+F13+H13+K13</f>
        <v>162.44414861460504</v>
      </c>
      <c r="M13" s="24"/>
    </row>
    <row r="14" spans="1:13" ht="13.5">
      <c r="A14" s="45" t="s">
        <v>29</v>
      </c>
      <c r="B14" s="61">
        <f>J38+J42+J48+(SUM(J50:J57))</f>
        <v>66341.84117113681</v>
      </c>
      <c r="C14" s="200">
        <f>'BRA Resource Clearing Results'!B6</f>
        <v>164.77</v>
      </c>
      <c r="D14" s="200">
        <f>'BRA Resource Clearing Results'!C6</f>
        <v>0</v>
      </c>
      <c r="E14" s="50">
        <f>('BRA Resource Clearing Results'!C30+'BRA Resource Clearing Results'!D30)*('BRA Resource Clearing Results'!E6-'BRA Resource Clearing Results'!E5)</f>
        <v>0</v>
      </c>
      <c r="F14" s="201">
        <f>F13+(E14/B14)</f>
        <v>-2.325851385394957</v>
      </c>
      <c r="G14" s="128">
        <f>'BRA Resource Clearing Results'!D30*('BRA Resource Clearing Results'!G6-'BRA Resource Clearing Results'!G5)</f>
        <v>0</v>
      </c>
      <c r="H14" s="201">
        <f>H13+(G14/B14)</f>
        <v>0</v>
      </c>
      <c r="I14" s="50" t="s">
        <v>152</v>
      </c>
      <c r="J14" s="200" t="str">
        <f aca="true" t="shared" si="0" ref="J14:J20">J13</f>
        <v>NA</v>
      </c>
      <c r="K14" s="200">
        <f>K13+'BRA Resource Clearing Results'!J74/'BRA Load Pricing Results'!B14</f>
        <v>0</v>
      </c>
      <c r="L14" s="202">
        <f aca="true" t="shared" si="1" ref="L14:L20">C14+D14+F14+H14+K14</f>
        <v>162.44414861460504</v>
      </c>
      <c r="M14" s="24"/>
    </row>
    <row r="15" spans="1:13" ht="13.5">
      <c r="A15" s="45" t="s">
        <v>35</v>
      </c>
      <c r="B15" s="61">
        <f>J38+J48+J50+J52+J56+J57</f>
        <v>36256.54835427159</v>
      </c>
      <c r="C15" s="200">
        <f>'BRA Resource Clearing Results'!B7</f>
        <v>164.77</v>
      </c>
      <c r="D15" s="200">
        <f>'BRA Resource Clearing Results'!C6+'BRA Resource Clearing Results'!C7</f>
        <v>60.65</v>
      </c>
      <c r="E15" s="50">
        <f>('BRA Resource Clearing Results'!C31+'BRA Resource Clearing Results'!D31)*('BRA Resource Clearing Results'!E7-'BRA Resource Clearing Results'!E6)</f>
        <v>0</v>
      </c>
      <c r="F15" s="201">
        <f>F14+(E15/B15)</f>
        <v>-2.325851385394957</v>
      </c>
      <c r="G15" s="128">
        <f>'BRA Resource Clearing Results'!D31*('BRA Resource Clearing Results'!G7-'BRA Resource Clearing Results'!G6)</f>
        <v>0</v>
      </c>
      <c r="H15" s="201">
        <f>H14+(G15/B15)</f>
        <v>0</v>
      </c>
      <c r="I15" s="50" t="s">
        <v>152</v>
      </c>
      <c r="J15" s="200" t="str">
        <f t="shared" si="0"/>
        <v>NA</v>
      </c>
      <c r="K15" s="200">
        <f>K14+('BRA Resource Clearing Results'!J75/'BRA Load Pricing Results'!B15)</f>
        <v>0</v>
      </c>
      <c r="L15" s="202">
        <f t="shared" si="1"/>
        <v>223.09414861460505</v>
      </c>
      <c r="M15" s="24"/>
    </row>
    <row r="16" spans="1:13" ht="13.5">
      <c r="A16" s="45" t="s">
        <v>5</v>
      </c>
      <c r="B16" s="61">
        <f>J42+J54</f>
        <v>15264.374903940374</v>
      </c>
      <c r="C16" s="200">
        <f>'BRA Resource Clearing Results'!B8</f>
        <v>164.77</v>
      </c>
      <c r="D16" s="200">
        <f>'BRA Resource Clearing Results'!C6+'BRA Resource Clearing Results'!C8</f>
        <v>0</v>
      </c>
      <c r="E16" s="50">
        <f>('BRA Resource Clearing Results'!C32+'BRA Resource Clearing Results'!D32)*('BRA Resource Clearing Results'!E8-'BRA Resource Clearing Results'!E6)</f>
        <v>0</v>
      </c>
      <c r="F16" s="201">
        <f>F14+(E16/B16)</f>
        <v>-2.325851385394957</v>
      </c>
      <c r="G16" s="128">
        <f>'BRA Resource Clearing Results'!D32*('BRA Resource Clearing Results'!G8-'BRA Resource Clearing Results'!G6)</f>
        <v>-97898.622</v>
      </c>
      <c r="H16" s="201">
        <f>H14+(G16/B16)</f>
        <v>-6.413536264411867</v>
      </c>
      <c r="I16" s="50" t="s">
        <v>152</v>
      </c>
      <c r="J16" s="200" t="str">
        <f t="shared" si="0"/>
        <v>NA</v>
      </c>
      <c r="K16" s="200">
        <f>K14+('BRA Resource Clearing Results'!J76/'BRA Load Pricing Results'!B16)</f>
        <v>0</v>
      </c>
      <c r="L16" s="202">
        <f t="shared" si="1"/>
        <v>156.03061235019317</v>
      </c>
      <c r="M16" s="24"/>
    </row>
    <row r="17" spans="1:13" ht="13.5">
      <c r="A17" s="45" t="s">
        <v>15</v>
      </c>
      <c r="B17" s="61">
        <f>J54</f>
        <v>7315.914826398203</v>
      </c>
      <c r="C17" s="200">
        <f>'BRA Resource Clearing Results'!B12</f>
        <v>164.77</v>
      </c>
      <c r="D17" s="200">
        <f>'BRA Resource Clearing Results'!C6+'BRA Resource Clearing Results'!C8+'BRA Resource Clearing Results'!C12</f>
        <v>0</v>
      </c>
      <c r="E17" s="50">
        <f>('BRA Resource Clearing Results'!C36+'BRA Resource Clearing Results'!D36)*('BRA Resource Clearing Results'!E12-'BRA Resource Clearing Results'!E8)</f>
        <v>0</v>
      </c>
      <c r="F17" s="201">
        <f>F16+(E17/B17)</f>
        <v>-2.325851385394957</v>
      </c>
      <c r="G17" s="128">
        <f>'BRA Resource Clearing Results'!D36*('BRA Resource Clearing Results'!G12-'BRA Resource Clearing Results'!G8)</f>
        <v>-9430</v>
      </c>
      <c r="H17" s="201">
        <f>H16+(G17/B17)</f>
        <v>-7.7025069842422145</v>
      </c>
      <c r="I17" s="50" t="s">
        <v>152</v>
      </c>
      <c r="J17" s="200" t="str">
        <f t="shared" si="0"/>
        <v>NA</v>
      </c>
      <c r="K17" s="200">
        <f>K16+('BRA Resource Clearing Results'!J80/'BRA Load Pricing Results'!B17)</f>
        <v>0</v>
      </c>
      <c r="L17" s="202">
        <f t="shared" si="1"/>
        <v>154.74164163036284</v>
      </c>
      <c r="M17" s="24"/>
    </row>
    <row r="18" spans="1:13" ht="13.5">
      <c r="A18" s="31" t="s">
        <v>20</v>
      </c>
      <c r="B18" s="61">
        <f>J43</f>
        <v>25454.557643339445</v>
      </c>
      <c r="C18" s="200">
        <f>'BRA Resource Clearing Results'!B15</f>
        <v>164.77</v>
      </c>
      <c r="D18" s="200">
        <f>'BRA Resource Clearing Results'!C15</f>
        <v>50.23</v>
      </c>
      <c r="E18" s="50">
        <f>('BRA Resource Clearing Results'!C39+'BRA Resource Clearing Results'!D39)*('BRA Resource Clearing Results'!E15-'BRA Resource Clearing Results'!E5)</f>
        <v>0</v>
      </c>
      <c r="F18" s="201">
        <f>F13+(E18/B18)</f>
        <v>-2.325851385394957</v>
      </c>
      <c r="G18" s="128">
        <f>'BRA Resource Clearing Results'!D39*('BRA Resource Clearing Results'!G15-'BRA Resource Clearing Results'!G5)</f>
        <v>0</v>
      </c>
      <c r="H18" s="201">
        <f>H13+(G18/B18)</f>
        <v>0</v>
      </c>
      <c r="I18" s="50" t="s">
        <v>152</v>
      </c>
      <c r="J18" s="200" t="str">
        <f t="shared" si="0"/>
        <v>NA</v>
      </c>
      <c r="K18" s="200">
        <f>K13+('BRA Resource Clearing Results'!J83/'BRA Load Pricing Results'!B18)</f>
        <v>0</v>
      </c>
      <c r="L18" s="202">
        <f t="shared" si="1"/>
        <v>212.67414861460503</v>
      </c>
      <c r="M18" s="24"/>
    </row>
    <row r="19" spans="1:13" ht="13.5">
      <c r="A19" s="31" t="s">
        <v>11</v>
      </c>
      <c r="B19" s="61">
        <f>J42</f>
        <v>7948.46007754217</v>
      </c>
      <c r="C19" s="200">
        <f>'BRA Resource Clearing Results'!B16</f>
        <v>164.77</v>
      </c>
      <c r="D19" s="200">
        <f>'BRA Resource Clearing Results'!C6+'BRA Resource Clearing Results'!C8+'BRA Resource Clearing Results'!C16</f>
        <v>0</v>
      </c>
      <c r="E19" s="50">
        <f>('BRA Resource Clearing Results'!C40+'BRA Resource Clearing Results'!D40)*('BRA Resource Clearing Results'!E16-'BRA Resource Clearing Results'!E8)</f>
        <v>0</v>
      </c>
      <c r="F19" s="201">
        <f>F16+(E19/B19)</f>
        <v>-2.325851385394957</v>
      </c>
      <c r="G19" s="128">
        <f>'BRA Resource Clearing Results'!D40*('BRA Resource Clearing Results'!G16-'BRA Resource Clearing Results'!G8)</f>
        <v>0</v>
      </c>
      <c r="H19" s="201">
        <f>H16+(G19/B19)</f>
        <v>-6.413536264411867</v>
      </c>
      <c r="I19" s="50" t="s">
        <v>152</v>
      </c>
      <c r="J19" s="200" t="str">
        <f t="shared" si="0"/>
        <v>NA</v>
      </c>
      <c r="K19" s="200">
        <f>K16+('BRA Resource Clearing Results'!J84/'BRA Load Pricing Results'!B19)</f>
        <v>0</v>
      </c>
      <c r="L19" s="202">
        <f t="shared" si="1"/>
        <v>156.03061235019317</v>
      </c>
      <c r="M19" s="24"/>
    </row>
    <row r="20" spans="1:13" ht="13.5">
      <c r="A20" s="31" t="s">
        <v>10</v>
      </c>
      <c r="B20" s="61">
        <f>J55</f>
        <v>8201.703283071342</v>
      </c>
      <c r="C20" s="200">
        <f>'BRA Resource Clearing Results'!B17</f>
        <v>164.77</v>
      </c>
      <c r="D20" s="200">
        <f>'BRA Resource Clearing Results'!C6+'BRA Resource Clearing Results'!C17</f>
        <v>0</v>
      </c>
      <c r="E20" s="128">
        <f>('BRA Resource Clearing Results'!C41+'BRA Resource Clearing Results'!D41)*('BRA Resource Clearing Results'!E17-'BRA Resource Clearing Results'!E6)</f>
        <v>-85964.56999999999</v>
      </c>
      <c r="F20" s="201">
        <f>F14+(E20/B20)</f>
        <v>-12.807158381398391</v>
      </c>
      <c r="G20" s="128">
        <f>'BRA Resource Clearing Results'!D41*('BRA Resource Clearing Results'!G17-'BRA Resource Clearing Results'!G6)</f>
        <v>0</v>
      </c>
      <c r="H20" s="201">
        <f>H14+(G20/B20)</f>
        <v>0</v>
      </c>
      <c r="I20" s="50" t="s">
        <v>152</v>
      </c>
      <c r="J20" s="200" t="str">
        <f t="shared" si="0"/>
        <v>NA</v>
      </c>
      <c r="K20" s="200">
        <f>K14+('BRA Resource Clearing Results'!J85/'BRA Load Pricing Results'!B20)</f>
        <v>0.7754635568355122</v>
      </c>
      <c r="L20" s="202">
        <f t="shared" si="1"/>
        <v>152.73830517543715</v>
      </c>
      <c r="M20" s="24"/>
    </row>
    <row r="21" spans="1:13" s="7" customFormat="1" ht="13.5">
      <c r="A21" s="33" t="s">
        <v>91</v>
      </c>
      <c r="B21" s="49"/>
      <c r="C21" s="73"/>
      <c r="D21" s="73"/>
      <c r="E21" s="73"/>
      <c r="F21" s="75"/>
      <c r="G21" s="130"/>
      <c r="H21" s="49"/>
      <c r="I21" s="49"/>
      <c r="J21" s="73"/>
      <c r="K21" s="49"/>
      <c r="L21" s="89"/>
      <c r="M21" s="47"/>
    </row>
    <row r="22" spans="1:13" s="7" customFormat="1" ht="13.5">
      <c r="A22" s="33"/>
      <c r="B22" s="49"/>
      <c r="C22" s="73"/>
      <c r="D22" s="105" t="s">
        <v>24</v>
      </c>
      <c r="E22" s="105" t="s">
        <v>24</v>
      </c>
      <c r="F22" s="75"/>
      <c r="G22" s="47"/>
      <c r="H22" s="49"/>
      <c r="I22" s="49"/>
      <c r="J22" s="73"/>
      <c r="K22" s="49"/>
      <c r="L22" s="89"/>
      <c r="M22" s="47"/>
    </row>
    <row r="23" spans="1:13" ht="30.75">
      <c r="A23" s="231" t="s">
        <v>138</v>
      </c>
      <c r="B23" s="24"/>
      <c r="C23" s="306" t="s">
        <v>24</v>
      </c>
      <c r="D23" s="24"/>
      <c r="E23" s="81" t="s">
        <v>24</v>
      </c>
      <c r="F23" s="333" t="s">
        <v>24</v>
      </c>
      <c r="G23" s="333"/>
      <c r="H23" s="333"/>
      <c r="I23" s="333"/>
      <c r="J23" s="333"/>
      <c r="K23" s="106" t="s">
        <v>24</v>
      </c>
      <c r="L23" s="24"/>
      <c r="M23" s="24"/>
    </row>
    <row r="24" spans="1:13" ht="79.5" customHeight="1">
      <c r="A24" s="248" t="s">
        <v>60</v>
      </c>
      <c r="B24" s="244" t="s">
        <v>200</v>
      </c>
      <c r="C24" s="218" t="s">
        <v>83</v>
      </c>
      <c r="D24" s="218" t="s">
        <v>139</v>
      </c>
      <c r="E24" s="244" t="s">
        <v>201</v>
      </c>
      <c r="F24" s="244" t="s">
        <v>202</v>
      </c>
      <c r="G24" s="244" t="s">
        <v>239</v>
      </c>
      <c r="H24" s="244" t="s">
        <v>240</v>
      </c>
      <c r="I24" s="218" t="s">
        <v>203</v>
      </c>
      <c r="J24" s="218" t="s">
        <v>175</v>
      </c>
      <c r="K24" s="218" t="s">
        <v>167</v>
      </c>
      <c r="L24" s="24"/>
      <c r="M24" s="24"/>
    </row>
    <row r="25" spans="1:13" ht="13.5">
      <c r="A25" s="223" t="s">
        <v>39</v>
      </c>
      <c r="B25" s="223"/>
      <c r="C25" s="134">
        <f>'BRA Resource Clearing Results'!E55</f>
        <v>2132.7999999999997</v>
      </c>
      <c r="D25" s="46">
        <f>'BRA Resource Clearing Results'!C9</f>
        <v>0</v>
      </c>
      <c r="E25" s="46">
        <f>('BRA Resource Clearing Results'!C33+'BRA Resource Clearing Results'!D33)*('BRA Resource Clearing Results'!E9-'BRA Resource Clearing Results'!E7)</f>
        <v>0</v>
      </c>
      <c r="F25" s="223"/>
      <c r="G25" s="128">
        <f>'BRA Resource Clearing Results'!D33*('BRA Resource Clearing Results'!G9-'BRA Resource Clearing Results'!G7)</f>
        <v>0</v>
      </c>
      <c r="H25" s="223"/>
      <c r="I25" s="107">
        <f>'BRA Resource Clearing Results'!J77</f>
        <v>0</v>
      </c>
      <c r="J25" s="223"/>
      <c r="K25" s="223"/>
      <c r="L25" s="24"/>
      <c r="M25" s="24"/>
    </row>
    <row r="26" spans="1:13" ht="13.5">
      <c r="A26" s="223" t="s">
        <v>36</v>
      </c>
      <c r="B26" s="223"/>
      <c r="C26" s="66">
        <f>'BRA Resource Clearing Results'!E56</f>
        <v>3168</v>
      </c>
      <c r="D26" s="46">
        <f>'BRA Resource Clearing Results'!C9+'BRA Resource Clearing Results'!C10</f>
        <v>0</v>
      </c>
      <c r="E26" s="46">
        <f>('BRA Resource Clearing Results'!C34+'BRA Resource Clearing Results'!D34)*('BRA Resource Clearing Results'!E10-'BRA Resource Clearing Results'!E7)</f>
        <v>0</v>
      </c>
      <c r="F26" s="223"/>
      <c r="G26" s="128">
        <f>'BRA Resource Clearing Results'!D34*('BRA Resource Clearing Results'!G10-'BRA Resource Clearing Results'!G7)</f>
        <v>0</v>
      </c>
      <c r="H26" s="223"/>
      <c r="I26" s="107">
        <f>'BRA Resource Clearing Results'!J78</f>
        <v>0</v>
      </c>
      <c r="J26" s="223"/>
      <c r="K26" s="223"/>
      <c r="L26" s="24"/>
      <c r="M26" s="24"/>
    </row>
    <row r="27" spans="1:13" ht="13.5">
      <c r="A27" s="90" t="s">
        <v>8</v>
      </c>
      <c r="B27" s="199">
        <f>L15</f>
        <v>223.09414861460505</v>
      </c>
      <c r="C27" s="66">
        <f>C26+C25</f>
        <v>5300.799999999999</v>
      </c>
      <c r="D27" s="203">
        <f>(C26*D26+C25*D25)/C27</f>
        <v>0</v>
      </c>
      <c r="E27" s="68">
        <f>SUM(E25:E26)</f>
        <v>0</v>
      </c>
      <c r="F27" s="199">
        <f>E27/J56</f>
        <v>0</v>
      </c>
      <c r="G27" s="128">
        <f>SUM(G25:G26)</f>
        <v>0</v>
      </c>
      <c r="H27" s="199">
        <f>G27/J56</f>
        <v>0</v>
      </c>
      <c r="I27" s="107">
        <f>I25+I26</f>
        <v>0</v>
      </c>
      <c r="J27" s="204">
        <f>I27/J56</f>
        <v>0</v>
      </c>
      <c r="K27" s="205">
        <f>B27+D27+F27+H27+J27</f>
        <v>223.09414861460505</v>
      </c>
      <c r="L27" s="24"/>
      <c r="M27" s="24"/>
    </row>
    <row r="28" spans="1:13" ht="13.5">
      <c r="A28" s="223" t="s">
        <v>38</v>
      </c>
      <c r="B28" s="223"/>
      <c r="C28" s="60">
        <v>3928.8</v>
      </c>
      <c r="D28" s="46">
        <v>0</v>
      </c>
      <c r="E28" s="68">
        <v>0</v>
      </c>
      <c r="F28" s="68"/>
      <c r="G28" s="128">
        <v>0</v>
      </c>
      <c r="H28" s="108"/>
      <c r="I28" s="107">
        <v>0</v>
      </c>
      <c r="J28" s="223"/>
      <c r="K28" s="223"/>
      <c r="L28" s="24"/>
      <c r="M28" s="24"/>
    </row>
    <row r="29" spans="1:13" ht="13.5">
      <c r="A29" s="223" t="s">
        <v>37</v>
      </c>
      <c r="B29" s="223"/>
      <c r="C29" s="66">
        <f>'BRA Resource Clearing Results'!E35</f>
        <v>1693.4999999999998</v>
      </c>
      <c r="D29" s="109">
        <f>'BRA Resource Clearing Results'!C11</f>
        <v>0</v>
      </c>
      <c r="E29" s="68">
        <f>('BRA Resource Clearing Results'!C35+'BRA Resource Clearing Results'!D35)*('BRA Resource Clearing Results'!E11-'BRA Resource Clearing Results'!E7)</f>
        <v>0</v>
      </c>
      <c r="F29" s="223"/>
      <c r="G29" s="128">
        <f>'BRA Resource Clearing Results'!D35*('BRA Resource Clearing Results'!G11-'BRA Resource Clearing Results'!G7)</f>
        <v>0</v>
      </c>
      <c r="H29" s="223"/>
      <c r="I29" s="107">
        <f>'BRA Resource Clearing Results'!J79</f>
        <v>0</v>
      </c>
      <c r="J29" s="223"/>
      <c r="K29" s="223"/>
      <c r="L29" s="24"/>
      <c r="M29" s="24"/>
    </row>
    <row r="30" spans="1:13" ht="13.5">
      <c r="A30" s="90" t="s">
        <v>17</v>
      </c>
      <c r="B30" s="199">
        <f>L15</f>
        <v>223.09414861460505</v>
      </c>
      <c r="C30" s="60">
        <f>C28+C29</f>
        <v>5622.3</v>
      </c>
      <c r="D30" s="203">
        <f>(C29*D29+C28*D28)/C30</f>
        <v>0</v>
      </c>
      <c r="E30" s="68">
        <f>SUM(E28:E29)</f>
        <v>0</v>
      </c>
      <c r="F30" s="199">
        <f>E30/J48</f>
        <v>0</v>
      </c>
      <c r="G30" s="128">
        <f>SUM(G28:G29)</f>
        <v>0</v>
      </c>
      <c r="H30" s="199">
        <f>G30/J48</f>
        <v>0</v>
      </c>
      <c r="I30" s="107">
        <f>I28+I29</f>
        <v>0</v>
      </c>
      <c r="J30" s="204">
        <f>I30/J48</f>
        <v>0</v>
      </c>
      <c r="K30" s="205">
        <f>B30+D30+F30+H30+J30</f>
        <v>223.09414861460505</v>
      </c>
      <c r="L30" s="24"/>
      <c r="M30" s="24"/>
    </row>
    <row r="31" spans="1:13" ht="13.5">
      <c r="A31" s="223" t="s">
        <v>133</v>
      </c>
      <c r="B31" s="223"/>
      <c r="C31" s="134">
        <f>'BRA Resource Clearing Results'!E59</f>
        <v>7913.5</v>
      </c>
      <c r="D31" s="46">
        <f>'BRA Resource Clearing Results'!C13</f>
        <v>0</v>
      </c>
      <c r="E31" s="46">
        <f>('BRA Resource Clearing Results'!C37+'BRA Resource Clearing Results'!D37)*('BRA Resource Clearing Results'!E13-'BRA Resource Clearing Results'!E5)</f>
        <v>0</v>
      </c>
      <c r="F31" s="223"/>
      <c r="G31" s="128">
        <f>'BRA Resource Clearing Results'!D37*('BRA Resource Clearing Results'!G13-'BRA Resource Clearing Results'!G5)</f>
        <v>0</v>
      </c>
      <c r="H31" s="223"/>
      <c r="I31" s="107">
        <f>'BRA Resource Clearing Results'!J81</f>
        <v>0</v>
      </c>
      <c r="J31" s="223"/>
      <c r="K31" s="223"/>
      <c r="L31" s="24"/>
      <c r="M31" s="24"/>
    </row>
    <row r="32" spans="1:13" ht="13.5">
      <c r="A32" s="223" t="s">
        <v>132</v>
      </c>
      <c r="B32" s="223"/>
      <c r="C32" s="66">
        <f>'BRA Resource Clearing Results'!E60</f>
        <v>2258.1</v>
      </c>
      <c r="D32" s="46">
        <f>'BRA Resource Clearing Results'!C13+'BRA Resource Clearing Results'!C14</f>
        <v>0</v>
      </c>
      <c r="E32" s="46">
        <f>('BRA Resource Clearing Results'!C38+'BRA Resource Clearing Results'!D38)*('BRA Resource Clearing Results'!E14-'BRA Resource Clearing Results'!E5)</f>
        <v>0</v>
      </c>
      <c r="F32" s="223"/>
      <c r="G32" s="128">
        <f>'BRA Resource Clearing Results'!D38*('BRA Resource Clearing Results'!G14-'BRA Resource Clearing Results'!G5)</f>
        <v>0</v>
      </c>
      <c r="H32" s="223"/>
      <c r="I32" s="107">
        <f>'BRA Resource Clearing Results'!J82</f>
        <v>0</v>
      </c>
      <c r="J32" s="223"/>
      <c r="K32" s="223"/>
      <c r="L32" s="24"/>
      <c r="M32" s="24"/>
    </row>
    <row r="33" spans="1:13" ht="13.5">
      <c r="A33" s="90" t="s">
        <v>45</v>
      </c>
      <c r="B33" s="199">
        <f>L13</f>
        <v>162.44414861460504</v>
      </c>
      <c r="C33" s="66">
        <f>C32+C31</f>
        <v>10171.6</v>
      </c>
      <c r="D33" s="203">
        <f>(C32*D32+C31*D31)/C33</f>
        <v>0</v>
      </c>
      <c r="E33" s="68">
        <f>SUM(E31:E32)</f>
        <v>0</v>
      </c>
      <c r="F33" s="199">
        <f>E33/J41</f>
        <v>0</v>
      </c>
      <c r="G33" s="128">
        <f>SUM(G31:G32)</f>
        <v>0</v>
      </c>
      <c r="H33" s="199">
        <f>G33/J41</f>
        <v>0</v>
      </c>
      <c r="I33" s="107">
        <f>I31+I32</f>
        <v>0</v>
      </c>
      <c r="J33" s="204">
        <f>I33/J41</f>
        <v>0</v>
      </c>
      <c r="K33" s="205">
        <f>B33+D33+F33+H33+J33</f>
        <v>162.44414861460504</v>
      </c>
      <c r="L33" s="24"/>
      <c r="M33" s="24"/>
    </row>
    <row r="34" spans="1:13" ht="12.75" customHeight="1">
      <c r="A34" s="133" t="s">
        <v>171</v>
      </c>
      <c r="B34" s="133"/>
      <c r="C34" s="110"/>
      <c r="D34" s="110"/>
      <c r="E34" s="110"/>
      <c r="F34" s="110"/>
      <c r="G34" s="131"/>
      <c r="H34" s="24"/>
      <c r="I34" s="24"/>
      <c r="J34" s="24"/>
      <c r="K34" s="24"/>
      <c r="L34" s="24"/>
      <c r="M34" s="24"/>
    </row>
    <row r="35" spans="1:13" ht="13.5">
      <c r="A35" s="47"/>
      <c r="B35" s="51"/>
      <c r="C35" s="51"/>
      <c r="D35" s="51" t="s">
        <v>24</v>
      </c>
      <c r="E35" s="64"/>
      <c r="F35" s="111" t="s">
        <v>24</v>
      </c>
      <c r="G35" s="102"/>
      <c r="H35" s="102"/>
      <c r="I35" s="102"/>
      <c r="J35" s="102"/>
      <c r="K35" s="102"/>
      <c r="L35" s="112"/>
      <c r="M35" s="24"/>
    </row>
    <row r="36" spans="1:13" s="2" customFormat="1" ht="17.25">
      <c r="A36" s="241" t="s">
        <v>41</v>
      </c>
      <c r="B36" s="125"/>
      <c r="C36" s="24"/>
      <c r="D36" s="24"/>
      <c r="E36" s="113"/>
      <c r="F36" s="113"/>
      <c r="G36" s="113"/>
      <c r="H36" s="113"/>
      <c r="I36" s="113"/>
      <c r="J36" s="113"/>
      <c r="K36" s="113"/>
      <c r="L36" s="126"/>
      <c r="M36" s="24"/>
    </row>
    <row r="37" spans="1:12" ht="54.75" customHeight="1">
      <c r="A37" s="217" t="s">
        <v>7</v>
      </c>
      <c r="B37" s="217" t="s">
        <v>28</v>
      </c>
      <c r="C37" s="217" t="s">
        <v>27</v>
      </c>
      <c r="D37" s="217" t="s">
        <v>32</v>
      </c>
      <c r="E37" s="217" t="s">
        <v>204</v>
      </c>
      <c r="F37" s="217" t="s">
        <v>22</v>
      </c>
      <c r="G37" s="217" t="s">
        <v>205</v>
      </c>
      <c r="H37" s="232" t="s">
        <v>23</v>
      </c>
      <c r="I37" s="232" t="s">
        <v>25</v>
      </c>
      <c r="J37" s="286" t="s">
        <v>26</v>
      </c>
      <c r="K37" s="233" t="s">
        <v>33</v>
      </c>
      <c r="L37" s="217" t="s">
        <v>7</v>
      </c>
    </row>
    <row r="38" spans="1:12" ht="13.5">
      <c r="A38" s="223" t="s">
        <v>16</v>
      </c>
      <c r="B38" s="117" t="s">
        <v>29</v>
      </c>
      <c r="C38" s="117" t="s">
        <v>35</v>
      </c>
      <c r="D38" s="117"/>
      <c r="E38" s="234">
        <v>2610</v>
      </c>
      <c r="F38" s="119">
        <f>G38/E38</f>
        <v>1.0091954022988505</v>
      </c>
      <c r="G38" s="120">
        <v>2634</v>
      </c>
      <c r="H38" s="119">
        <f>$B$8</f>
        <v>1.0387866708882474</v>
      </c>
      <c r="I38" s="119">
        <f aca="true" t="shared" si="2" ref="I38:I57">H38*F38</f>
        <v>1.0483387322297484</v>
      </c>
      <c r="J38" s="287">
        <f aca="true" t="shared" si="3" ref="J38:J57">E38*I38*$B$6</f>
        <v>2964.6337927281334</v>
      </c>
      <c r="K38" s="235">
        <f>L15</f>
        <v>223.09414861460505</v>
      </c>
      <c r="L38" s="223" t="s">
        <v>16</v>
      </c>
    </row>
    <row r="39" spans="1:12" ht="13.5">
      <c r="A39" s="31" t="s">
        <v>140</v>
      </c>
      <c r="B39" s="117"/>
      <c r="C39" s="117"/>
      <c r="D39" s="117"/>
      <c r="E39" s="234">
        <v>11053.4</v>
      </c>
      <c r="F39" s="119">
        <v>1.0203866432337434</v>
      </c>
      <c r="G39" s="120">
        <f>E39*F39</f>
        <v>11278.741722319859</v>
      </c>
      <c r="H39" s="119">
        <f aca="true" t="shared" si="4" ref="H39:H45">$B$8</f>
        <v>1.0387866708882474</v>
      </c>
      <c r="I39" s="119">
        <f t="shared" si="2"/>
        <v>1.059964044143614</v>
      </c>
      <c r="J39" s="287">
        <f t="shared" si="3"/>
        <v>12694.509813759363</v>
      </c>
      <c r="K39" s="235">
        <f>L13</f>
        <v>162.44414861460504</v>
      </c>
      <c r="L39" s="223" t="s">
        <v>140</v>
      </c>
    </row>
    <row r="40" spans="1:12" ht="13.5">
      <c r="A40" s="223" t="s">
        <v>19</v>
      </c>
      <c r="B40" s="117" t="s">
        <v>24</v>
      </c>
      <c r="C40" s="117"/>
      <c r="D40" s="117"/>
      <c r="E40" s="234">
        <v>8350</v>
      </c>
      <c r="F40" s="119">
        <f aca="true" t="shared" si="5" ref="F40:F57">G40/E40</f>
        <v>1.0434730538922157</v>
      </c>
      <c r="G40" s="120">
        <v>8713</v>
      </c>
      <c r="H40" s="119">
        <f t="shared" si="4"/>
        <v>1.0387866708882474</v>
      </c>
      <c r="I40" s="119">
        <f t="shared" si="2"/>
        <v>1.0839458998142875</v>
      </c>
      <c r="J40" s="287">
        <f t="shared" si="3"/>
        <v>9806.702443447315</v>
      </c>
      <c r="K40" s="235">
        <f>L13</f>
        <v>162.44414861460504</v>
      </c>
      <c r="L40" s="223" t="s">
        <v>19</v>
      </c>
    </row>
    <row r="41" spans="1:12" ht="13.5">
      <c r="A41" s="223" t="s">
        <v>45</v>
      </c>
      <c r="B41" s="117"/>
      <c r="C41" s="117"/>
      <c r="D41" s="117" t="s">
        <v>45</v>
      </c>
      <c r="E41" s="234">
        <v>12760</v>
      </c>
      <c r="F41" s="119">
        <f t="shared" si="5"/>
        <v>1.0128526645768026</v>
      </c>
      <c r="G41" s="120">
        <v>12924</v>
      </c>
      <c r="H41" s="119">
        <f t="shared" si="4"/>
        <v>1.0387866708882474</v>
      </c>
      <c r="I41" s="119">
        <f t="shared" si="2"/>
        <v>1.0521378475360275</v>
      </c>
      <c r="J41" s="287">
        <f t="shared" si="3"/>
        <v>14546.289725595445</v>
      </c>
      <c r="K41" s="235">
        <f>K33</f>
        <v>162.44414861460504</v>
      </c>
      <c r="L41" s="223" t="s">
        <v>45</v>
      </c>
    </row>
    <row r="42" spans="1:12" ht="13.5">
      <c r="A42" s="223" t="s">
        <v>11</v>
      </c>
      <c r="B42" s="117" t="s">
        <v>29</v>
      </c>
      <c r="C42" s="117" t="s">
        <v>5</v>
      </c>
      <c r="D42" s="117" t="s">
        <v>11</v>
      </c>
      <c r="E42" s="234">
        <v>6940</v>
      </c>
      <c r="F42" s="119">
        <f t="shared" si="5"/>
        <v>1.017579250720461</v>
      </c>
      <c r="G42" s="120">
        <v>7062</v>
      </c>
      <c r="H42" s="119">
        <f t="shared" si="4"/>
        <v>1.0387866708882474</v>
      </c>
      <c r="I42" s="119">
        <f t="shared" si="2"/>
        <v>1.057047762220865</v>
      </c>
      <c r="J42" s="287">
        <f t="shared" si="3"/>
        <v>7948.46007754217</v>
      </c>
      <c r="K42" s="235">
        <f>L19</f>
        <v>156.03061235019317</v>
      </c>
      <c r="L42" s="223" t="s">
        <v>11</v>
      </c>
    </row>
    <row r="43" spans="1:12" ht="13.5">
      <c r="A43" s="223" t="s">
        <v>157</v>
      </c>
      <c r="B43" s="117"/>
      <c r="C43" s="117"/>
      <c r="D43" s="117" t="s">
        <v>20</v>
      </c>
      <c r="E43" s="234">
        <v>21641.5</v>
      </c>
      <c r="F43" s="119">
        <v>1.0450159308147473</v>
      </c>
      <c r="G43" s="120">
        <f>E43*F43</f>
        <v>22615.712266727354</v>
      </c>
      <c r="H43" s="119">
        <f t="shared" si="4"/>
        <v>1.0387866708882474</v>
      </c>
      <c r="I43" s="119">
        <f t="shared" si="2"/>
        <v>1.0855486197962345</v>
      </c>
      <c r="J43" s="287">
        <f t="shared" si="3"/>
        <v>25454.557643339445</v>
      </c>
      <c r="K43" s="235">
        <f>L18</f>
        <v>212.67414861460503</v>
      </c>
      <c r="L43" s="223" t="s">
        <v>157</v>
      </c>
    </row>
    <row r="44" spans="1:12" ht="13.5">
      <c r="A44" s="223" t="s">
        <v>21</v>
      </c>
      <c r="B44" s="117"/>
      <c r="C44" s="117"/>
      <c r="D44" s="117"/>
      <c r="E44" s="234">
        <v>3290</v>
      </c>
      <c r="F44" s="119">
        <f t="shared" si="5"/>
        <v>1.0656534954407295</v>
      </c>
      <c r="G44" s="120">
        <v>3506</v>
      </c>
      <c r="H44" s="119">
        <f t="shared" si="4"/>
        <v>1.0387866708882474</v>
      </c>
      <c r="I44" s="119">
        <f t="shared" si="2"/>
        <v>1.1069866468492995</v>
      </c>
      <c r="J44" s="287">
        <f t="shared" si="3"/>
        <v>3946.0919048234</v>
      </c>
      <c r="K44" s="235">
        <f>L13</f>
        <v>162.44414861460504</v>
      </c>
      <c r="L44" s="223" t="s">
        <v>21</v>
      </c>
    </row>
    <row r="45" spans="1:12" ht="13.5">
      <c r="A45" s="223" t="s">
        <v>141</v>
      </c>
      <c r="B45" s="117"/>
      <c r="C45" s="117"/>
      <c r="D45" s="117"/>
      <c r="E45" s="234">
        <v>4450.6</v>
      </c>
      <c r="F45" s="119">
        <v>1.0216572504708097</v>
      </c>
      <c r="G45" s="120">
        <f>E45*F45</f>
        <v>4546.987758945386</v>
      </c>
      <c r="H45" s="119">
        <f t="shared" si="4"/>
        <v>1.0387866708882474</v>
      </c>
      <c r="I45" s="119">
        <f t="shared" si="2"/>
        <v>1.0612839340054128</v>
      </c>
      <c r="J45" s="287">
        <f t="shared" si="3"/>
        <v>5117.750024787645</v>
      </c>
      <c r="K45" s="235">
        <f>L13</f>
        <v>162.44414861460504</v>
      </c>
      <c r="L45" s="223" t="s">
        <v>141</v>
      </c>
    </row>
    <row r="46" spans="1:12" ht="13.5">
      <c r="A46" s="223" t="s">
        <v>44</v>
      </c>
      <c r="B46" s="117"/>
      <c r="C46" s="117"/>
      <c r="D46" s="117"/>
      <c r="E46" s="234">
        <v>2830</v>
      </c>
      <c r="F46" s="119">
        <f t="shared" si="5"/>
        <v>1.0275618374558304</v>
      </c>
      <c r="G46" s="120">
        <v>2908</v>
      </c>
      <c r="H46" s="119">
        <f aca="true" t="shared" si="6" ref="H46:H57">$B$8</f>
        <v>1.0387866708882474</v>
      </c>
      <c r="I46" s="119">
        <f t="shared" si="2"/>
        <v>1.0674175402625525</v>
      </c>
      <c r="J46" s="287">
        <f t="shared" si="3"/>
        <v>3273.027740794766</v>
      </c>
      <c r="K46" s="235">
        <f>L13</f>
        <v>162.44414861460504</v>
      </c>
      <c r="L46" s="223" t="s">
        <v>44</v>
      </c>
    </row>
    <row r="47" spans="1:12" ht="13.5">
      <c r="A47" s="223" t="s">
        <v>31</v>
      </c>
      <c r="B47" s="117"/>
      <c r="C47" s="117"/>
      <c r="D47" s="117"/>
      <c r="E47" s="234">
        <v>19090</v>
      </c>
      <c r="F47" s="119">
        <f t="shared" si="5"/>
        <v>1.0768465165007857</v>
      </c>
      <c r="G47" s="120">
        <v>20557</v>
      </c>
      <c r="H47" s="119">
        <f t="shared" si="6"/>
        <v>1.0387866708882474</v>
      </c>
      <c r="I47" s="119">
        <f t="shared" si="2"/>
        <v>1.1186138079334573</v>
      </c>
      <c r="J47" s="287">
        <f t="shared" si="3"/>
        <v>23137.42478250275</v>
      </c>
      <c r="K47" s="235">
        <f>L13</f>
        <v>162.44414861460504</v>
      </c>
      <c r="L47" s="223" t="s">
        <v>31</v>
      </c>
    </row>
    <row r="48" spans="1:12" ht="13.5">
      <c r="A48" s="223" t="s">
        <v>17</v>
      </c>
      <c r="B48" s="117" t="s">
        <v>29</v>
      </c>
      <c r="C48" s="117" t="s">
        <v>35</v>
      </c>
      <c r="D48" s="117" t="s">
        <v>17</v>
      </c>
      <c r="E48" s="234">
        <v>4020</v>
      </c>
      <c r="F48" s="119">
        <f t="shared" si="5"/>
        <v>1.035820895522388</v>
      </c>
      <c r="G48" s="120">
        <v>4164</v>
      </c>
      <c r="H48" s="119">
        <f t="shared" si="6"/>
        <v>1.0387866708882474</v>
      </c>
      <c r="I48" s="119">
        <f t="shared" si="2"/>
        <v>1.0759969396961846</v>
      </c>
      <c r="J48" s="287">
        <f t="shared" si="3"/>
        <v>4686.68759032648</v>
      </c>
      <c r="K48" s="235">
        <f>K30</f>
        <v>223.09414861460505</v>
      </c>
      <c r="L48" s="223" t="s">
        <v>17</v>
      </c>
    </row>
    <row r="49" spans="1:12" ht="13.5">
      <c r="A49" s="223" t="s">
        <v>142</v>
      </c>
      <c r="B49" s="117"/>
      <c r="C49" s="117"/>
      <c r="D49" s="117"/>
      <c r="E49" s="234">
        <v>2124.2</v>
      </c>
      <c r="F49" s="119">
        <v>1.0534806732876394</v>
      </c>
      <c r="G49" s="120">
        <f>E49*F49</f>
        <v>2237.8036461976035</v>
      </c>
      <c r="H49" s="119">
        <f t="shared" si="6"/>
        <v>1.0387866708882474</v>
      </c>
      <c r="I49" s="119">
        <f t="shared" si="2"/>
        <v>1.0943416814495763</v>
      </c>
      <c r="J49" s="287">
        <f t="shared" si="3"/>
        <v>2518.7047498130783</v>
      </c>
      <c r="K49" s="235">
        <f>L13</f>
        <v>162.44414861460504</v>
      </c>
      <c r="L49" s="223" t="s">
        <v>142</v>
      </c>
    </row>
    <row r="50" spans="1:12" ht="13.5">
      <c r="A50" s="223" t="s">
        <v>12</v>
      </c>
      <c r="B50" s="117" t="s">
        <v>29</v>
      </c>
      <c r="C50" s="117" t="s">
        <v>35</v>
      </c>
      <c r="D50" s="117"/>
      <c r="E50" s="234">
        <v>6090</v>
      </c>
      <c r="F50" s="119">
        <f t="shared" si="5"/>
        <v>1.0239737274220033</v>
      </c>
      <c r="G50" s="120">
        <v>6236</v>
      </c>
      <c r="H50" s="119">
        <f t="shared" si="6"/>
        <v>1.0387866708882474</v>
      </c>
      <c r="I50" s="119">
        <f t="shared" si="2"/>
        <v>1.0636902593857325</v>
      </c>
      <c r="J50" s="287">
        <f t="shared" si="3"/>
        <v>7018.776131910647</v>
      </c>
      <c r="K50" s="235">
        <f>L15</f>
        <v>223.09414861460505</v>
      </c>
      <c r="L50" s="223" t="s">
        <v>12</v>
      </c>
    </row>
    <row r="51" spans="1:12" ht="13.5">
      <c r="A51" s="223" t="s">
        <v>13</v>
      </c>
      <c r="B51" s="117" t="s">
        <v>29</v>
      </c>
      <c r="C51" s="117"/>
      <c r="D51" s="117"/>
      <c r="E51" s="234">
        <v>2850</v>
      </c>
      <c r="F51" s="119">
        <f t="shared" si="5"/>
        <v>1.0378947368421052</v>
      </c>
      <c r="G51" s="120">
        <v>2958</v>
      </c>
      <c r="H51" s="119">
        <f t="shared" si="6"/>
        <v>1.0387866708882474</v>
      </c>
      <c r="I51" s="119">
        <f t="shared" si="2"/>
        <v>1.078151218416644</v>
      </c>
      <c r="J51" s="287">
        <f t="shared" si="3"/>
        <v>3329.304008690136</v>
      </c>
      <c r="K51" s="235">
        <f>L14</f>
        <v>162.44414861460504</v>
      </c>
      <c r="L51" s="223" t="s">
        <v>13</v>
      </c>
    </row>
    <row r="52" spans="1:12" ht="13.5">
      <c r="A52" s="223" t="s">
        <v>9</v>
      </c>
      <c r="B52" s="117" t="s">
        <v>29</v>
      </c>
      <c r="C52" s="117" t="s">
        <v>35</v>
      </c>
      <c r="D52" s="117"/>
      <c r="E52" s="234">
        <v>8380</v>
      </c>
      <c r="F52" s="119">
        <f t="shared" si="5"/>
        <v>1.0288782816229116</v>
      </c>
      <c r="G52" s="120">
        <v>8622</v>
      </c>
      <c r="H52" s="119">
        <f t="shared" si="6"/>
        <v>1.0387866708882474</v>
      </c>
      <c r="I52" s="119">
        <f t="shared" si="2"/>
        <v>1.068785044916285</v>
      </c>
      <c r="J52" s="287">
        <f t="shared" si="3"/>
        <v>9704.27963587774</v>
      </c>
      <c r="K52" s="235">
        <f>L15</f>
        <v>223.09414861460505</v>
      </c>
      <c r="L52" s="223" t="s">
        <v>9</v>
      </c>
    </row>
    <row r="53" spans="1:12" ht="13.5">
      <c r="A53" s="223" t="s">
        <v>14</v>
      </c>
      <c r="B53" s="117" t="s">
        <v>29</v>
      </c>
      <c r="C53" s="117"/>
      <c r="D53" s="117"/>
      <c r="E53" s="234">
        <v>2770</v>
      </c>
      <c r="F53" s="119">
        <f t="shared" si="5"/>
        <v>1.055234657039711</v>
      </c>
      <c r="G53" s="120">
        <v>2923</v>
      </c>
      <c r="H53" s="119">
        <f t="shared" si="6"/>
        <v>1.0387866708882474</v>
      </c>
      <c r="I53" s="119">
        <f t="shared" si="2"/>
        <v>1.096163696392183</v>
      </c>
      <c r="J53" s="287">
        <f t="shared" si="3"/>
        <v>3289.9106211633766</v>
      </c>
      <c r="K53" s="235">
        <f>L14</f>
        <v>162.44414861460504</v>
      </c>
      <c r="L53" s="223" t="s">
        <v>14</v>
      </c>
    </row>
    <row r="54" spans="1:12" ht="13.5">
      <c r="A54" s="223" t="s">
        <v>15</v>
      </c>
      <c r="B54" s="117" t="s">
        <v>29</v>
      </c>
      <c r="C54" s="117" t="s">
        <v>5</v>
      </c>
      <c r="D54" s="117" t="s">
        <v>15</v>
      </c>
      <c r="E54" s="234">
        <v>6540</v>
      </c>
      <c r="F54" s="119">
        <f t="shared" si="5"/>
        <v>0.9938837920489296</v>
      </c>
      <c r="G54" s="120">
        <v>6500</v>
      </c>
      <c r="H54" s="119">
        <f t="shared" si="6"/>
        <v>1.0387866708882474</v>
      </c>
      <c r="I54" s="119">
        <f t="shared" si="2"/>
        <v>1.0324332355922947</v>
      </c>
      <c r="J54" s="287">
        <f t="shared" si="3"/>
        <v>7315.914826398203</v>
      </c>
      <c r="K54" s="235">
        <f>L17</f>
        <v>154.74164163036284</v>
      </c>
      <c r="L54" s="223" t="s">
        <v>15</v>
      </c>
    </row>
    <row r="55" spans="1:12" ht="13.5">
      <c r="A55" s="223" t="s">
        <v>10</v>
      </c>
      <c r="B55" s="117" t="s">
        <v>29</v>
      </c>
      <c r="C55" s="117"/>
      <c r="D55" s="117" t="s">
        <v>10</v>
      </c>
      <c r="E55" s="234">
        <v>7145</v>
      </c>
      <c r="F55" s="119">
        <f t="shared" si="5"/>
        <v>1.0198740377886635</v>
      </c>
      <c r="G55" s="120">
        <v>7287</v>
      </c>
      <c r="H55" s="119">
        <f t="shared" si="6"/>
        <v>1.0387866708882474</v>
      </c>
      <c r="I55" s="119">
        <f t="shared" si="2"/>
        <v>1.0594315564398404</v>
      </c>
      <c r="J55" s="287">
        <f t="shared" si="3"/>
        <v>8201.703283071342</v>
      </c>
      <c r="K55" s="235">
        <f>L20</f>
        <v>152.73830517543715</v>
      </c>
      <c r="L55" s="223" t="s">
        <v>10</v>
      </c>
    </row>
    <row r="56" spans="1:12" ht="13.5">
      <c r="A56" s="223" t="s">
        <v>8</v>
      </c>
      <c r="B56" s="117" t="s">
        <v>29</v>
      </c>
      <c r="C56" s="117" t="s">
        <v>35</v>
      </c>
      <c r="D56" s="117" t="s">
        <v>8</v>
      </c>
      <c r="E56" s="234">
        <v>10160</v>
      </c>
      <c r="F56" s="119">
        <f t="shared" si="5"/>
        <v>0.9986220472440945</v>
      </c>
      <c r="G56" s="120">
        <v>10146</v>
      </c>
      <c r="H56" s="119">
        <f t="shared" si="6"/>
        <v>1.0387866708882474</v>
      </c>
      <c r="I56" s="119">
        <f t="shared" si="2"/>
        <v>1.0373552719322991</v>
      </c>
      <c r="J56" s="287">
        <f t="shared" si="3"/>
        <v>11419.580281328645</v>
      </c>
      <c r="K56" s="235">
        <f>K27</f>
        <v>223.09414861460505</v>
      </c>
      <c r="L56" s="223" t="s">
        <v>8</v>
      </c>
    </row>
    <row r="57" spans="1:12" ht="13.5">
      <c r="A57" s="223" t="s">
        <v>18</v>
      </c>
      <c r="B57" s="117" t="s">
        <v>29</v>
      </c>
      <c r="C57" s="117" t="s">
        <v>35</v>
      </c>
      <c r="D57" s="117"/>
      <c r="E57" s="234">
        <v>405</v>
      </c>
      <c r="F57" s="119">
        <f t="shared" si="5"/>
        <v>1.0148148148148148</v>
      </c>
      <c r="G57" s="120">
        <v>411</v>
      </c>
      <c r="H57" s="119">
        <f t="shared" si="6"/>
        <v>1.0387866708882474</v>
      </c>
      <c r="I57" s="119">
        <f t="shared" si="2"/>
        <v>1.0541761030495547</v>
      </c>
      <c r="J57" s="287">
        <f t="shared" si="3"/>
        <v>462.59092209994793</v>
      </c>
      <c r="K57" s="235">
        <f>L15</f>
        <v>223.09414861460505</v>
      </c>
      <c r="L57" s="223" t="s">
        <v>18</v>
      </c>
    </row>
    <row r="58" spans="1:12" ht="13.5">
      <c r="A58" s="123" t="s">
        <v>73</v>
      </c>
      <c r="B58" s="33"/>
      <c r="C58" s="47"/>
      <c r="D58" s="47"/>
      <c r="E58" s="236">
        <f>SUM(E38:E57)</f>
        <v>143499.7</v>
      </c>
      <c r="F58" s="237"/>
      <c r="G58" s="238">
        <f>SUM(G38:G57)</f>
        <v>148230.2453941902</v>
      </c>
      <c r="H58" s="90"/>
      <c r="I58" s="90"/>
      <c r="J58" s="239">
        <f>SUM(J38:J57)</f>
        <v>166836.90000000002</v>
      </c>
      <c r="K58" s="240"/>
      <c r="L58" s="223"/>
    </row>
    <row r="59" spans="1:13" ht="13.5">
      <c r="A59" s="123" t="s">
        <v>143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24"/>
    </row>
    <row r="60" spans="1:13" ht="30.75" customHeight="1">
      <c r="A60" s="332" t="s">
        <v>24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24"/>
    </row>
    <row r="61" spans="1:10" ht="12.75">
      <c r="A61" s="9"/>
      <c r="C61" s="5"/>
      <c r="D61" s="5"/>
      <c r="E61" s="8"/>
      <c r="F61" s="5"/>
      <c r="G61" s="5"/>
      <c r="I61" s="5"/>
      <c r="J61" s="5" t="s">
        <v>24</v>
      </c>
    </row>
    <row r="62" spans="1:11" ht="12.75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29"/>
    </row>
    <row r="63" ht="12.75">
      <c r="H63" s="12"/>
    </row>
    <row r="64" spans="1:8" ht="13.5">
      <c r="A64" s="17"/>
      <c r="H64" s="12"/>
    </row>
    <row r="65" ht="12.75">
      <c r="H65" s="12"/>
    </row>
    <row r="75" ht="12.75">
      <c r="B75" s="4" t="s">
        <v>24</v>
      </c>
    </row>
    <row r="76" ht="12.75">
      <c r="B76" s="4" t="s">
        <v>24</v>
      </c>
    </row>
    <row r="77" spans="2:4" ht="12.75">
      <c r="B77" s="4" t="s">
        <v>24</v>
      </c>
      <c r="C77" s="4" t="s">
        <v>24</v>
      </c>
      <c r="D77" s="4" t="s">
        <v>24</v>
      </c>
    </row>
    <row r="78" ht="12.75">
      <c r="B78" s="4" t="s">
        <v>24</v>
      </c>
    </row>
    <row r="79" ht="12.75">
      <c r="B79" s="4" t="s">
        <v>24</v>
      </c>
    </row>
    <row r="80" ht="12.75">
      <c r="B80" s="4" t="s">
        <v>24</v>
      </c>
    </row>
  </sheetData>
  <sheetProtection/>
  <mergeCells count="2">
    <mergeCell ref="A60:L60"/>
    <mergeCell ref="F23:J23"/>
  </mergeCells>
  <printOptions/>
  <pageMargins left="0.45" right="0.45" top="0.5" bottom="0.5" header="0" footer="0"/>
  <pageSetup fitToHeight="1" fitToWidth="1" horizontalDpi="600" verticalDpi="600" orientation="landscape" paperSize="17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">
      <c r="A1" s="135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thickBot="1">
      <c r="A3" s="216" t="s">
        <v>68</v>
      </c>
      <c r="B3" s="124"/>
      <c r="C3" s="124"/>
      <c r="D3" s="308" t="s">
        <v>24</v>
      </c>
      <c r="E3" s="308"/>
      <c r="F3" s="309"/>
      <c r="G3" s="24"/>
      <c r="H3" s="136" t="s">
        <v>24</v>
      </c>
      <c r="I3" s="137"/>
      <c r="J3" s="285" t="s">
        <v>24</v>
      </c>
      <c r="K3" s="136"/>
      <c r="L3" s="136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36"/>
      <c r="Z3" s="24"/>
      <c r="AA3" s="24"/>
      <c r="AB3" s="24"/>
    </row>
    <row r="4" spans="1:27" ht="123.75">
      <c r="A4" s="278" t="s">
        <v>3</v>
      </c>
      <c r="B4" s="279" t="s">
        <v>69</v>
      </c>
      <c r="C4" s="279" t="s">
        <v>70</v>
      </c>
      <c r="D4" s="279" t="s">
        <v>94</v>
      </c>
      <c r="E4" s="139" t="s">
        <v>71</v>
      </c>
      <c r="F4" s="139" t="s">
        <v>116</v>
      </c>
      <c r="G4" s="139" t="s">
        <v>79</v>
      </c>
      <c r="H4" s="139" t="s">
        <v>117</v>
      </c>
      <c r="I4" s="277" t="s">
        <v>121</v>
      </c>
      <c r="J4" s="43"/>
      <c r="K4" s="24"/>
      <c r="L4" s="24"/>
      <c r="M4" s="4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3.5">
      <c r="A5" s="141" t="s">
        <v>29</v>
      </c>
      <c r="B5" s="59">
        <f>'BRA Load Pricing Results'!B14</f>
        <v>66341.84117113681</v>
      </c>
      <c r="C5" s="59">
        <f>'BRA Resource Clearing Results'!E30</f>
        <v>66071.2</v>
      </c>
      <c r="D5" s="120">
        <f>B5-C5</f>
        <v>270.6411711368128</v>
      </c>
      <c r="E5" s="142">
        <f>'BRA Resource Clearing Results'!B95</f>
        <v>0</v>
      </c>
      <c r="F5" s="66">
        <f aca="true" t="shared" si="0" ref="F5:F14">D5-E5</f>
        <v>270.6411711368128</v>
      </c>
      <c r="G5" s="66">
        <f>'BRA ICTRs'!C26</f>
        <v>148.10547524787546</v>
      </c>
      <c r="H5" s="66">
        <f>'BRA ICTRs'!C13+'BRA ICTRs'!C20</f>
        <v>122.53569588893731</v>
      </c>
      <c r="I5" s="207">
        <f>F5-G5-H5</f>
        <v>0</v>
      </c>
      <c r="J5" s="219"/>
      <c r="K5" s="24"/>
      <c r="L5" s="24"/>
      <c r="M5" s="5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3.5">
      <c r="A6" s="141" t="s">
        <v>35</v>
      </c>
      <c r="B6" s="59">
        <f>'BRA Load Pricing Results'!B15</f>
        <v>36256.54835427159</v>
      </c>
      <c r="C6" s="59">
        <f>'BRA Resource Clearing Results'!E31</f>
        <v>31069</v>
      </c>
      <c r="D6" s="120">
        <f>B6-C6-30</f>
        <v>5157.548354271588</v>
      </c>
      <c r="E6" s="142">
        <f>'BRA Resource Clearing Results'!B96</f>
        <v>0</v>
      </c>
      <c r="F6" s="66">
        <f t="shared" si="0"/>
        <v>5157.548354271588</v>
      </c>
      <c r="G6" s="142">
        <v>0</v>
      </c>
      <c r="H6" s="66">
        <f>'BRA ICTRs'!D13+'BRA ICTRs'!D20</f>
        <v>898</v>
      </c>
      <c r="I6" s="206">
        <f>F6-G6-H6</f>
        <v>4259.548354271588</v>
      </c>
      <c r="J6" s="219"/>
      <c r="K6" s="24"/>
      <c r="L6" s="24"/>
      <c r="M6" s="51" t="s">
        <v>24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3.5">
      <c r="A7" s="141" t="s">
        <v>5</v>
      </c>
      <c r="B7" s="59">
        <f>'BRA Load Pricing Results'!B16</f>
        <v>15264.374903940374</v>
      </c>
      <c r="C7" s="59">
        <f>'BRA Resource Clearing Results'!E32</f>
        <v>11180.699999999999</v>
      </c>
      <c r="D7" s="120">
        <f>B7-C7</f>
        <v>4083.674903940375</v>
      </c>
      <c r="E7" s="142">
        <f>'BRA Resource Clearing Results'!B97</f>
        <v>0</v>
      </c>
      <c r="F7" s="66">
        <f t="shared" si="0"/>
        <v>4083.674903940375</v>
      </c>
      <c r="G7" s="142">
        <f>'BRA ICTRs'!E26</f>
        <v>0</v>
      </c>
      <c r="H7" s="66">
        <f>'BRA ICTRs'!E13+'BRA ICTRs'!E20</f>
        <v>1044</v>
      </c>
      <c r="I7" s="206">
        <f>F7-G7-H7</f>
        <v>3039.674903940375</v>
      </c>
      <c r="J7" s="219"/>
      <c r="K7" s="24"/>
      <c r="L7" s="24"/>
      <c r="M7" s="5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3.5">
      <c r="A8" s="141" t="s">
        <v>42</v>
      </c>
      <c r="B8" s="59">
        <f>'BRA Load Pricing Results'!J56</f>
        <v>11419.580281328645</v>
      </c>
      <c r="C8" s="59">
        <f>'BRA Load Pricing Results'!C27</f>
        <v>5300.799999999999</v>
      </c>
      <c r="D8" s="120">
        <f>B8-C8</f>
        <v>6118.780281328645</v>
      </c>
      <c r="E8" s="142">
        <f>IF('BRA Resource Clearing Results'!D98+'BRA Resource Clearing Results'!D99=0,0,('BRA Resource Clearing Results'!D98+'BRA Resource Clearing Results'!D99)/'BRA Load Pricing Results'!D27)</f>
        <v>0</v>
      </c>
      <c r="F8" s="66">
        <f t="shared" si="0"/>
        <v>6118.780281328645</v>
      </c>
      <c r="G8" s="142">
        <v>0</v>
      </c>
      <c r="H8" s="142">
        <v>0</v>
      </c>
      <c r="I8" s="206">
        <f>F8-G8-H8</f>
        <v>6118.780281328645</v>
      </c>
      <c r="J8" s="219" t="s">
        <v>24</v>
      </c>
      <c r="K8" s="24"/>
      <c r="L8" s="24"/>
      <c r="M8" s="5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3.5">
      <c r="A9" s="141" t="s">
        <v>40</v>
      </c>
      <c r="B9" s="59">
        <f>'BRA Load Pricing Results'!J48</f>
        <v>4686.68759032648</v>
      </c>
      <c r="C9" s="59">
        <f>'BRA Load Pricing Results'!C30</f>
        <v>5622.3</v>
      </c>
      <c r="D9" s="283">
        <f>IF(B9-C9&lt;0,0,B9-C9)</f>
        <v>0</v>
      </c>
      <c r="E9" s="142">
        <f>IF('BRA Resource Clearing Results'!D100=0,0,('BRA Resource Clearing Results'!D100/'BRA Load Pricing Results'!D30))</f>
        <v>0</v>
      </c>
      <c r="F9" s="142">
        <f t="shared" si="0"/>
        <v>0</v>
      </c>
      <c r="G9" s="142">
        <f>'BRA ICTRs'!I23+'BRA ICTRs'!I25</f>
        <v>0</v>
      </c>
      <c r="H9" s="143">
        <f>'BRA ICTRs'!I13+'BRA ICTRs'!I20</f>
        <v>0</v>
      </c>
      <c r="I9" s="207">
        <f>MAX(F9-G9-H9,0)</f>
        <v>0</v>
      </c>
      <c r="J9" s="219"/>
      <c r="K9" s="24"/>
      <c r="L9" s="24"/>
      <c r="M9" s="5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3.5">
      <c r="A10" s="141" t="s">
        <v>15</v>
      </c>
      <c r="B10" s="59">
        <f>'BRA Load Pricing Results'!J54</f>
        <v>7315.914826398203</v>
      </c>
      <c r="C10" s="59">
        <f>'BRA Resource Clearing Results'!E36</f>
        <v>5478.7</v>
      </c>
      <c r="D10" s="120">
        <f>B10-C10</f>
        <v>1837.2148263982035</v>
      </c>
      <c r="E10" s="142">
        <f>'BRA Resource Clearing Results'!B101</f>
        <v>0</v>
      </c>
      <c r="F10" s="66">
        <f t="shared" si="0"/>
        <v>1837.2148263982035</v>
      </c>
      <c r="G10" s="142">
        <f>'BRA ICTRs'!J26</f>
        <v>0</v>
      </c>
      <c r="H10" s="142">
        <f>'BRA ICTRs'!J13+'BRA ICTRs'!J20</f>
        <v>315</v>
      </c>
      <c r="I10" s="206">
        <f>F10-G10-H10</f>
        <v>1522.2148263982035</v>
      </c>
      <c r="J10" s="219"/>
      <c r="K10" s="24"/>
      <c r="L10" s="24"/>
      <c r="M10" s="5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3.5">
      <c r="A11" s="141" t="s">
        <v>134</v>
      </c>
      <c r="B11" s="59">
        <f>'BRA Load Pricing Results'!J41</f>
        <v>14546.289725595445</v>
      </c>
      <c r="C11" s="59">
        <f>'BRA Load Pricing Results'!C33</f>
        <v>10171.6</v>
      </c>
      <c r="D11" s="120">
        <f>B11-C11</f>
        <v>4374.6897255954445</v>
      </c>
      <c r="E11" s="142">
        <f>IF('BRA Resource Clearing Results'!D102+'BRA Resource Clearing Results'!D103=0,0,('BRA Resource Clearing Results'!D102+'BRA Resource Clearing Results'!D103)/'BRA Load Pricing Results'!D33)</f>
        <v>0</v>
      </c>
      <c r="F11" s="66">
        <f t="shared" si="0"/>
        <v>4374.6897255954445</v>
      </c>
      <c r="G11" s="142">
        <v>0</v>
      </c>
      <c r="H11" s="142">
        <v>0</v>
      </c>
      <c r="I11" s="206">
        <f>F11-G11-H11</f>
        <v>4374.6897255954445</v>
      </c>
      <c r="J11" s="219"/>
      <c r="K11" s="24"/>
      <c r="L11" s="24"/>
      <c r="M11" s="5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3.5">
      <c r="A12" s="144" t="s">
        <v>20</v>
      </c>
      <c r="B12" s="59">
        <f>'BRA Load Pricing Results'!J43</f>
        <v>25454.557643339445</v>
      </c>
      <c r="C12" s="59">
        <f>'BRA Resource Clearing Results'!E39</f>
        <v>23320.4</v>
      </c>
      <c r="D12" s="120">
        <f>B12-C12</f>
        <v>2134.157643339444</v>
      </c>
      <c r="E12" s="142">
        <f>'BRA Resource Clearing Results'!B104</f>
        <v>0</v>
      </c>
      <c r="F12" s="66">
        <f t="shared" si="0"/>
        <v>2134.157643339444</v>
      </c>
      <c r="G12" s="142">
        <v>0</v>
      </c>
      <c r="H12" s="142">
        <v>0</v>
      </c>
      <c r="I12" s="206">
        <f>F12-G12-H12</f>
        <v>2134.157643339444</v>
      </c>
      <c r="J12" s="219"/>
      <c r="K12" s="24"/>
      <c r="L12" s="24"/>
      <c r="M12" s="5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3.5">
      <c r="A13" s="144" t="s">
        <v>11</v>
      </c>
      <c r="B13" s="59">
        <f>'BRA Load Pricing Results'!J42</f>
        <v>7948.46007754217</v>
      </c>
      <c r="C13" s="145">
        <f>'BRA Resource Clearing Results'!E40</f>
        <v>3296.9</v>
      </c>
      <c r="D13" s="120">
        <f>B13-C13</f>
        <v>4651.56007754217</v>
      </c>
      <c r="E13" s="142">
        <f>'BRA Resource Clearing Results'!B105</f>
        <v>0</v>
      </c>
      <c r="F13" s="66">
        <f t="shared" si="0"/>
        <v>4651.56007754217</v>
      </c>
      <c r="G13" s="142">
        <v>0</v>
      </c>
      <c r="H13" s="142">
        <f>'BRA ICTRs'!K13+'BRA ICTRs'!K20</f>
        <v>306</v>
      </c>
      <c r="I13" s="206">
        <f>F13-G13-H13</f>
        <v>4345.56007754217</v>
      </c>
      <c r="J13" s="219"/>
      <c r="K13" s="24"/>
      <c r="L13" s="24"/>
      <c r="M13" s="5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4.25" thickBot="1">
      <c r="A14" s="146" t="s">
        <v>10</v>
      </c>
      <c r="B14" s="147">
        <f>'BRA Load Pricing Results'!J55</f>
        <v>8201.703283071342</v>
      </c>
      <c r="C14" s="148">
        <f>'BRA Resource Clearing Results'!E41</f>
        <v>9526.9</v>
      </c>
      <c r="D14" s="284">
        <f>IF(B14-C14&lt;0,0,B14-C14)</f>
        <v>0</v>
      </c>
      <c r="E14" s="149">
        <f>'BRA Resource Clearing Results'!B106</f>
        <v>0</v>
      </c>
      <c r="F14" s="149">
        <f t="shared" si="0"/>
        <v>0</v>
      </c>
      <c r="G14" s="149">
        <v>0</v>
      </c>
      <c r="H14" s="149">
        <v>0</v>
      </c>
      <c r="I14" s="208">
        <f>F14-G14-H14</f>
        <v>0</v>
      </c>
      <c r="J14" s="219"/>
      <c r="K14" s="24"/>
      <c r="L14" s="24"/>
      <c r="M14" s="51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8" ht="13.5">
      <c r="A15" s="150" t="s">
        <v>24</v>
      </c>
      <c r="B15" s="47"/>
      <c r="C15" s="47"/>
      <c r="D15" s="47" t="s">
        <v>95</v>
      </c>
      <c r="E15" s="47"/>
      <c r="F15" s="73"/>
      <c r="G15" s="74"/>
      <c r="H15" s="98"/>
      <c r="I15" s="74"/>
      <c r="J15" s="54"/>
      <c r="K15" s="151"/>
      <c r="L15" s="24"/>
      <c r="M15" s="24"/>
      <c r="N15" s="5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2.75" customHeight="1" thickBot="1">
      <c r="A16" s="150"/>
      <c r="B16" s="47"/>
      <c r="C16" s="47"/>
      <c r="D16" s="73"/>
      <c r="E16" s="152"/>
      <c r="F16" s="73"/>
      <c r="G16" s="74"/>
      <c r="H16" s="98"/>
      <c r="I16" s="74"/>
      <c r="J16" s="54"/>
      <c r="K16" s="151"/>
      <c r="L16" s="24"/>
      <c r="M16" s="24"/>
      <c r="N16" s="5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5" customHeight="1" thickBot="1">
      <c r="A17" s="334" t="s">
        <v>89</v>
      </c>
      <c r="B17" s="335"/>
      <c r="C17" s="335"/>
      <c r="D17" s="336"/>
      <c r="E17" s="15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3.5">
      <c r="A18" s="337"/>
      <c r="B18" s="338"/>
      <c r="C18" s="338"/>
      <c r="D18" s="339"/>
      <c r="E18" s="346" t="s">
        <v>29</v>
      </c>
      <c r="F18" s="347"/>
      <c r="G18" s="346" t="s">
        <v>35</v>
      </c>
      <c r="H18" s="347"/>
      <c r="I18" s="346" t="s">
        <v>5</v>
      </c>
      <c r="J18" s="347"/>
      <c r="K18" s="346" t="s">
        <v>42</v>
      </c>
      <c r="L18" s="347"/>
      <c r="M18" s="346" t="s">
        <v>40</v>
      </c>
      <c r="N18" s="347"/>
      <c r="O18" s="346" t="s">
        <v>15</v>
      </c>
      <c r="P18" s="347"/>
      <c r="Q18" s="346" t="s">
        <v>134</v>
      </c>
      <c r="R18" s="347"/>
      <c r="S18" s="346" t="s">
        <v>20</v>
      </c>
      <c r="T18" s="347"/>
      <c r="U18" s="346" t="s">
        <v>11</v>
      </c>
      <c r="V18" s="347"/>
      <c r="W18" s="346" t="s">
        <v>10</v>
      </c>
      <c r="X18" s="347"/>
      <c r="Y18" s="24"/>
      <c r="Z18" s="24"/>
      <c r="AA18" s="24"/>
      <c r="AB18" s="24"/>
    </row>
    <row r="19" spans="1:28" ht="30.75" customHeight="1" thickBot="1">
      <c r="A19" s="340"/>
      <c r="B19" s="341"/>
      <c r="C19" s="341"/>
      <c r="D19" s="342"/>
      <c r="E19" s="169" t="s">
        <v>43</v>
      </c>
      <c r="F19" s="154">
        <f>'BRA Resource Clearing Results'!C6</f>
        <v>0</v>
      </c>
      <c r="G19" s="169" t="s">
        <v>43</v>
      </c>
      <c r="H19" s="154">
        <f>'BRA Resource Clearing Results'!C7</f>
        <v>60.65</v>
      </c>
      <c r="I19" s="169" t="s">
        <v>43</v>
      </c>
      <c r="J19" s="154">
        <f>'BRA Resource Clearing Results'!C8</f>
        <v>0</v>
      </c>
      <c r="K19" s="169" t="s">
        <v>43</v>
      </c>
      <c r="L19" s="154">
        <f>'BRA Load Pricing Results'!D27</f>
        <v>0</v>
      </c>
      <c r="M19" s="169" t="s">
        <v>43</v>
      </c>
      <c r="N19" s="170">
        <f>'BRA Load Pricing Results'!D30</f>
        <v>0</v>
      </c>
      <c r="O19" s="169" t="s">
        <v>43</v>
      </c>
      <c r="P19" s="170">
        <f>'BRA Resource Clearing Results'!C12</f>
        <v>0</v>
      </c>
      <c r="Q19" s="169" t="s">
        <v>43</v>
      </c>
      <c r="R19" s="170">
        <f>'BRA Load Pricing Results'!D33</f>
        <v>0</v>
      </c>
      <c r="S19" s="169" t="s">
        <v>43</v>
      </c>
      <c r="T19" s="170">
        <f>'BRA Resource Clearing Results'!C15</f>
        <v>50.23</v>
      </c>
      <c r="U19" s="169" t="s">
        <v>43</v>
      </c>
      <c r="V19" s="170">
        <f>'BRA Resource Clearing Results'!C16</f>
        <v>0</v>
      </c>
      <c r="W19" s="169" t="s">
        <v>43</v>
      </c>
      <c r="X19" s="170">
        <f>'BRA Resource Clearing Results'!C17</f>
        <v>0</v>
      </c>
      <c r="Y19" s="24"/>
      <c r="Z19" s="24"/>
      <c r="AA19" s="24"/>
      <c r="AB19" s="136"/>
    </row>
    <row r="20" spans="1:29" ht="69">
      <c r="A20" s="114" t="s">
        <v>7</v>
      </c>
      <c r="B20" s="115" t="s">
        <v>28</v>
      </c>
      <c r="C20" s="115" t="s">
        <v>27</v>
      </c>
      <c r="D20" s="116" t="s">
        <v>32</v>
      </c>
      <c r="E20" s="114" t="s">
        <v>220</v>
      </c>
      <c r="F20" s="116" t="s">
        <v>221</v>
      </c>
      <c r="G20" s="114" t="s">
        <v>84</v>
      </c>
      <c r="H20" s="116" t="s">
        <v>221</v>
      </c>
      <c r="I20" s="114" t="s">
        <v>220</v>
      </c>
      <c r="J20" s="116" t="s">
        <v>221</v>
      </c>
      <c r="K20" s="114" t="s">
        <v>222</v>
      </c>
      <c r="L20" s="116" t="s">
        <v>221</v>
      </c>
      <c r="M20" s="114" t="s">
        <v>220</v>
      </c>
      <c r="N20" s="116" t="s">
        <v>223</v>
      </c>
      <c r="O20" s="114" t="s">
        <v>220</v>
      </c>
      <c r="P20" s="116" t="s">
        <v>223</v>
      </c>
      <c r="Q20" s="114" t="s">
        <v>220</v>
      </c>
      <c r="R20" s="116" t="s">
        <v>223</v>
      </c>
      <c r="S20" s="114" t="s">
        <v>220</v>
      </c>
      <c r="T20" s="116" t="s">
        <v>223</v>
      </c>
      <c r="U20" s="114" t="s">
        <v>220</v>
      </c>
      <c r="V20" s="116" t="s">
        <v>223</v>
      </c>
      <c r="W20" s="114" t="s">
        <v>220</v>
      </c>
      <c r="X20" s="116" t="s">
        <v>221</v>
      </c>
      <c r="Y20" s="114" t="s">
        <v>86</v>
      </c>
      <c r="Z20" s="115" t="s">
        <v>224</v>
      </c>
      <c r="AA20" s="209" t="s">
        <v>52</v>
      </c>
      <c r="AB20" s="210" t="s">
        <v>225</v>
      </c>
      <c r="AC20" s="10"/>
    </row>
    <row r="21" spans="1:30" ht="13.5">
      <c r="A21" s="71" t="s">
        <v>16</v>
      </c>
      <c r="B21" s="117" t="s">
        <v>29</v>
      </c>
      <c r="C21" s="117" t="s">
        <v>35</v>
      </c>
      <c r="D21" s="118"/>
      <c r="E21" s="155">
        <f>IF(B21="MAAC",$I$5*'BRA Load Pricing Results'!J38/'BRA Load Pricing Results'!$B$14,0)</f>
        <v>0</v>
      </c>
      <c r="F21" s="156">
        <f>E21*$F$19</f>
        <v>0</v>
      </c>
      <c r="G21" s="155">
        <f>IF(C21="EMAAC",$I$6*'BRA Load Pricing Results'!J38/'BRA Load Pricing Results'!$B$15,0)</f>
        <v>348.2957304551381</v>
      </c>
      <c r="H21" s="156">
        <f>G21*$H$19</f>
        <v>21124.136052104124</v>
      </c>
      <c r="I21" s="155">
        <f>IF(C21="SWMAAC",$I$7*'BRA Load Pricing Results'!J38/'BRA Load Pricing Results'!$B$16,0)</f>
        <v>0</v>
      </c>
      <c r="J21" s="156">
        <f>I21*$J$19</f>
        <v>0</v>
      </c>
      <c r="K21" s="155">
        <f>IF(D21="PS",$I$8*'BRA Load Pricing Results'!J38/'BRA Load Pricing Results'!$J$56,0)</f>
        <v>0</v>
      </c>
      <c r="L21" s="156">
        <f>K21*$L$19</f>
        <v>0</v>
      </c>
      <c r="M21" s="155">
        <f>IF(D21="DPL",$I$9*'BRA Load Pricing Results'!J38/'BRA Load Pricing Results'!$J$48,0)</f>
        <v>0</v>
      </c>
      <c r="N21" s="156">
        <f>M21*$N$19</f>
        <v>0</v>
      </c>
      <c r="O21" s="155">
        <f>IF(D21="PEPCO",$I$10*'BRA Load Pricing Results'!J38/'BRA Load Pricing Results'!$J$54,0)</f>
        <v>0</v>
      </c>
      <c r="P21" s="156">
        <f>O21*$P$19</f>
        <v>0</v>
      </c>
      <c r="Q21" s="155">
        <f>IF(D21="ATSI",$I$11*'BRA Load Pricing Results'!J38/'BRA Load Pricing Results'!$J$41,0)</f>
        <v>0</v>
      </c>
      <c r="R21" s="156">
        <f>Q21*$R$19</f>
        <v>0</v>
      </c>
      <c r="S21" s="155">
        <f>IF(D21="COMED",$I$12*'BRA Load Pricing Results'!J38/'BRA Load Pricing Results'!$J$43,0)</f>
        <v>0</v>
      </c>
      <c r="T21" s="156">
        <f>S21*$T$19</f>
        <v>0</v>
      </c>
      <c r="U21" s="155">
        <f>IF(D21="BGE",$I$13*'BRA Load Pricing Results'!J38/'BRA Load Pricing Results'!$J$42,0)</f>
        <v>0</v>
      </c>
      <c r="V21" s="156">
        <f>U21*$V$19</f>
        <v>0</v>
      </c>
      <c r="W21" s="155">
        <f>IF(D21="PL",$I$14*'BRA Load Pricing Results'!J38/'BRA Load Pricing Results'!$J$55,0)</f>
        <v>0</v>
      </c>
      <c r="X21" s="156">
        <f aca="true" t="shared" si="1" ref="X21:X37">W21*$X$19</f>
        <v>0</v>
      </c>
      <c r="Y21" s="157">
        <f>MAX(E21,G21,I21,K21,M21,O21,Q21+S21+U21+W21)</f>
        <v>348.2957304551381</v>
      </c>
      <c r="Z21" s="46">
        <f>F21+H21+J21+L21+N21+P21+R21+T21+V21+X21</f>
        <v>21124.136052104124</v>
      </c>
      <c r="AA21" s="200">
        <f>Z21/'BRA Load Pricing Results'!J38</f>
        <v>7.125377881045181</v>
      </c>
      <c r="AB21" s="211">
        <f>IF(Y21=0,0,Z21/Y21)</f>
        <v>60.65</v>
      </c>
      <c r="AC21" s="47"/>
      <c r="AD21" s="33"/>
    </row>
    <row r="22" spans="1:30" ht="13.5">
      <c r="A22" s="71" t="s">
        <v>30</v>
      </c>
      <c r="B22" s="117"/>
      <c r="C22" s="117"/>
      <c r="D22" s="118"/>
      <c r="E22" s="155">
        <f>IF(B22="MAAC",$I$5*'BRA Load Pricing Results'!J39/'BRA Load Pricing Results'!$B$14,0)</f>
        <v>0</v>
      </c>
      <c r="F22" s="156">
        <f aca="true" t="shared" si="2" ref="F22:F30">E22*$F$19</f>
        <v>0</v>
      </c>
      <c r="G22" s="155">
        <f>IF(C22="EMAAC",$I$6*'BRA Load Pricing Results'!J39/'BRA Load Pricing Results'!$B$15,0)</f>
        <v>0</v>
      </c>
      <c r="H22" s="156">
        <f>G22*$H$19</f>
        <v>0</v>
      </c>
      <c r="I22" s="155">
        <f>IF(C22="SWMAAC",$I$7*'BRA Load Pricing Results'!J39/'BRA Load Pricing Results'!$B$16,0)</f>
        <v>0</v>
      </c>
      <c r="J22" s="156">
        <f>I22*$J$19</f>
        <v>0</v>
      </c>
      <c r="K22" s="155">
        <f>IF(D22="PS",$I$8*'BRA Load Pricing Results'!J39/'BRA Load Pricing Results'!$J$56,0)</f>
        <v>0</v>
      </c>
      <c r="L22" s="156">
        <f>K22*$L$19</f>
        <v>0</v>
      </c>
      <c r="M22" s="155">
        <f>IF(D22="DPL",$I$9*'BRA Load Pricing Results'!J39/'BRA Load Pricing Results'!$J$48,0)</f>
        <v>0</v>
      </c>
      <c r="N22" s="156">
        <f aca="true" t="shared" si="3" ref="N22:N36">M22*$N$19</f>
        <v>0</v>
      </c>
      <c r="O22" s="155">
        <f>IF(D22="PEPCO",$I$10*'BRA Load Pricing Results'!J39/'BRA Load Pricing Results'!$J$54,0)</f>
        <v>0</v>
      </c>
      <c r="P22" s="156">
        <f>O22*$P$19</f>
        <v>0</v>
      </c>
      <c r="Q22" s="155">
        <f>IF(D22="ATSI",$I$11*'BRA Load Pricing Results'!J39/'BRA Load Pricing Results'!$J$41,0)</f>
        <v>0</v>
      </c>
      <c r="R22" s="156">
        <f aca="true" t="shared" si="4" ref="R22:R40">Q22*$R$19</f>
        <v>0</v>
      </c>
      <c r="S22" s="155">
        <f>IF(D22="COMED",$I$12*'BRA Load Pricing Results'!J39/'BRA Load Pricing Results'!$J$43,0)</f>
        <v>0</v>
      </c>
      <c r="T22" s="156">
        <f aca="true" t="shared" si="5" ref="T22:T40">S22*$T$19</f>
        <v>0</v>
      </c>
      <c r="U22" s="155">
        <f>IF(D22="BGE",$I$13*'BRA Load Pricing Results'!J39/'BRA Load Pricing Results'!$J$42,0)</f>
        <v>0</v>
      </c>
      <c r="V22" s="156">
        <f>U22*$V$19</f>
        <v>0</v>
      </c>
      <c r="W22" s="155">
        <f>IF(D22="PL",$I$14*'BRA Load Pricing Results'!J39/'BRA Load Pricing Results'!$J$55,0)</f>
        <v>0</v>
      </c>
      <c r="X22" s="156">
        <f t="shared" si="1"/>
        <v>0</v>
      </c>
      <c r="Y22" s="157">
        <f aca="true" t="shared" si="6" ref="Y22:Y40">MAX(E22,G22,I22,K22,M22,O22,Q22+S22+U22+W22)</f>
        <v>0</v>
      </c>
      <c r="Z22" s="46">
        <f aca="true" t="shared" si="7" ref="Z22:Z39">F22+H22+J22+L22+N22+P22+R22+T22+V22+X22</f>
        <v>0</v>
      </c>
      <c r="AA22" s="200">
        <f>Z22/'BRA Load Pricing Results'!J39</f>
        <v>0</v>
      </c>
      <c r="AB22" s="211">
        <f>IF(Y22=0,0,Z22/Y22)</f>
        <v>0</v>
      </c>
      <c r="AC22" s="47"/>
      <c r="AD22" s="33"/>
    </row>
    <row r="23" spans="1:30" ht="13.5">
      <c r="A23" s="71" t="s">
        <v>19</v>
      </c>
      <c r="B23" s="117" t="s">
        <v>24</v>
      </c>
      <c r="C23" s="117"/>
      <c r="D23" s="118"/>
      <c r="E23" s="155">
        <f>IF(B23="MAAC",$I$5*'BRA Load Pricing Results'!J40/'BRA Load Pricing Results'!$B$14,0)</f>
        <v>0</v>
      </c>
      <c r="F23" s="156">
        <f t="shared" si="2"/>
        <v>0</v>
      </c>
      <c r="G23" s="155">
        <f>IF(C23="EMAAC",$I$6*'BRA Load Pricing Results'!J40/'BRA Load Pricing Results'!$B$15,0)</f>
        <v>0</v>
      </c>
      <c r="H23" s="156">
        <f>G23*$H$19</f>
        <v>0</v>
      </c>
      <c r="I23" s="155">
        <f>IF(C23="SWMAAC",$I$7*'BRA Load Pricing Results'!J40/'BRA Load Pricing Results'!$B$16,0)</f>
        <v>0</v>
      </c>
      <c r="J23" s="156">
        <f aca="true" t="shared" si="8" ref="J23:J40">I23*$J$19</f>
        <v>0</v>
      </c>
      <c r="K23" s="155">
        <f>IF(D23="PS",$I$8*'BRA Load Pricing Results'!J40/'BRA Load Pricing Results'!$J$56,0)</f>
        <v>0</v>
      </c>
      <c r="L23" s="156">
        <f>K23*$L$19</f>
        <v>0</v>
      </c>
      <c r="M23" s="155">
        <f>IF(D23="DPL",$I$9*'BRA Load Pricing Results'!J40/'BRA Load Pricing Results'!$J$48,0)</f>
        <v>0</v>
      </c>
      <c r="N23" s="156">
        <f t="shared" si="3"/>
        <v>0</v>
      </c>
      <c r="O23" s="155">
        <f>IF(D23="PEPCO",$I$10*'BRA Load Pricing Results'!J40/'BRA Load Pricing Results'!$J$54,0)</f>
        <v>0</v>
      </c>
      <c r="P23" s="156">
        <f>O23*$P$19</f>
        <v>0</v>
      </c>
      <c r="Q23" s="155">
        <f>IF(D23="ATSI",$I$11*'BRA Load Pricing Results'!J40/'BRA Load Pricing Results'!$J$41,0)</f>
        <v>0</v>
      </c>
      <c r="R23" s="156">
        <f t="shared" si="4"/>
        <v>0</v>
      </c>
      <c r="S23" s="155">
        <f>IF(D23="COMED",$I$12*'BRA Load Pricing Results'!J40/'BRA Load Pricing Results'!$J$43,0)</f>
        <v>0</v>
      </c>
      <c r="T23" s="156">
        <f t="shared" si="5"/>
        <v>0</v>
      </c>
      <c r="U23" s="155">
        <f>IF(D23="BGE",$I$13*'BRA Load Pricing Results'!J40/'BRA Load Pricing Results'!$J$42,0)</f>
        <v>0</v>
      </c>
      <c r="V23" s="156">
        <f>U23*$V$19</f>
        <v>0</v>
      </c>
      <c r="W23" s="155">
        <f>IF(D23="PL",$I$14*'BRA Load Pricing Results'!J40/'BRA Load Pricing Results'!$J$55,0)</f>
        <v>0</v>
      </c>
      <c r="X23" s="156">
        <f t="shared" si="1"/>
        <v>0</v>
      </c>
      <c r="Y23" s="157">
        <f t="shared" si="6"/>
        <v>0</v>
      </c>
      <c r="Z23" s="46">
        <f t="shared" si="7"/>
        <v>0</v>
      </c>
      <c r="AA23" s="200">
        <f>Z23/'BRA Load Pricing Results'!J40</f>
        <v>0</v>
      </c>
      <c r="AB23" s="211">
        <f>IF(Y23=0,0,Z23/Y23)</f>
        <v>0</v>
      </c>
      <c r="AC23" s="47"/>
      <c r="AD23" s="33"/>
    </row>
    <row r="24" spans="1:30" ht="13.5">
      <c r="A24" s="71" t="s">
        <v>45</v>
      </c>
      <c r="B24" s="117"/>
      <c r="C24" s="117"/>
      <c r="D24" s="118" t="s">
        <v>45</v>
      </c>
      <c r="E24" s="155">
        <f>IF(B24="MAAC",$I$5*'BRA Load Pricing Results'!J41/'BRA Load Pricing Results'!$B$14,0)</f>
        <v>0</v>
      </c>
      <c r="F24" s="156">
        <f t="shared" si="2"/>
        <v>0</v>
      </c>
      <c r="G24" s="155">
        <f>IF(C24="EMAAC",$I$6*'BRA Load Pricing Results'!J41/'BRA Load Pricing Results'!$B$15,0)</f>
        <v>0</v>
      </c>
      <c r="H24" s="156">
        <f>G24*$H$19</f>
        <v>0</v>
      </c>
      <c r="I24" s="155">
        <f>IF(C24="SWMAAC",$I$7*'BRA Load Pricing Results'!J41/'BRA Load Pricing Results'!$B$16,0)</f>
        <v>0</v>
      </c>
      <c r="J24" s="156">
        <f t="shared" si="8"/>
        <v>0</v>
      </c>
      <c r="K24" s="155">
        <f>IF(D24="PS",$I$8*'BRA Load Pricing Results'!J41/'BRA Load Pricing Results'!$J$56,0)</f>
        <v>0</v>
      </c>
      <c r="L24" s="156">
        <f aca="true" t="shared" si="9" ref="L24:L40">K24*$L$19</f>
        <v>0</v>
      </c>
      <c r="M24" s="155">
        <f>IF(D24="DPL",$I$9*'BRA Load Pricing Results'!J41/'BRA Load Pricing Results'!$J$48,0)</f>
        <v>0</v>
      </c>
      <c r="N24" s="156">
        <f t="shared" si="3"/>
        <v>0</v>
      </c>
      <c r="O24" s="155">
        <f>IF(D24="PEPCO",$I$10*'BRA Load Pricing Results'!J41/'BRA Load Pricing Results'!$J$54,0)</f>
        <v>0</v>
      </c>
      <c r="P24" s="156">
        <f aca="true" t="shared" si="10" ref="P24:P36">O24*$P$19</f>
        <v>0</v>
      </c>
      <c r="Q24" s="155">
        <f>IF(D24="ATSI",$I$11*'BRA Load Pricing Results'!J41/'BRA Load Pricing Results'!$J$41,0)</f>
        <v>4374.6897255954445</v>
      </c>
      <c r="R24" s="156">
        <f>Q24*$R$19</f>
        <v>0</v>
      </c>
      <c r="S24" s="155">
        <f>IF(D24="COMED",$I$12*'BRA Load Pricing Results'!J41/'BRA Load Pricing Results'!$J$43,0)</f>
        <v>0</v>
      </c>
      <c r="T24" s="156">
        <f t="shared" si="5"/>
        <v>0</v>
      </c>
      <c r="U24" s="155">
        <f>IF(D24="BGE",$I$13*'BRA Load Pricing Results'!J41/'BRA Load Pricing Results'!$J$42,0)</f>
        <v>0</v>
      </c>
      <c r="V24" s="156">
        <f>U24*$V$19</f>
        <v>0</v>
      </c>
      <c r="W24" s="155">
        <f>IF(D24="PL",$I$14*'BRA Load Pricing Results'!J41/'BRA Load Pricing Results'!$J$55,0)</f>
        <v>0</v>
      </c>
      <c r="X24" s="156">
        <f t="shared" si="1"/>
        <v>0</v>
      </c>
      <c r="Y24" s="157">
        <f t="shared" si="6"/>
        <v>4374.6897255954445</v>
      </c>
      <c r="Z24" s="46">
        <f t="shared" si="7"/>
        <v>0</v>
      </c>
      <c r="AA24" s="200">
        <f>Z24/'BRA Load Pricing Results'!J41</f>
        <v>0</v>
      </c>
      <c r="AB24" s="211">
        <f>IF(Y24=0,0,Z24/Y24)</f>
        <v>0</v>
      </c>
      <c r="AC24" s="47"/>
      <c r="AD24" s="33"/>
    </row>
    <row r="25" spans="1:30" ht="13.5">
      <c r="A25" s="71" t="s">
        <v>11</v>
      </c>
      <c r="B25" s="117" t="s">
        <v>29</v>
      </c>
      <c r="C25" s="117" t="s">
        <v>5</v>
      </c>
      <c r="D25" s="118" t="s">
        <v>11</v>
      </c>
      <c r="E25" s="155">
        <f>IF(B25="MAAC",$I$5*'BRA Load Pricing Results'!J42/'BRA Load Pricing Results'!$B$14,0)</f>
        <v>0</v>
      </c>
      <c r="F25" s="156">
        <f>E25*$F$19</f>
        <v>0</v>
      </c>
      <c r="G25" s="155">
        <f>IF(C25="EMAAC",$I$6*'BRA Load Pricing Results'!J42/'BRA Load Pricing Results'!$B$15,0)</f>
        <v>0</v>
      </c>
      <c r="H25" s="156">
        <f aca="true" t="shared" si="11" ref="H25:H38">G25*$H$19</f>
        <v>0</v>
      </c>
      <c r="I25" s="155">
        <f>IF(C25="SWMAAC",$I$7*'BRA Load Pricing Results'!J42/'BRA Load Pricing Results'!$B$16,0)</f>
        <v>1582.8184760084741</v>
      </c>
      <c r="J25" s="156">
        <f>I25*$J$19</f>
        <v>0</v>
      </c>
      <c r="K25" s="155">
        <f>IF(D25="PS",$I$8*'BRA Load Pricing Results'!J42/'BRA Load Pricing Results'!$J$56,0)</f>
        <v>0</v>
      </c>
      <c r="L25" s="156">
        <f t="shared" si="9"/>
        <v>0</v>
      </c>
      <c r="M25" s="155">
        <f>IF(D25="DPL",$I$9*'BRA Load Pricing Results'!J42/'BRA Load Pricing Results'!$J$48,0)</f>
        <v>0</v>
      </c>
      <c r="N25" s="156">
        <f t="shared" si="3"/>
        <v>0</v>
      </c>
      <c r="O25" s="155">
        <f>IF(D25="PEPCO",$I$10*'BRA Load Pricing Results'!J42/'BRA Load Pricing Results'!$J$54,0)</f>
        <v>0</v>
      </c>
      <c r="P25" s="156">
        <f t="shared" si="10"/>
        <v>0</v>
      </c>
      <c r="Q25" s="155">
        <f>IF(D25="ATSI",$I$11*'BRA Load Pricing Results'!J42/'BRA Load Pricing Results'!$J$41,0)</f>
        <v>0</v>
      </c>
      <c r="R25" s="156">
        <f t="shared" si="4"/>
        <v>0</v>
      </c>
      <c r="S25" s="155">
        <f>IF(D25="COMED",$I$12*'BRA Load Pricing Results'!J42/'BRA Load Pricing Results'!$J$43,0)</f>
        <v>0</v>
      </c>
      <c r="T25" s="156">
        <f t="shared" si="5"/>
        <v>0</v>
      </c>
      <c r="U25" s="155">
        <f>IF(D25="BGE",$I$13*'BRA Load Pricing Results'!J42/'BRA Load Pricing Results'!$J$42,0)</f>
        <v>4345.56007754217</v>
      </c>
      <c r="V25" s="156">
        <f>U25*$V$19</f>
        <v>0</v>
      </c>
      <c r="W25" s="155">
        <f>IF(D25="PL",$I$14*'BRA Load Pricing Results'!J42/'BRA Load Pricing Results'!$J$55,0)</f>
        <v>0</v>
      </c>
      <c r="X25" s="156">
        <f t="shared" si="1"/>
        <v>0</v>
      </c>
      <c r="Y25" s="157">
        <f t="shared" si="6"/>
        <v>4345.56007754217</v>
      </c>
      <c r="Z25" s="46">
        <f t="shared" si="7"/>
        <v>0</v>
      </c>
      <c r="AA25" s="200">
        <f>Z25/'BRA Load Pricing Results'!J42</f>
        <v>0</v>
      </c>
      <c r="AB25" s="211">
        <f>IF(Y25=0,0,Z25/Y25)</f>
        <v>0</v>
      </c>
      <c r="AC25" s="47"/>
      <c r="AD25" s="33"/>
    </row>
    <row r="26" spans="1:30" ht="13.5">
      <c r="A26" s="71" t="s">
        <v>20</v>
      </c>
      <c r="B26" s="117"/>
      <c r="C26" s="117"/>
      <c r="D26" s="118" t="s">
        <v>20</v>
      </c>
      <c r="E26" s="155">
        <f>IF(B26="MAAC",$I$5*'BRA Load Pricing Results'!J43/'BRA Load Pricing Results'!$B$14,0)</f>
        <v>0</v>
      </c>
      <c r="F26" s="156">
        <f t="shared" si="2"/>
        <v>0</v>
      </c>
      <c r="G26" s="155">
        <f>IF(C26="EMAAC",$I$6*'BRA Load Pricing Results'!J43/'BRA Load Pricing Results'!$B$15,0)</f>
        <v>0</v>
      </c>
      <c r="H26" s="156">
        <f t="shared" si="11"/>
        <v>0</v>
      </c>
      <c r="I26" s="155">
        <f>IF(C26="SWMAAC",$I$7*'BRA Load Pricing Results'!J43/'BRA Load Pricing Results'!$B$16,0)</f>
        <v>0</v>
      </c>
      <c r="J26" s="156">
        <f t="shared" si="8"/>
        <v>0</v>
      </c>
      <c r="K26" s="155">
        <f>IF(D26="PS",$I$8*'BRA Load Pricing Results'!J43/'BRA Load Pricing Results'!$J$56,0)</f>
        <v>0</v>
      </c>
      <c r="L26" s="156">
        <f t="shared" si="9"/>
        <v>0</v>
      </c>
      <c r="M26" s="155">
        <f>IF(D26="DPL",$I$9*'BRA Load Pricing Results'!J43/'BRA Load Pricing Results'!$J$48,0)</f>
        <v>0</v>
      </c>
      <c r="N26" s="156">
        <f t="shared" si="3"/>
        <v>0</v>
      </c>
      <c r="O26" s="155">
        <f>IF(D26="PEPCO",$I$10*'BRA Load Pricing Results'!J43/'BRA Load Pricing Results'!$J$54,0)</f>
        <v>0</v>
      </c>
      <c r="P26" s="156">
        <f t="shared" si="10"/>
        <v>0</v>
      </c>
      <c r="Q26" s="155">
        <f>IF(D26="ATSI",$I$11*'BRA Load Pricing Results'!J43/'BRA Load Pricing Results'!$J$41,0)</f>
        <v>0</v>
      </c>
      <c r="R26" s="156">
        <f t="shared" si="4"/>
        <v>0</v>
      </c>
      <c r="S26" s="159">
        <f>IF(D26="COMED",$I$12*'BRA Load Pricing Results'!J43/'BRA Load Pricing Results'!$J$43,0)</f>
        <v>2134.157643339444</v>
      </c>
      <c r="T26" s="156">
        <f t="shared" si="5"/>
        <v>107198.73842494025</v>
      </c>
      <c r="U26" s="155">
        <f>IF(D26="BGE",$I$13*'BRA Load Pricing Results'!J43/'BRA Load Pricing Results'!$J$42,0)</f>
        <v>0</v>
      </c>
      <c r="V26" s="156">
        <f aca="true" t="shared" si="12" ref="V26:V40">U26*$V$19</f>
        <v>0</v>
      </c>
      <c r="W26" s="155">
        <f>IF(D26="PL",$I$14*'BRA Load Pricing Results'!J43/'BRA Load Pricing Results'!$J$55,0)</f>
        <v>0</v>
      </c>
      <c r="X26" s="156">
        <f t="shared" si="1"/>
        <v>0</v>
      </c>
      <c r="Y26" s="157">
        <f t="shared" si="6"/>
        <v>2134.157643339444</v>
      </c>
      <c r="Z26" s="46">
        <f t="shared" si="7"/>
        <v>107198.73842494025</v>
      </c>
      <c r="AA26" s="200">
        <f>Z26/'BRA Load Pricing Results'!J43</f>
        <v>4.2113769929523945</v>
      </c>
      <c r="AB26" s="211">
        <f aca="true" t="shared" si="13" ref="AB26:AB40">IF(Y26=0,0,Z26/Y26)</f>
        <v>50.23</v>
      </c>
      <c r="AC26" s="47"/>
      <c r="AD26" s="33"/>
    </row>
    <row r="27" spans="1:30" ht="13.5">
      <c r="A27" s="71" t="s">
        <v>21</v>
      </c>
      <c r="B27" s="117"/>
      <c r="C27" s="117"/>
      <c r="D27" s="118"/>
      <c r="E27" s="155">
        <f>IF(B27="MAAC",$I$5*'BRA Load Pricing Results'!J44/'BRA Load Pricing Results'!$B$14,0)</f>
        <v>0</v>
      </c>
      <c r="F27" s="156">
        <f t="shared" si="2"/>
        <v>0</v>
      </c>
      <c r="G27" s="155">
        <f>IF(C27="EMAAC",$I$6*'BRA Load Pricing Results'!J44/'BRA Load Pricing Results'!$B$15,0)</f>
        <v>0</v>
      </c>
      <c r="H27" s="156">
        <f>G27*$H$19</f>
        <v>0</v>
      </c>
      <c r="I27" s="155">
        <f>IF(C27="SWMAAC",$I$7*'BRA Load Pricing Results'!J44/'BRA Load Pricing Results'!$B$16,0)</f>
        <v>0</v>
      </c>
      <c r="J27" s="156">
        <f>I27*$J$19</f>
        <v>0</v>
      </c>
      <c r="K27" s="155">
        <f>IF(D27="PS",$I$8*'BRA Load Pricing Results'!J44/'BRA Load Pricing Results'!$J$56,0)</f>
        <v>0</v>
      </c>
      <c r="L27" s="156">
        <f t="shared" si="9"/>
        <v>0</v>
      </c>
      <c r="M27" s="155">
        <f>IF(D27="DPL",$I$9*'BRA Load Pricing Results'!J44/'BRA Load Pricing Results'!$J$48,0)</f>
        <v>0</v>
      </c>
      <c r="N27" s="156">
        <f t="shared" si="3"/>
        <v>0</v>
      </c>
      <c r="O27" s="155">
        <f>IF(D27="PEPCO",$I$10*'BRA Load Pricing Results'!J44/'BRA Load Pricing Results'!$J$54,0)</f>
        <v>0</v>
      </c>
      <c r="P27" s="156">
        <f t="shared" si="10"/>
        <v>0</v>
      </c>
      <c r="Q27" s="155">
        <f>IF(D27="ATSI",$I$11*'BRA Load Pricing Results'!J44/'BRA Load Pricing Results'!$J$41,0)</f>
        <v>0</v>
      </c>
      <c r="R27" s="156">
        <f t="shared" si="4"/>
        <v>0</v>
      </c>
      <c r="S27" s="155">
        <f>IF(D27="COMED",$I$12*'BRA Load Pricing Results'!J44/'BRA Load Pricing Results'!$J$43,0)</f>
        <v>0</v>
      </c>
      <c r="T27" s="156">
        <f t="shared" si="5"/>
        <v>0</v>
      </c>
      <c r="U27" s="155">
        <f>IF(D27="BGE",$I$13*'BRA Load Pricing Results'!J44/'BRA Load Pricing Results'!$J$42,0)</f>
        <v>0</v>
      </c>
      <c r="V27" s="156">
        <f t="shared" si="12"/>
        <v>0</v>
      </c>
      <c r="W27" s="155">
        <f>IF(D27="PL",$I$14*'BRA Load Pricing Results'!J44/'BRA Load Pricing Results'!$J$55,0)</f>
        <v>0</v>
      </c>
      <c r="X27" s="156">
        <f t="shared" si="1"/>
        <v>0</v>
      </c>
      <c r="Y27" s="157">
        <f t="shared" si="6"/>
        <v>0</v>
      </c>
      <c r="Z27" s="46">
        <f t="shared" si="7"/>
        <v>0</v>
      </c>
      <c r="AA27" s="200">
        <f>Z27/'BRA Load Pricing Results'!J44</f>
        <v>0</v>
      </c>
      <c r="AB27" s="211">
        <f t="shared" si="13"/>
        <v>0</v>
      </c>
      <c r="AC27" s="47"/>
      <c r="AD27" s="33"/>
    </row>
    <row r="28" spans="1:30" ht="13.5">
      <c r="A28" s="71" t="s">
        <v>55</v>
      </c>
      <c r="B28" s="117"/>
      <c r="C28" s="117"/>
      <c r="D28" s="118"/>
      <c r="E28" s="155">
        <f>IF(B28="MAAC",$I$5*'BRA Load Pricing Results'!J45/'BRA Load Pricing Results'!$B$14,0)</f>
        <v>0</v>
      </c>
      <c r="F28" s="156">
        <f t="shared" si="2"/>
        <v>0</v>
      </c>
      <c r="G28" s="155">
        <f>IF(C28="EMAAC",$I$6*'BRA Load Pricing Results'!J45/'BRA Load Pricing Results'!$B$15,0)</f>
        <v>0</v>
      </c>
      <c r="H28" s="156">
        <f>G28*$H$19</f>
        <v>0</v>
      </c>
      <c r="I28" s="155">
        <f>IF(C28="SWMAAC",$I$7*'BRA Load Pricing Results'!J45/'BRA Load Pricing Results'!$B$16,0)</f>
        <v>0</v>
      </c>
      <c r="J28" s="156">
        <f>I28*$J$19</f>
        <v>0</v>
      </c>
      <c r="K28" s="155">
        <f>IF(D28="PS",$I$8*'BRA Load Pricing Results'!J45/'BRA Load Pricing Results'!$J$56,0)</f>
        <v>0</v>
      </c>
      <c r="L28" s="156">
        <f>K28*$L$19</f>
        <v>0</v>
      </c>
      <c r="M28" s="155">
        <f>IF(D28="DPL",$I$9*'BRA Load Pricing Results'!J45/'BRA Load Pricing Results'!$J$48,0)</f>
        <v>0</v>
      </c>
      <c r="N28" s="156">
        <f>M28*$N$19</f>
        <v>0</v>
      </c>
      <c r="O28" s="155">
        <f>IF(D28="PEPCO",$I$10*'BRA Load Pricing Results'!J45/'BRA Load Pricing Results'!$J$54,0)</f>
        <v>0</v>
      </c>
      <c r="P28" s="156">
        <f>O28*$P$19</f>
        <v>0</v>
      </c>
      <c r="Q28" s="155">
        <f>IF(D28="ATSI",$I$11*'BRA Load Pricing Results'!J45/'BRA Load Pricing Results'!$J$41,0)</f>
        <v>0</v>
      </c>
      <c r="R28" s="156">
        <f t="shared" si="4"/>
        <v>0</v>
      </c>
      <c r="S28" s="155">
        <f>IF(D28="COMED",$I$12*'BRA Load Pricing Results'!J45/'BRA Load Pricing Results'!$J$43,0)</f>
        <v>0</v>
      </c>
      <c r="T28" s="156">
        <f t="shared" si="5"/>
        <v>0</v>
      </c>
      <c r="U28" s="155">
        <f>IF(D28="BGE",$I$13*'BRA Load Pricing Results'!J45/'BRA Load Pricing Results'!$J$42,0)</f>
        <v>0</v>
      </c>
      <c r="V28" s="156">
        <f t="shared" si="12"/>
        <v>0</v>
      </c>
      <c r="W28" s="155">
        <f>IF(D28="PL",$I$14*'BRA Load Pricing Results'!J45/'BRA Load Pricing Results'!$J$55,0)</f>
        <v>0</v>
      </c>
      <c r="X28" s="156">
        <f t="shared" si="1"/>
        <v>0</v>
      </c>
      <c r="Y28" s="157">
        <f t="shared" si="6"/>
        <v>0</v>
      </c>
      <c r="Z28" s="46">
        <f t="shared" si="7"/>
        <v>0</v>
      </c>
      <c r="AA28" s="200">
        <f>Z28/'BRA Load Pricing Results'!J45</f>
        <v>0</v>
      </c>
      <c r="AB28" s="211">
        <f t="shared" si="13"/>
        <v>0</v>
      </c>
      <c r="AC28" s="47"/>
      <c r="AD28" s="33"/>
    </row>
    <row r="29" spans="1:30" ht="13.5">
      <c r="A29" s="71" t="s">
        <v>44</v>
      </c>
      <c r="B29" s="117"/>
      <c r="C29" s="117"/>
      <c r="D29" s="118"/>
      <c r="E29" s="155">
        <f>IF(B29="MAAC",$I$5*'BRA Load Pricing Results'!J46/'BRA Load Pricing Results'!$B$14,0)</f>
        <v>0</v>
      </c>
      <c r="F29" s="156">
        <f t="shared" si="2"/>
        <v>0</v>
      </c>
      <c r="G29" s="155">
        <f>IF(C29="EMAAC",$I$6*'BRA Load Pricing Results'!J46/'BRA Load Pricing Results'!$B$15,0)</f>
        <v>0</v>
      </c>
      <c r="H29" s="156">
        <f>G29*$H$19</f>
        <v>0</v>
      </c>
      <c r="I29" s="155">
        <f>IF(C29="SWMAAC",$I$7*'BRA Load Pricing Results'!J46/'BRA Load Pricing Results'!$B$16,0)</f>
        <v>0</v>
      </c>
      <c r="J29" s="156">
        <f>I29*$J$19</f>
        <v>0</v>
      </c>
      <c r="K29" s="155">
        <f>IF(D29="PS",$I$8*'BRA Load Pricing Results'!J46/'BRA Load Pricing Results'!$J$56,0)</f>
        <v>0</v>
      </c>
      <c r="L29" s="156">
        <f>K29*$L$19</f>
        <v>0</v>
      </c>
      <c r="M29" s="155">
        <f>IF(D29="DPL",$I$9*'BRA Load Pricing Results'!J46/'BRA Load Pricing Results'!$J$48,0)</f>
        <v>0</v>
      </c>
      <c r="N29" s="156">
        <f>M29*$N$19</f>
        <v>0</v>
      </c>
      <c r="O29" s="155">
        <f>IF(D29="PEPCO",$I$10*'BRA Load Pricing Results'!#REF!/'BRA Load Pricing Results'!$J$54,0)</f>
        <v>0</v>
      </c>
      <c r="P29" s="156">
        <f>O29*$P$19</f>
        <v>0</v>
      </c>
      <c r="Q29" s="155">
        <f>IF(D29="ATSI",$I$11*'BRA Load Pricing Results'!J46/'BRA Load Pricing Results'!$J$41,0)</f>
        <v>0</v>
      </c>
      <c r="R29" s="156">
        <f t="shared" si="4"/>
        <v>0</v>
      </c>
      <c r="S29" s="155">
        <f>IF(D29="COMED",$I$12*'BRA Load Pricing Results'!J46/'BRA Load Pricing Results'!$J$43,0)</f>
        <v>0</v>
      </c>
      <c r="T29" s="156">
        <f t="shared" si="5"/>
        <v>0</v>
      </c>
      <c r="U29" s="155">
        <f>IF(D29="BGE",$I$13*'BRA Load Pricing Results'!J46/'BRA Load Pricing Results'!$J$42,0)</f>
        <v>0</v>
      </c>
      <c r="V29" s="156">
        <f t="shared" si="12"/>
        <v>0</v>
      </c>
      <c r="W29" s="155">
        <f>IF(D29="PL",$I$14*'BRA Load Pricing Results'!J46/'BRA Load Pricing Results'!$J$55,0)</f>
        <v>0</v>
      </c>
      <c r="X29" s="156">
        <f t="shared" si="1"/>
        <v>0</v>
      </c>
      <c r="Y29" s="157">
        <f t="shared" si="6"/>
        <v>0</v>
      </c>
      <c r="Z29" s="46">
        <f t="shared" si="7"/>
        <v>0</v>
      </c>
      <c r="AA29" s="200">
        <f>Z29/'BRA Load Pricing Results'!J46</f>
        <v>0</v>
      </c>
      <c r="AB29" s="211">
        <f t="shared" si="13"/>
        <v>0</v>
      </c>
      <c r="AC29" s="47"/>
      <c r="AD29" s="33"/>
    </row>
    <row r="30" spans="1:30" ht="13.5">
      <c r="A30" s="71" t="s">
        <v>31</v>
      </c>
      <c r="B30" s="117"/>
      <c r="C30" s="117"/>
      <c r="D30" s="118"/>
      <c r="E30" s="155">
        <f>IF(B30="MAAC",$I$5*'BRA Load Pricing Results'!J47/'BRA Load Pricing Results'!$B$14,0)</f>
        <v>0</v>
      </c>
      <c r="F30" s="156">
        <f t="shared" si="2"/>
        <v>0</v>
      </c>
      <c r="G30" s="155">
        <f>IF(C30="EMAAC",$I$6*'BRA Load Pricing Results'!J47/'BRA Load Pricing Results'!$B$15,0)</f>
        <v>0</v>
      </c>
      <c r="H30" s="156">
        <f t="shared" si="11"/>
        <v>0</v>
      </c>
      <c r="I30" s="155">
        <f>IF(C30="SWMAAC",$I$7*'BRA Load Pricing Results'!J47/'BRA Load Pricing Results'!$B$16,0)</f>
        <v>0</v>
      </c>
      <c r="J30" s="156">
        <f t="shared" si="8"/>
        <v>0</v>
      </c>
      <c r="K30" s="155">
        <f>IF(D30="PS",$I$8*'BRA Load Pricing Results'!J47/'BRA Load Pricing Results'!$J$56,0)</f>
        <v>0</v>
      </c>
      <c r="L30" s="156">
        <f t="shared" si="9"/>
        <v>0</v>
      </c>
      <c r="M30" s="155">
        <f>IF(D30="DPL",$I$9*'BRA Load Pricing Results'!J47/'BRA Load Pricing Results'!$J$48,0)</f>
        <v>0</v>
      </c>
      <c r="N30" s="156">
        <f t="shared" si="3"/>
        <v>0</v>
      </c>
      <c r="O30" s="155">
        <f>IF(D30="PEPCO",$I$10*'BRA Load Pricing Results'!J47/'BRA Load Pricing Results'!$J$54,0)</f>
        <v>0</v>
      </c>
      <c r="P30" s="156">
        <f t="shared" si="10"/>
        <v>0</v>
      </c>
      <c r="Q30" s="155">
        <f>IF(D30="ATSI",$I$11*'BRA Load Pricing Results'!J47/'BRA Load Pricing Results'!$J$41,0)</f>
        <v>0</v>
      </c>
      <c r="R30" s="156">
        <f t="shared" si="4"/>
        <v>0</v>
      </c>
      <c r="S30" s="155">
        <f>IF(D30="COMED",$I$12*'BRA Load Pricing Results'!J47/'BRA Load Pricing Results'!$J$43,0)</f>
        <v>0</v>
      </c>
      <c r="T30" s="156">
        <f t="shared" si="5"/>
        <v>0</v>
      </c>
      <c r="U30" s="155">
        <f>IF(D30="BGE",$I$13*'BRA Load Pricing Results'!J47/'BRA Load Pricing Results'!$J$42,0)</f>
        <v>0</v>
      </c>
      <c r="V30" s="156">
        <f t="shared" si="12"/>
        <v>0</v>
      </c>
      <c r="W30" s="155">
        <f>IF(D30="PL",$I$14*'BRA Load Pricing Results'!J47/'BRA Load Pricing Results'!$J$55,0)</f>
        <v>0</v>
      </c>
      <c r="X30" s="156">
        <f t="shared" si="1"/>
        <v>0</v>
      </c>
      <c r="Y30" s="157">
        <f t="shared" si="6"/>
        <v>0</v>
      </c>
      <c r="Z30" s="46">
        <f t="shared" si="7"/>
        <v>0</v>
      </c>
      <c r="AA30" s="200">
        <f>Z30/'BRA Load Pricing Results'!J47</f>
        <v>0</v>
      </c>
      <c r="AB30" s="211">
        <f t="shared" si="13"/>
        <v>0</v>
      </c>
      <c r="AC30" s="47"/>
      <c r="AD30" s="33"/>
    </row>
    <row r="31" spans="1:30" ht="13.5">
      <c r="A31" s="71" t="s">
        <v>17</v>
      </c>
      <c r="B31" s="117" t="s">
        <v>29</v>
      </c>
      <c r="C31" s="117" t="s">
        <v>35</v>
      </c>
      <c r="D31" s="118" t="s">
        <v>17</v>
      </c>
      <c r="E31" s="155">
        <f>IF(B31="MAAC",$I$5*'BRA Load Pricing Results'!J48/'BRA Load Pricing Results'!$B$14,0)</f>
        <v>0</v>
      </c>
      <c r="F31" s="156">
        <f aca="true" t="shared" si="14" ref="F31:F40">E31*$F$19</f>
        <v>0</v>
      </c>
      <c r="G31" s="155">
        <f>IF(C31="EMAAC",$I$6*'BRA Load Pricing Results'!J48/'BRA Load Pricing Results'!$B$15,0)</f>
        <v>550.6087401728151</v>
      </c>
      <c r="H31" s="156">
        <f>G31*$H$19</f>
        <v>33394.42009148124</v>
      </c>
      <c r="I31" s="155">
        <f>IF(C31="SWMAAC",$I$7*'BRA Load Pricing Results'!J48/'BRA Load Pricing Results'!$B$16,0)</f>
        <v>0</v>
      </c>
      <c r="J31" s="156">
        <f t="shared" si="8"/>
        <v>0</v>
      </c>
      <c r="K31" s="155">
        <f>IF(D31="PS",$I$8*'BRA Load Pricing Results'!J48/'BRA Load Pricing Results'!$J$56,0)</f>
        <v>0</v>
      </c>
      <c r="L31" s="156">
        <f t="shared" si="9"/>
        <v>0</v>
      </c>
      <c r="M31" s="155">
        <f>IF(D31="DPL",$I$9*'BRA Load Pricing Results'!J48/'BRA Load Pricing Results'!$J$48,0)</f>
        <v>0</v>
      </c>
      <c r="N31" s="156">
        <f t="shared" si="3"/>
        <v>0</v>
      </c>
      <c r="O31" s="155">
        <f>IF(D31="PEPCO",$I$10*'BRA Load Pricing Results'!J48/'BRA Load Pricing Results'!$J$54,0)</f>
        <v>0</v>
      </c>
      <c r="P31" s="156">
        <f t="shared" si="10"/>
        <v>0</v>
      </c>
      <c r="Q31" s="155">
        <f>IF(D31="ATSI",$I$11*'BRA Load Pricing Results'!J48/'BRA Load Pricing Results'!$J$41,0)</f>
        <v>0</v>
      </c>
      <c r="R31" s="156">
        <f t="shared" si="4"/>
        <v>0</v>
      </c>
      <c r="S31" s="155">
        <f>IF(D31="COMED",$I$12*'BRA Load Pricing Results'!J48/'BRA Load Pricing Results'!$J$43,0)</f>
        <v>0</v>
      </c>
      <c r="T31" s="156">
        <f t="shared" si="5"/>
        <v>0</v>
      </c>
      <c r="U31" s="155">
        <f>IF(D31="BGE",$I$13*'BRA Load Pricing Results'!J48/'BRA Load Pricing Results'!$J$42,0)</f>
        <v>0</v>
      </c>
      <c r="V31" s="156">
        <f t="shared" si="12"/>
        <v>0</v>
      </c>
      <c r="W31" s="155">
        <f>IF(D31="PL",$I$14*'BRA Load Pricing Results'!J48/'BRA Load Pricing Results'!$J$55,0)</f>
        <v>0</v>
      </c>
      <c r="X31" s="156">
        <f t="shared" si="1"/>
        <v>0</v>
      </c>
      <c r="Y31" s="157">
        <f t="shared" si="6"/>
        <v>550.6087401728151</v>
      </c>
      <c r="Z31" s="46">
        <f t="shared" si="7"/>
        <v>33394.42009148124</v>
      </c>
      <c r="AA31" s="200">
        <f>Z31/'BRA Load Pricing Results'!J48</f>
        <v>7.125377881045181</v>
      </c>
      <c r="AB31" s="211">
        <f t="shared" si="13"/>
        <v>60.65</v>
      </c>
      <c r="AC31" s="47"/>
      <c r="AD31" s="33"/>
    </row>
    <row r="32" spans="1:30" ht="13.5">
      <c r="A32" s="71" t="s">
        <v>136</v>
      </c>
      <c r="B32" s="117"/>
      <c r="C32" s="117"/>
      <c r="D32" s="118"/>
      <c r="E32" s="155">
        <f>IF(B32="MAAC",$I$5*'BRA Load Pricing Results'!J49/'BRA Load Pricing Results'!$B$14,0)</f>
        <v>0</v>
      </c>
      <c r="F32" s="156">
        <f t="shared" si="14"/>
        <v>0</v>
      </c>
      <c r="G32" s="155">
        <f>IF(C32="EMAAC",$I$6*'BRA Load Pricing Results'!J49/'BRA Load Pricing Results'!$B$15,0)</f>
        <v>0</v>
      </c>
      <c r="H32" s="156">
        <f>G32*$H$19</f>
        <v>0</v>
      </c>
      <c r="I32" s="155">
        <f>IF(C32="SWMAAC",$I$7*'BRA Load Pricing Results'!J49/'BRA Load Pricing Results'!$B$16,0)</f>
        <v>0</v>
      </c>
      <c r="J32" s="156">
        <f>I32*$J$19</f>
        <v>0</v>
      </c>
      <c r="K32" s="155">
        <f>IF(D32="PS",$I$8*'BRA Load Pricing Results'!J49/'BRA Load Pricing Results'!$J$56,0)</f>
        <v>0</v>
      </c>
      <c r="L32" s="156">
        <f>K32*$L$19</f>
        <v>0</v>
      </c>
      <c r="M32" s="155">
        <f>IF(D32="DPL",$I$9*'BRA Load Pricing Results'!J49/'BRA Load Pricing Results'!$J$48,0)</f>
        <v>0</v>
      </c>
      <c r="N32" s="156">
        <f>M32*$N$19</f>
        <v>0</v>
      </c>
      <c r="O32" s="155">
        <f>IF(D32="PEPCO",$I$10*'BRA Load Pricing Results'!J49/'BRA Load Pricing Results'!$J$54,0)</f>
        <v>0</v>
      </c>
      <c r="P32" s="156">
        <f>O32*$P$19</f>
        <v>0</v>
      </c>
      <c r="Q32" s="155">
        <f>IF(D32="ATSI",$I$11*'BRA Load Pricing Results'!J49/'BRA Load Pricing Results'!$J$41,0)</f>
        <v>0</v>
      </c>
      <c r="R32" s="156">
        <f>Q32*$R$19</f>
        <v>0</v>
      </c>
      <c r="S32" s="155">
        <f>IF(D32="COMED",$I$12*'BRA Load Pricing Results'!J49/'BRA Load Pricing Results'!$J$43,0)</f>
        <v>0</v>
      </c>
      <c r="T32" s="156">
        <f t="shared" si="5"/>
        <v>0</v>
      </c>
      <c r="U32" s="155">
        <f>IF(D32="BGE",$I$13*'BRA Load Pricing Results'!J49/'BRA Load Pricing Results'!$J$42,0)</f>
        <v>0</v>
      </c>
      <c r="V32" s="156">
        <f t="shared" si="12"/>
        <v>0</v>
      </c>
      <c r="W32" s="155">
        <f>IF(D32="PL",$I$14*'BRA Load Pricing Results'!J49/'BRA Load Pricing Results'!$J$55,0)</f>
        <v>0</v>
      </c>
      <c r="X32" s="156">
        <f t="shared" si="1"/>
        <v>0</v>
      </c>
      <c r="Y32" s="157">
        <f t="shared" si="6"/>
        <v>0</v>
      </c>
      <c r="Z32" s="46">
        <f t="shared" si="7"/>
        <v>0</v>
      </c>
      <c r="AA32" s="200">
        <f>Z32/'BRA Load Pricing Results'!J49</f>
        <v>0</v>
      </c>
      <c r="AB32" s="211">
        <f>IF(Y32=0,0,Z32/Y32)</f>
        <v>0</v>
      </c>
      <c r="AC32" s="47"/>
      <c r="AD32" s="33"/>
    </row>
    <row r="33" spans="1:30" ht="13.5">
      <c r="A33" s="71" t="s">
        <v>12</v>
      </c>
      <c r="B33" s="117" t="s">
        <v>29</v>
      </c>
      <c r="C33" s="117" t="s">
        <v>35</v>
      </c>
      <c r="D33" s="118"/>
      <c r="E33" s="155">
        <f>IF(B33="MAAC",$I$5*'BRA Load Pricing Results'!J50/'BRA Load Pricing Results'!$B$14,0)</f>
        <v>0</v>
      </c>
      <c r="F33" s="156">
        <f t="shared" si="14"/>
        <v>0</v>
      </c>
      <c r="G33" s="155">
        <f>IF(C33="EMAAC",$I$6*'BRA Load Pricing Results'!J50/'BRA Load Pricing Results'!$B$15,0)</f>
        <v>824.5908030061661</v>
      </c>
      <c r="H33" s="156">
        <f>G33*$H$19</f>
        <v>50011.43220232397</v>
      </c>
      <c r="I33" s="155">
        <f>IF(C33="SWMAAC",$I$7*'BRA Load Pricing Results'!J50/'BRA Load Pricing Results'!$B$16,0)</f>
        <v>0</v>
      </c>
      <c r="J33" s="156">
        <f t="shared" si="8"/>
        <v>0</v>
      </c>
      <c r="K33" s="155">
        <f>IF(D33="PS",$I$8*'BRA Load Pricing Results'!J50/'BRA Load Pricing Results'!$J$56,0)</f>
        <v>0</v>
      </c>
      <c r="L33" s="156">
        <f t="shared" si="9"/>
        <v>0</v>
      </c>
      <c r="M33" s="155">
        <f>IF(D33="DPL",$I$9*'BRA Load Pricing Results'!J50/'BRA Load Pricing Results'!$J$48,0)</f>
        <v>0</v>
      </c>
      <c r="N33" s="156">
        <f t="shared" si="3"/>
        <v>0</v>
      </c>
      <c r="O33" s="155">
        <f>IF(D33="PEPCO",$I$10*'BRA Load Pricing Results'!J50/'BRA Load Pricing Results'!$J$54,0)</f>
        <v>0</v>
      </c>
      <c r="P33" s="156">
        <f t="shared" si="10"/>
        <v>0</v>
      </c>
      <c r="Q33" s="155">
        <f>IF(D33="ATSI",$I$11*'BRA Load Pricing Results'!J50/'BRA Load Pricing Results'!$J$41,0)</f>
        <v>0</v>
      </c>
      <c r="R33" s="156">
        <f t="shared" si="4"/>
        <v>0</v>
      </c>
      <c r="S33" s="155">
        <f>IF(D33="COMED",$I$12*'BRA Load Pricing Results'!J50/'BRA Load Pricing Results'!$J$43,0)</f>
        <v>0</v>
      </c>
      <c r="T33" s="156">
        <f t="shared" si="5"/>
        <v>0</v>
      </c>
      <c r="U33" s="155">
        <f>IF(D33="BGE",$I$13*'BRA Load Pricing Results'!J50/'BRA Load Pricing Results'!$J$42,0)</f>
        <v>0</v>
      </c>
      <c r="V33" s="156">
        <f t="shared" si="12"/>
        <v>0</v>
      </c>
      <c r="W33" s="155">
        <f>IF(D33="PL",$I$14*'BRA Load Pricing Results'!J50/'BRA Load Pricing Results'!$J$55,0)</f>
        <v>0</v>
      </c>
      <c r="X33" s="156">
        <f t="shared" si="1"/>
        <v>0</v>
      </c>
      <c r="Y33" s="157">
        <f t="shared" si="6"/>
        <v>824.5908030061661</v>
      </c>
      <c r="Z33" s="46">
        <f t="shared" si="7"/>
        <v>50011.43220232397</v>
      </c>
      <c r="AA33" s="200">
        <f>Z33/'BRA Load Pricing Results'!J50</f>
        <v>7.12537788104518</v>
      </c>
      <c r="AB33" s="211">
        <f t="shared" si="13"/>
        <v>60.65</v>
      </c>
      <c r="AC33" s="47"/>
      <c r="AD33" s="33"/>
    </row>
    <row r="34" spans="1:30" ht="13.5">
      <c r="A34" s="71" t="s">
        <v>13</v>
      </c>
      <c r="B34" s="117" t="s">
        <v>29</v>
      </c>
      <c r="C34" s="117"/>
      <c r="D34" s="118"/>
      <c r="E34" s="155">
        <f>IF(B34="MAAC",$I$5*'BRA Load Pricing Results'!J51/'BRA Load Pricing Results'!$B$14,0)</f>
        <v>0</v>
      </c>
      <c r="F34" s="156">
        <f t="shared" si="14"/>
        <v>0</v>
      </c>
      <c r="G34" s="155">
        <f>IF(C34="EMAAC",$I$6*'BRA Load Pricing Results'!J51/'BRA Load Pricing Results'!$B$15,0)</f>
        <v>0</v>
      </c>
      <c r="H34" s="156">
        <f t="shared" si="11"/>
        <v>0</v>
      </c>
      <c r="I34" s="155">
        <f>IF(C34="SWMAAC",$I$7*'BRA Load Pricing Results'!J51/'BRA Load Pricing Results'!$B$16,0)</f>
        <v>0</v>
      </c>
      <c r="J34" s="156">
        <f t="shared" si="8"/>
        <v>0</v>
      </c>
      <c r="K34" s="155">
        <f>IF(D34="PS",$I$8*'BRA Load Pricing Results'!J51/'BRA Load Pricing Results'!$J$56,0)</f>
        <v>0</v>
      </c>
      <c r="L34" s="156">
        <f t="shared" si="9"/>
        <v>0</v>
      </c>
      <c r="M34" s="155">
        <f>IF(D34="DPL",$I$9*'BRA Load Pricing Results'!J51/'BRA Load Pricing Results'!$J$48,0)</f>
        <v>0</v>
      </c>
      <c r="N34" s="156">
        <f t="shared" si="3"/>
        <v>0</v>
      </c>
      <c r="O34" s="155">
        <f>IF(D34="PEPCO",$I$10*'BRA Load Pricing Results'!J51/'BRA Load Pricing Results'!$J$54,0)</f>
        <v>0</v>
      </c>
      <c r="P34" s="156">
        <f t="shared" si="10"/>
        <v>0</v>
      </c>
      <c r="Q34" s="155">
        <f>IF(D34="ATSI",$I$11*'BRA Load Pricing Results'!J51/'BRA Load Pricing Results'!$J$41,0)</f>
        <v>0</v>
      </c>
      <c r="R34" s="156">
        <f t="shared" si="4"/>
        <v>0</v>
      </c>
      <c r="S34" s="155">
        <f>IF(D34="COMED",$I$12*'BRA Load Pricing Results'!J51/'BRA Load Pricing Results'!$J$43,0)</f>
        <v>0</v>
      </c>
      <c r="T34" s="156">
        <f t="shared" si="5"/>
        <v>0</v>
      </c>
      <c r="U34" s="155">
        <f>IF(D34="BGE",$I$13*'BRA Load Pricing Results'!J51/'BRA Load Pricing Results'!$J$42,0)</f>
        <v>0</v>
      </c>
      <c r="V34" s="156">
        <f t="shared" si="12"/>
        <v>0</v>
      </c>
      <c r="W34" s="155">
        <f>IF(D34="PL",$I$14*'BRA Load Pricing Results'!J51/'BRA Load Pricing Results'!$J$55,0)</f>
        <v>0</v>
      </c>
      <c r="X34" s="156">
        <f t="shared" si="1"/>
        <v>0</v>
      </c>
      <c r="Y34" s="157">
        <f t="shared" si="6"/>
        <v>0</v>
      </c>
      <c r="Z34" s="46">
        <f t="shared" si="7"/>
        <v>0</v>
      </c>
      <c r="AA34" s="200">
        <f>Z34/'BRA Load Pricing Results'!J51</f>
        <v>0</v>
      </c>
      <c r="AB34" s="211">
        <f t="shared" si="13"/>
        <v>0</v>
      </c>
      <c r="AC34" s="47"/>
      <c r="AD34" s="33"/>
    </row>
    <row r="35" spans="1:30" ht="13.5">
      <c r="A35" s="71" t="s">
        <v>9</v>
      </c>
      <c r="B35" s="117" t="s">
        <v>29</v>
      </c>
      <c r="C35" s="117" t="s">
        <v>35</v>
      </c>
      <c r="D35" s="118"/>
      <c r="E35" s="155">
        <f>IF(B35="MAAC",$I$5*'BRA Load Pricing Results'!J52/'BRA Load Pricing Results'!$B$14,0)</f>
        <v>0</v>
      </c>
      <c r="F35" s="156">
        <f t="shared" si="14"/>
        <v>0</v>
      </c>
      <c r="G35" s="155">
        <f>IF(C35="EMAAC",$I$6*'BRA Load Pricing Results'!J52/'BRA Load Pricing Results'!$B$15,0)</f>
        <v>1140.0933135854975</v>
      </c>
      <c r="H35" s="156">
        <f>G35*$H$19</f>
        <v>69146.65946896042</v>
      </c>
      <c r="I35" s="155">
        <f>IF(C35="SWMAAC",$I$7*'BRA Load Pricing Results'!J52/'BRA Load Pricing Results'!$B$16,0)</f>
        <v>0</v>
      </c>
      <c r="J35" s="156">
        <f t="shared" si="8"/>
        <v>0</v>
      </c>
      <c r="K35" s="155">
        <f>IF(D35="PS",$I$8*'BRA Load Pricing Results'!J52/'BRA Load Pricing Results'!$J$56,0)</f>
        <v>0</v>
      </c>
      <c r="L35" s="156">
        <f t="shared" si="9"/>
        <v>0</v>
      </c>
      <c r="M35" s="155">
        <f>IF(D35="DPL",$I$9*'BRA Load Pricing Results'!J52/'BRA Load Pricing Results'!$J$48,0)</f>
        <v>0</v>
      </c>
      <c r="N35" s="156">
        <f t="shared" si="3"/>
        <v>0</v>
      </c>
      <c r="O35" s="155">
        <f>IF(D35="PEPCO",$I$10*'BRA Load Pricing Results'!J52/'BRA Load Pricing Results'!$J$54,0)</f>
        <v>0</v>
      </c>
      <c r="P35" s="156">
        <f t="shared" si="10"/>
        <v>0</v>
      </c>
      <c r="Q35" s="155">
        <f>IF(D35="ATSI",$I$11*'BRA Load Pricing Results'!J52/'BRA Load Pricing Results'!$J$41,0)</f>
        <v>0</v>
      </c>
      <c r="R35" s="156">
        <f t="shared" si="4"/>
        <v>0</v>
      </c>
      <c r="S35" s="155">
        <f>IF(D35="COMED",$I$12*'BRA Load Pricing Results'!J52/'BRA Load Pricing Results'!$J$43,0)</f>
        <v>0</v>
      </c>
      <c r="T35" s="156">
        <f t="shared" si="5"/>
        <v>0</v>
      </c>
      <c r="U35" s="155">
        <f>IF(D35="BGE",$I$13*'BRA Load Pricing Results'!J52/'BRA Load Pricing Results'!$J$42,0)</f>
        <v>0</v>
      </c>
      <c r="V35" s="156">
        <f t="shared" si="12"/>
        <v>0</v>
      </c>
      <c r="W35" s="155">
        <f>IF(D35="PL",$I$14*'BRA Load Pricing Results'!J52/'BRA Load Pricing Results'!$J$55,0)</f>
        <v>0</v>
      </c>
      <c r="X35" s="156">
        <f t="shared" si="1"/>
        <v>0</v>
      </c>
      <c r="Y35" s="157">
        <f t="shared" si="6"/>
        <v>1140.0933135854975</v>
      </c>
      <c r="Z35" s="46">
        <f t="shared" si="7"/>
        <v>69146.65946896042</v>
      </c>
      <c r="AA35" s="200">
        <f>Z35/'BRA Load Pricing Results'!J52</f>
        <v>7.12537788104518</v>
      </c>
      <c r="AB35" s="211">
        <f t="shared" si="13"/>
        <v>60.65</v>
      </c>
      <c r="AC35" s="47"/>
      <c r="AD35" s="33"/>
    </row>
    <row r="36" spans="1:30" ht="13.5">
      <c r="A36" s="71" t="s">
        <v>14</v>
      </c>
      <c r="B36" s="117" t="s">
        <v>29</v>
      </c>
      <c r="C36" s="117"/>
      <c r="D36" s="118"/>
      <c r="E36" s="155">
        <f>IF(B36="MAAC",$I$5*'BRA Load Pricing Results'!J53/'BRA Load Pricing Results'!$B$14,0)</f>
        <v>0</v>
      </c>
      <c r="F36" s="156">
        <f t="shared" si="14"/>
        <v>0</v>
      </c>
      <c r="G36" s="155">
        <f>IF(C36="EMAAC",$I$6*'BRA Load Pricing Results'!J53/'BRA Load Pricing Results'!$B$15,0)</f>
        <v>0</v>
      </c>
      <c r="H36" s="156">
        <f t="shared" si="11"/>
        <v>0</v>
      </c>
      <c r="I36" s="155">
        <f>IF(C36="SWMAAC",$I$7*'BRA Load Pricing Results'!J53/'BRA Load Pricing Results'!$B$16,0)</f>
        <v>0</v>
      </c>
      <c r="J36" s="156">
        <f t="shared" si="8"/>
        <v>0</v>
      </c>
      <c r="K36" s="155">
        <f>IF(D36="PS",$I$8*'BRA Load Pricing Results'!J53/'BRA Load Pricing Results'!$J$56,0)</f>
        <v>0</v>
      </c>
      <c r="L36" s="156">
        <f t="shared" si="9"/>
        <v>0</v>
      </c>
      <c r="M36" s="155">
        <f>IF(D36="DPL",$I$9*'BRA Load Pricing Results'!J53/'BRA Load Pricing Results'!$J$48,0)</f>
        <v>0</v>
      </c>
      <c r="N36" s="156">
        <f t="shared" si="3"/>
        <v>0</v>
      </c>
      <c r="O36" s="155">
        <f>IF(D36="PEPCO",$I$10*'BRA Load Pricing Results'!J53/'BRA Load Pricing Results'!$J$54,0)</f>
        <v>0</v>
      </c>
      <c r="P36" s="156">
        <f t="shared" si="10"/>
        <v>0</v>
      </c>
      <c r="Q36" s="155">
        <f>IF(D36="ATSI",$I$11*'BRA Load Pricing Results'!J53/'BRA Load Pricing Results'!$J$41,0)</f>
        <v>0</v>
      </c>
      <c r="R36" s="156">
        <f t="shared" si="4"/>
        <v>0</v>
      </c>
      <c r="S36" s="155">
        <f>IF(D36="COMED",$I$12*'BRA Load Pricing Results'!J53/'BRA Load Pricing Results'!$J$43,0)</f>
        <v>0</v>
      </c>
      <c r="T36" s="156">
        <f t="shared" si="5"/>
        <v>0</v>
      </c>
      <c r="U36" s="155">
        <f>IF(D36="BGE",$I$13*'BRA Load Pricing Results'!J53/'BRA Load Pricing Results'!$J$42,0)</f>
        <v>0</v>
      </c>
      <c r="V36" s="156">
        <f t="shared" si="12"/>
        <v>0</v>
      </c>
      <c r="W36" s="155">
        <f>IF(D36="PL",$I$14*'BRA Load Pricing Results'!J53/'BRA Load Pricing Results'!$J$55,0)</f>
        <v>0</v>
      </c>
      <c r="X36" s="156">
        <f>W36*$X$19</f>
        <v>0</v>
      </c>
      <c r="Y36" s="157">
        <f t="shared" si="6"/>
        <v>0</v>
      </c>
      <c r="Z36" s="46">
        <f t="shared" si="7"/>
        <v>0</v>
      </c>
      <c r="AA36" s="200">
        <f>Z36/'BRA Load Pricing Results'!J53</f>
        <v>0</v>
      </c>
      <c r="AB36" s="211">
        <f t="shared" si="13"/>
        <v>0</v>
      </c>
      <c r="AC36" s="47"/>
      <c r="AD36" s="33"/>
    </row>
    <row r="37" spans="1:30" ht="13.5">
      <c r="A37" s="71" t="s">
        <v>15</v>
      </c>
      <c r="B37" s="117" t="s">
        <v>29</v>
      </c>
      <c r="C37" s="117" t="s">
        <v>5</v>
      </c>
      <c r="D37" s="118" t="s">
        <v>15</v>
      </c>
      <c r="E37" s="155">
        <f>IF(B37="MAAC",$I$5*'BRA Load Pricing Results'!J54/'BRA Load Pricing Results'!$B$14,0)</f>
        <v>0</v>
      </c>
      <c r="F37" s="156">
        <f t="shared" si="14"/>
        <v>0</v>
      </c>
      <c r="G37" s="155">
        <f>IF(C37="EMAAC",$I$6*'BRA Load Pricing Results'!J54/'BRA Load Pricing Results'!$B$15,0)</f>
        <v>0</v>
      </c>
      <c r="H37" s="156">
        <f t="shared" si="11"/>
        <v>0</v>
      </c>
      <c r="I37" s="155">
        <f>IF(C37="SWMAAC",$I$7*'BRA Load Pricing Results'!J54/'BRA Load Pricing Results'!$B$16,0)</f>
        <v>1456.8564279319007</v>
      </c>
      <c r="J37" s="156">
        <f t="shared" si="8"/>
        <v>0</v>
      </c>
      <c r="K37" s="155">
        <f>IF(D37="PS",$I$8*'BRA Load Pricing Results'!J54/'BRA Load Pricing Results'!$J$56,0)</f>
        <v>0</v>
      </c>
      <c r="L37" s="156">
        <f t="shared" si="9"/>
        <v>0</v>
      </c>
      <c r="M37" s="155">
        <f>IF(D37="DPL",$I$9*'BRA Load Pricing Results'!J54/'BRA Load Pricing Results'!$J$48,0)</f>
        <v>0</v>
      </c>
      <c r="N37" s="156">
        <f>M37*N19</f>
        <v>0</v>
      </c>
      <c r="O37" s="155">
        <f>IF(D37="PEPCO",$I$10*'BRA Load Pricing Results'!J54/'BRA Load Pricing Results'!$J$54,0)</f>
        <v>1522.2148263982035</v>
      </c>
      <c r="P37" s="156">
        <f>O37*$P$19</f>
        <v>0</v>
      </c>
      <c r="Q37" s="155">
        <f>IF(D37="ATSI",$I$11*'BRA Load Pricing Results'!J54/'BRA Load Pricing Results'!$J$41,0)</f>
        <v>0</v>
      </c>
      <c r="R37" s="156">
        <f t="shared" si="4"/>
        <v>0</v>
      </c>
      <c r="S37" s="155">
        <f>IF(D37="COMED",$I$12*'BRA Load Pricing Results'!J54/'BRA Load Pricing Results'!$J$43,0)</f>
        <v>0</v>
      </c>
      <c r="T37" s="156">
        <f t="shared" si="5"/>
        <v>0</v>
      </c>
      <c r="U37" s="155">
        <f>IF(D37="BGE",$I$13*'BRA Load Pricing Results'!J54/'BRA Load Pricing Results'!$J$42,0)</f>
        <v>0</v>
      </c>
      <c r="V37" s="156">
        <f t="shared" si="12"/>
        <v>0</v>
      </c>
      <c r="W37" s="155">
        <f>IF(D37="PL",$I$14*'BRA Load Pricing Results'!J54/'BRA Load Pricing Results'!$J$55,0)</f>
        <v>0</v>
      </c>
      <c r="X37" s="156">
        <f t="shared" si="1"/>
        <v>0</v>
      </c>
      <c r="Y37" s="157">
        <f t="shared" si="6"/>
        <v>1522.2148263982035</v>
      </c>
      <c r="Z37" s="46">
        <f t="shared" si="7"/>
        <v>0</v>
      </c>
      <c r="AA37" s="200">
        <f>Z37/'BRA Load Pricing Results'!J54</f>
        <v>0</v>
      </c>
      <c r="AB37" s="211">
        <f t="shared" si="13"/>
        <v>0</v>
      </c>
      <c r="AC37" s="47"/>
      <c r="AD37" s="33"/>
    </row>
    <row r="38" spans="1:30" ht="13.5">
      <c r="A38" s="71" t="s">
        <v>10</v>
      </c>
      <c r="B38" s="117" t="s">
        <v>29</v>
      </c>
      <c r="C38" s="117"/>
      <c r="D38" s="118" t="s">
        <v>10</v>
      </c>
      <c r="E38" s="155">
        <f>IF(B38="MAAC",$I$5*'BRA Load Pricing Results'!J55/'BRA Load Pricing Results'!$B$14,0)</f>
        <v>0</v>
      </c>
      <c r="F38" s="156">
        <f t="shared" si="14"/>
        <v>0</v>
      </c>
      <c r="G38" s="155">
        <f>IF(C38="EMAAC",$I$6*'BRA Load Pricing Results'!J55/'BRA Load Pricing Results'!$B$15,0)</f>
        <v>0</v>
      </c>
      <c r="H38" s="156">
        <f t="shared" si="11"/>
        <v>0</v>
      </c>
      <c r="I38" s="155">
        <f>IF(C38="SWMAAC",$I$7*'BRA Load Pricing Results'!J55/'BRA Load Pricing Results'!$B$16,0)</f>
        <v>0</v>
      </c>
      <c r="J38" s="156">
        <f t="shared" si="8"/>
        <v>0</v>
      </c>
      <c r="K38" s="155">
        <f>IF(D38="PS",$I$8*'BRA Load Pricing Results'!J55/'BRA Load Pricing Results'!$J$56,0)</f>
        <v>0</v>
      </c>
      <c r="L38" s="156">
        <f t="shared" si="9"/>
        <v>0</v>
      </c>
      <c r="M38" s="155">
        <f>IF(D38="DPL",$I$9*'BRA Load Pricing Results'!J55/'BRA Load Pricing Results'!$J$48,0)</f>
        <v>0</v>
      </c>
      <c r="N38" s="156">
        <f>M38*$N$19</f>
        <v>0</v>
      </c>
      <c r="O38" s="155">
        <f>IF(D38="PEPCO",$I$10*'BRA Load Pricing Results'!J55/'BRA Load Pricing Results'!$J$54,0)</f>
        <v>0</v>
      </c>
      <c r="P38" s="156">
        <f>O38*$P$19</f>
        <v>0</v>
      </c>
      <c r="Q38" s="155">
        <f>IF(D38="ATSI",$I$11*'BRA Load Pricing Results'!J55/'BRA Load Pricing Results'!$J$41,0)</f>
        <v>0</v>
      </c>
      <c r="R38" s="156">
        <f>Q38*$R$19</f>
        <v>0</v>
      </c>
      <c r="S38" s="155">
        <f>IF(D38="COMED",$I$12*'BRA Load Pricing Results'!J55/'BRA Load Pricing Results'!$J$43,0)</f>
        <v>0</v>
      </c>
      <c r="T38" s="156">
        <f t="shared" si="5"/>
        <v>0</v>
      </c>
      <c r="U38" s="155">
        <f>IF(D38="BGE",$I$13*'BRA Load Pricing Results'!J55/'BRA Load Pricing Results'!$J$42,0)</f>
        <v>0</v>
      </c>
      <c r="V38" s="156">
        <f t="shared" si="12"/>
        <v>0</v>
      </c>
      <c r="W38" s="155">
        <f>IF(D38="PL",$I$14*'BRA Load Pricing Results'!J55/'BRA Load Pricing Results'!$J$55,0)</f>
        <v>0</v>
      </c>
      <c r="X38" s="156">
        <f>W38*$X$19</f>
        <v>0</v>
      </c>
      <c r="Y38" s="157">
        <f t="shared" si="6"/>
        <v>0</v>
      </c>
      <c r="Z38" s="46">
        <f t="shared" si="7"/>
        <v>0</v>
      </c>
      <c r="AA38" s="200">
        <f>Z38/'BRA Load Pricing Results'!J55</f>
        <v>0</v>
      </c>
      <c r="AB38" s="211">
        <f t="shared" si="13"/>
        <v>0</v>
      </c>
      <c r="AC38" s="47"/>
      <c r="AD38" s="33"/>
    </row>
    <row r="39" spans="1:30" ht="13.5">
      <c r="A39" s="71" t="s">
        <v>8</v>
      </c>
      <c r="B39" s="117" t="s">
        <v>29</v>
      </c>
      <c r="C39" s="117" t="s">
        <v>35</v>
      </c>
      <c r="D39" s="118" t="s">
        <v>8</v>
      </c>
      <c r="E39" s="155">
        <f>IF(B39="MAAC",$I$5*'BRA Load Pricing Results'!J56/'BRA Load Pricing Results'!$B$14,0)</f>
        <v>0</v>
      </c>
      <c r="F39" s="156">
        <f t="shared" si="14"/>
        <v>0</v>
      </c>
      <c r="G39" s="155">
        <f>IF(C39="EMAAC",$I$6*'BRA Load Pricing Results'!J56/'BRA Load Pricing Results'!$B$15,0)</f>
        <v>1341.612938951341</v>
      </c>
      <c r="H39" s="156">
        <f>G39*$H$19</f>
        <v>81368.82474739883</v>
      </c>
      <c r="I39" s="155">
        <f>IF(C39="SWMAAC",$I$7*'BRA Load Pricing Results'!J56/'BRA Load Pricing Results'!$B$16,0)</f>
        <v>0</v>
      </c>
      <c r="J39" s="156">
        <f t="shared" si="8"/>
        <v>0</v>
      </c>
      <c r="K39" s="155">
        <f>IF(D39="PS",$I$8*'BRA Load Pricing Results'!J56/'BRA Load Pricing Results'!$J$56,0)</f>
        <v>6118.780281328644</v>
      </c>
      <c r="L39" s="156">
        <f>K39*$L$19</f>
        <v>0</v>
      </c>
      <c r="M39" s="155">
        <f>IF(D39="DPL",$I$9*'BRA Load Pricing Results'!J56/'BRA Load Pricing Results'!$J$48,0)</f>
        <v>0</v>
      </c>
      <c r="N39" s="156">
        <f>M39*$N$19</f>
        <v>0</v>
      </c>
      <c r="O39" s="155">
        <f>IF(D39="PEPCO",$I$10*'BRA Load Pricing Results'!J56/'BRA Load Pricing Results'!$J$54,0)</f>
        <v>0</v>
      </c>
      <c r="P39" s="156">
        <f>O39*$P$19</f>
        <v>0</v>
      </c>
      <c r="Q39" s="155">
        <f>IF(D39="ATSI",$I$11*'BRA Load Pricing Results'!J56/'BRA Load Pricing Results'!$J$41,0)</f>
        <v>0</v>
      </c>
      <c r="R39" s="156">
        <f t="shared" si="4"/>
        <v>0</v>
      </c>
      <c r="S39" s="155">
        <f>IF(D39="COMED",$I$12*'BRA Load Pricing Results'!J56/'BRA Load Pricing Results'!$J$43,0)</f>
        <v>0</v>
      </c>
      <c r="T39" s="156">
        <f t="shared" si="5"/>
        <v>0</v>
      </c>
      <c r="U39" s="155">
        <f>IF(D39="BGE",$I$13*'BRA Load Pricing Results'!J56/'BRA Load Pricing Results'!$J$42,0)</f>
        <v>0</v>
      </c>
      <c r="V39" s="156">
        <f t="shared" si="12"/>
        <v>0</v>
      </c>
      <c r="W39" s="155">
        <f>IF(D39="PL",$I$14*'BRA Load Pricing Results'!J56/'BRA Load Pricing Results'!$J$55,0)</f>
        <v>0</v>
      </c>
      <c r="X39" s="156">
        <f>W39*$X$19</f>
        <v>0</v>
      </c>
      <c r="Y39" s="157">
        <f t="shared" si="6"/>
        <v>6118.780281328644</v>
      </c>
      <c r="Z39" s="46">
        <f t="shared" si="7"/>
        <v>81368.82474739883</v>
      </c>
      <c r="AA39" s="200">
        <f>Z39/'BRA Load Pricing Results'!J56</f>
        <v>7.125377881045181</v>
      </c>
      <c r="AB39" s="211">
        <f t="shared" si="13"/>
        <v>13.298209938293493</v>
      </c>
      <c r="AC39" s="47"/>
      <c r="AD39" s="33"/>
    </row>
    <row r="40" spans="1:30" ht="14.25" thickBot="1">
      <c r="A40" s="160" t="s">
        <v>18</v>
      </c>
      <c r="B40" s="121" t="s">
        <v>29</v>
      </c>
      <c r="C40" s="121" t="s">
        <v>35</v>
      </c>
      <c r="D40" s="122"/>
      <c r="E40" s="161">
        <f>IF(B40="MAAC",$I$5*'BRA Load Pricing Results'!J57/'BRA Load Pricing Results'!$B$14,0)</f>
        <v>0</v>
      </c>
      <c r="F40" s="162">
        <f t="shared" si="14"/>
        <v>0</v>
      </c>
      <c r="G40" s="161">
        <f>IF(C40="EMAAC",$I$6*'BRA Load Pricing Results'!J57/'BRA Load Pricing Results'!$B$15,0)</f>
        <v>54.34682810063089</v>
      </c>
      <c r="H40" s="162">
        <f>G40*$H$19</f>
        <v>3296.135124303263</v>
      </c>
      <c r="I40" s="161">
        <f>IF(C40="SWMAAC",$I$7*'BRA Load Pricing Results'!J57/'BRA Load Pricing Results'!$B$16,0)</f>
        <v>0</v>
      </c>
      <c r="J40" s="162">
        <f t="shared" si="8"/>
        <v>0</v>
      </c>
      <c r="K40" s="161">
        <f>IF(D40="PS",$I$8*'BRA Load Pricing Results'!J57/'BRA Load Pricing Results'!$J$56,0)</f>
        <v>0</v>
      </c>
      <c r="L40" s="162">
        <f t="shared" si="9"/>
        <v>0</v>
      </c>
      <c r="M40" s="161">
        <f>IF(D40="DPL",$I$9*'BRA Load Pricing Results'!J57/'BRA Load Pricing Results'!$J$48,0)</f>
        <v>0</v>
      </c>
      <c r="N40" s="162">
        <f>M40*$N$19</f>
        <v>0</v>
      </c>
      <c r="O40" s="161">
        <f>IF(D40="PEPCO",$I$10*'BRA Load Pricing Results'!J57/'BRA Load Pricing Results'!$J$54,0)</f>
        <v>0</v>
      </c>
      <c r="P40" s="162">
        <f>O40*$P$19</f>
        <v>0</v>
      </c>
      <c r="Q40" s="161">
        <f>IF(D40="ATSI",$I$11*'BRA Load Pricing Results'!J57/'BRA Load Pricing Results'!$J$41,0)</f>
        <v>0</v>
      </c>
      <c r="R40" s="162">
        <f t="shared" si="4"/>
        <v>0</v>
      </c>
      <c r="S40" s="155">
        <f>IF(D40="COMED",$I$12*'BRA Load Pricing Results'!J57/'BRA Load Pricing Results'!$J$43,0)</f>
        <v>0</v>
      </c>
      <c r="T40" s="156">
        <f t="shared" si="5"/>
        <v>0</v>
      </c>
      <c r="U40" s="155">
        <f>IF(D40="BGE",$I$13*'BRA Load Pricing Results'!J57/'BRA Load Pricing Results'!$J$42,0)</f>
        <v>0</v>
      </c>
      <c r="V40" s="156">
        <f t="shared" si="12"/>
        <v>0</v>
      </c>
      <c r="W40" s="155">
        <f>IF(D40="PL",$I$14*'BRA Load Pricing Results'!J57/'BRA Load Pricing Results'!$J$55,0)</f>
        <v>0</v>
      </c>
      <c r="X40" s="156">
        <f>W40*$X$19</f>
        <v>0</v>
      </c>
      <c r="Y40" s="157">
        <f t="shared" si="6"/>
        <v>54.34682810063089</v>
      </c>
      <c r="Z40" s="46">
        <f>F40+H40+J40+L40+N40+P40+R40+T40+V40+X40</f>
        <v>3296.135124303263</v>
      </c>
      <c r="AA40" s="212">
        <f>Z40/'BRA Load Pricing Results'!J57</f>
        <v>7.12537788104518</v>
      </c>
      <c r="AB40" s="213">
        <f t="shared" si="13"/>
        <v>60.65</v>
      </c>
      <c r="AC40" s="47"/>
      <c r="AD40" s="33"/>
    </row>
    <row r="41" spans="1:29" ht="14.25" thickBot="1">
      <c r="A41" s="343" t="s">
        <v>72</v>
      </c>
      <c r="B41" s="344"/>
      <c r="C41" s="344"/>
      <c r="D41" s="345"/>
      <c r="E41" s="163">
        <f>SUM(E21:E40)</f>
        <v>0</v>
      </c>
      <c r="F41" s="164">
        <f>SUM(F21:F40)</f>
        <v>0</v>
      </c>
      <c r="G41" s="163">
        <f aca="true" t="shared" si="15" ref="G41:L41">SUM(G21:G40)</f>
        <v>4259.548354271588</v>
      </c>
      <c r="H41" s="164">
        <f t="shared" si="15"/>
        <v>258341.60768657186</v>
      </c>
      <c r="I41" s="163">
        <f t="shared" si="15"/>
        <v>3039.674903940375</v>
      </c>
      <c r="J41" s="164">
        <f t="shared" si="15"/>
        <v>0</v>
      </c>
      <c r="K41" s="163">
        <f>SUM(K21:K40)</f>
        <v>6118.780281328644</v>
      </c>
      <c r="L41" s="164">
        <f t="shared" si="15"/>
        <v>0</v>
      </c>
      <c r="M41" s="163">
        <f aca="true" t="shared" si="16" ref="M41:R41">SUM(M21:M40)</f>
        <v>0</v>
      </c>
      <c r="N41" s="164">
        <f t="shared" si="16"/>
        <v>0</v>
      </c>
      <c r="O41" s="163">
        <f t="shared" si="16"/>
        <v>1522.2148263982035</v>
      </c>
      <c r="P41" s="164">
        <f t="shared" si="16"/>
        <v>0</v>
      </c>
      <c r="Q41" s="163">
        <f t="shared" si="16"/>
        <v>4374.6897255954445</v>
      </c>
      <c r="R41" s="164">
        <f t="shared" si="16"/>
        <v>0</v>
      </c>
      <c r="S41" s="163">
        <f aca="true" t="shared" si="17" ref="S41:X41">SUM(S21:S40)</f>
        <v>2134.157643339444</v>
      </c>
      <c r="T41" s="164">
        <f>SUM(T21:T40)</f>
        <v>107198.73842494025</v>
      </c>
      <c r="U41" s="163">
        <f t="shared" si="17"/>
        <v>4345.56007754217</v>
      </c>
      <c r="V41" s="164">
        <f t="shared" si="17"/>
        <v>0</v>
      </c>
      <c r="W41" s="163">
        <f>SUM(W21:W40)</f>
        <v>0</v>
      </c>
      <c r="X41" s="164">
        <f t="shared" si="17"/>
        <v>0</v>
      </c>
      <c r="Y41" s="165"/>
      <c r="Z41" s="166">
        <f>SUM(Z21:Z40)</f>
        <v>365540.34611151216</v>
      </c>
      <c r="AA41" s="167"/>
      <c r="AB41" s="168"/>
      <c r="AC41" s="13"/>
    </row>
    <row r="42" spans="1:28" ht="13.5">
      <c r="A42" s="33" t="s">
        <v>73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3.5">
      <c r="A43" s="33" t="s">
        <v>74</v>
      </c>
      <c r="B43" s="24"/>
      <c r="C43" s="24"/>
      <c r="D43" s="24"/>
      <c r="E43" s="24"/>
      <c r="F43" s="24"/>
      <c r="G43" s="24"/>
      <c r="H43" s="24"/>
      <c r="I43" s="24"/>
      <c r="J43" s="24"/>
      <c r="K43" s="70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3.5">
      <c r="A44" s="33" t="s">
        <v>172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3.5">
      <c r="A45" s="33" t="s">
        <v>75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3.5">
      <c r="A46" s="33" t="s">
        <v>76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</sheetData>
  <sheetProtection/>
  <mergeCells count="12">
    <mergeCell ref="S18:T18"/>
    <mergeCell ref="U18:V18"/>
    <mergeCell ref="W18:X18"/>
    <mergeCell ref="Q18:R18"/>
    <mergeCell ref="O18:P18"/>
    <mergeCell ref="I18:J18"/>
    <mergeCell ref="A17:D19"/>
    <mergeCell ref="A41:D41"/>
    <mergeCell ref="E18:F18"/>
    <mergeCell ref="G18:H18"/>
    <mergeCell ref="K18:L18"/>
    <mergeCell ref="M18:N18"/>
  </mergeCells>
  <printOptions horizontalCentered="1" verticalCentered="1"/>
  <pageMargins left="0" right="0" top="0" bottom="0" header="0.3" footer="0.3"/>
  <pageSetup fitToHeight="1" fitToWidth="1" horizontalDpi="600" verticalDpi="600" orientation="landscape" paperSize="17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7" width="15.7109375" style="0" customWidth="1"/>
    <col min="28" max="28" width="19.00390625" style="0" bestFit="1" customWidth="1"/>
    <col min="29" max="29" width="12.7109375" style="0" customWidth="1"/>
  </cols>
  <sheetData>
    <row r="1" spans="1:2" ht="18">
      <c r="A1" s="127" t="s">
        <v>206</v>
      </c>
      <c r="B1" s="11" t="s">
        <v>24</v>
      </c>
    </row>
    <row r="2" spans="1:3" ht="18" thickBot="1">
      <c r="A2" s="3"/>
      <c r="C2" s="18"/>
    </row>
    <row r="3" spans="1:22" ht="14.25" thickBot="1">
      <c r="A3" s="352" t="s">
        <v>64</v>
      </c>
      <c r="B3" s="24"/>
      <c r="C3" s="171" t="s">
        <v>144</v>
      </c>
      <c r="D3" s="24"/>
      <c r="E3" s="24"/>
      <c r="F3" s="24"/>
      <c r="G3" s="24"/>
      <c r="H3" s="24"/>
      <c r="I3" s="171" t="s">
        <v>144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8.75" customHeight="1" thickBot="1">
      <c r="A4" s="353"/>
      <c r="B4" s="310" t="s">
        <v>29</v>
      </c>
      <c r="C4" s="310" t="s">
        <v>29</v>
      </c>
      <c r="D4" s="311" t="s">
        <v>35</v>
      </c>
      <c r="E4" s="311" t="s">
        <v>5</v>
      </c>
      <c r="F4" s="311" t="s">
        <v>8</v>
      </c>
      <c r="G4" s="311" t="s">
        <v>36</v>
      </c>
      <c r="H4" s="311" t="s">
        <v>37</v>
      </c>
      <c r="I4" s="311" t="s">
        <v>37</v>
      </c>
      <c r="J4" s="311" t="s">
        <v>15</v>
      </c>
      <c r="K4" s="311" t="s">
        <v>11</v>
      </c>
      <c r="L4" s="191"/>
      <c r="M4" s="191"/>
      <c r="N4" s="191"/>
      <c r="O4" s="191"/>
      <c r="P4" s="191"/>
      <c r="Q4" s="24"/>
      <c r="R4" s="24"/>
      <c r="S4" s="24"/>
      <c r="T4" s="24"/>
      <c r="U4" s="24"/>
      <c r="V4" s="24"/>
    </row>
    <row r="5" spans="1:22" ht="27">
      <c r="A5" s="312" t="s">
        <v>104</v>
      </c>
      <c r="B5" s="313" t="s">
        <v>115</v>
      </c>
      <c r="C5" s="313" t="s">
        <v>145</v>
      </c>
      <c r="D5" s="314" t="s">
        <v>154</v>
      </c>
      <c r="E5" s="314" t="s">
        <v>154</v>
      </c>
      <c r="F5" s="314" t="s">
        <v>154</v>
      </c>
      <c r="G5" s="314" t="s">
        <v>154</v>
      </c>
      <c r="H5" s="314" t="s">
        <v>115</v>
      </c>
      <c r="I5" s="314" t="s">
        <v>145</v>
      </c>
      <c r="J5" s="314" t="s">
        <v>154</v>
      </c>
      <c r="K5" s="314" t="s">
        <v>154</v>
      </c>
      <c r="L5" s="191"/>
      <c r="M5" s="191"/>
      <c r="N5" s="191"/>
      <c r="O5" s="191"/>
      <c r="P5" s="191"/>
      <c r="Q5" s="47"/>
      <c r="R5" s="24"/>
      <c r="S5" s="24"/>
      <c r="T5" s="24"/>
      <c r="U5" s="24"/>
      <c r="V5" s="24"/>
    </row>
    <row r="6" spans="1:22" ht="19.5" customHeight="1">
      <c r="A6" s="178" t="s">
        <v>207</v>
      </c>
      <c r="B6" s="249"/>
      <c r="C6" s="249"/>
      <c r="D6" s="250"/>
      <c r="E6" s="250"/>
      <c r="F6" s="250"/>
      <c r="G6" s="250"/>
      <c r="H6" s="250"/>
      <c r="I6" s="250"/>
      <c r="J6" s="250"/>
      <c r="K6" s="250"/>
      <c r="L6" s="191"/>
      <c r="M6" s="191"/>
      <c r="N6" s="191"/>
      <c r="O6" s="191"/>
      <c r="P6" s="191"/>
      <c r="Q6" s="47"/>
      <c r="R6" s="24"/>
      <c r="S6" s="24"/>
      <c r="T6" s="24"/>
      <c r="U6" s="24"/>
      <c r="V6" s="24"/>
    </row>
    <row r="7" spans="1:22" ht="19.5" customHeight="1">
      <c r="A7" s="315" t="s">
        <v>96</v>
      </c>
      <c r="B7" s="251">
        <v>160</v>
      </c>
      <c r="C7" s="252">
        <f>B7*'BRA CTRs'!$F$5/$B$28</f>
        <v>26.566004528766896</v>
      </c>
      <c r="D7" s="252">
        <v>0</v>
      </c>
      <c r="E7" s="252">
        <v>0</v>
      </c>
      <c r="F7" s="252">
        <v>0</v>
      </c>
      <c r="G7" s="252">
        <v>0</v>
      </c>
      <c r="H7" s="252">
        <v>0</v>
      </c>
      <c r="I7" s="252">
        <v>0</v>
      </c>
      <c r="J7" s="252">
        <v>0</v>
      </c>
      <c r="K7" s="252">
        <v>0</v>
      </c>
      <c r="L7" s="53"/>
      <c r="M7" s="53"/>
      <c r="N7" s="53"/>
      <c r="O7" s="53"/>
      <c r="P7" s="53"/>
      <c r="Q7" s="47"/>
      <c r="R7" s="24"/>
      <c r="S7" s="24"/>
      <c r="T7" s="24"/>
      <c r="U7" s="24"/>
      <c r="V7" s="24"/>
    </row>
    <row r="8" spans="1:22" ht="19.5" customHeight="1">
      <c r="A8" s="315" t="s">
        <v>97</v>
      </c>
      <c r="B8" s="251">
        <v>106</v>
      </c>
      <c r="C8" s="252">
        <f>B8*'BRA CTRs'!$F$5/$B$28</f>
        <v>17.59997800030807</v>
      </c>
      <c r="D8" s="252">
        <v>0</v>
      </c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2">
        <v>0</v>
      </c>
      <c r="L8" s="53"/>
      <c r="M8" s="53"/>
      <c r="N8" s="53"/>
      <c r="O8" s="53"/>
      <c r="P8" s="53"/>
      <c r="Q8" s="47"/>
      <c r="R8" s="24"/>
      <c r="S8" s="24"/>
      <c r="T8" s="24"/>
      <c r="U8" s="24"/>
      <c r="V8" s="24"/>
    </row>
    <row r="9" spans="1:22" ht="19.5" customHeight="1">
      <c r="A9" s="315" t="s">
        <v>100</v>
      </c>
      <c r="B9" s="251">
        <v>117</v>
      </c>
      <c r="C9" s="252">
        <f>B9*'BRA CTRs'!$F$5/$B$28</f>
        <v>19.426390811660795</v>
      </c>
      <c r="D9" s="252">
        <v>0</v>
      </c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>
        <v>0</v>
      </c>
      <c r="K9" s="252">
        <v>0</v>
      </c>
      <c r="L9" s="53"/>
      <c r="M9" s="53"/>
      <c r="N9" s="53"/>
      <c r="O9" s="53"/>
      <c r="P9" s="53"/>
      <c r="Q9" s="47"/>
      <c r="R9" s="24"/>
      <c r="S9" s="24"/>
      <c r="T9" s="24"/>
      <c r="U9" s="24"/>
      <c r="V9" s="24"/>
    </row>
    <row r="10" spans="1:22" ht="24.75" customHeight="1">
      <c r="A10" s="315" t="s">
        <v>101</v>
      </c>
      <c r="B10" s="251">
        <v>0</v>
      </c>
      <c r="C10" s="252">
        <f>B10*'BRA CTRs'!$F$5/$B$28</f>
        <v>0</v>
      </c>
      <c r="D10" s="252">
        <v>898</v>
      </c>
      <c r="E10" s="252">
        <v>0</v>
      </c>
      <c r="F10" s="252">
        <v>68.9</v>
      </c>
      <c r="G10" s="252">
        <v>105.5</v>
      </c>
      <c r="H10" s="252">
        <v>0</v>
      </c>
      <c r="I10" s="252">
        <v>0</v>
      </c>
      <c r="J10" s="252">
        <v>0</v>
      </c>
      <c r="K10" s="252">
        <v>0</v>
      </c>
      <c r="L10" s="53"/>
      <c r="M10" s="53"/>
      <c r="N10" s="53"/>
      <c r="O10" s="53"/>
      <c r="P10" s="53"/>
      <c r="Q10" s="47"/>
      <c r="R10" s="24"/>
      <c r="S10" s="24"/>
      <c r="T10" s="24"/>
      <c r="U10" s="24"/>
      <c r="V10" s="24"/>
    </row>
    <row r="11" spans="1:22" ht="19.5" customHeight="1">
      <c r="A11" s="315" t="s">
        <v>137</v>
      </c>
      <c r="B11" s="251">
        <v>339</v>
      </c>
      <c r="C11" s="252">
        <f>B11*'BRA CTRs'!$F$5/$B$28</f>
        <v>56.28672209532486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53"/>
      <c r="M11" s="53"/>
      <c r="N11" s="53"/>
      <c r="O11" s="53"/>
      <c r="P11" s="53"/>
      <c r="Q11" s="47"/>
      <c r="R11" s="24"/>
      <c r="S11" s="24"/>
      <c r="T11" s="24"/>
      <c r="U11" s="24"/>
      <c r="V11" s="24"/>
    </row>
    <row r="12" spans="1:22" ht="24.75" customHeight="1">
      <c r="A12" s="315" t="s">
        <v>209</v>
      </c>
      <c r="B12" s="251">
        <v>0</v>
      </c>
      <c r="C12" s="252">
        <f>B12*'BRA CTRs'!$F$5/$B$28</f>
        <v>0</v>
      </c>
      <c r="D12" s="252">
        <v>0</v>
      </c>
      <c r="E12" s="252">
        <v>256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53"/>
      <c r="M12" s="53"/>
      <c r="N12" s="53"/>
      <c r="O12" s="53"/>
      <c r="P12" s="53"/>
      <c r="Q12" s="47"/>
      <c r="R12" s="24"/>
      <c r="S12" s="24"/>
      <c r="T12" s="24"/>
      <c r="U12" s="24"/>
      <c r="V12" s="24"/>
    </row>
    <row r="13" spans="1:22" ht="19.5" customHeight="1">
      <c r="A13" s="316" t="s">
        <v>208</v>
      </c>
      <c r="B13" s="253">
        <f aca="true" t="shared" si="0" ref="B13:H13">SUM(B7:B12)</f>
        <v>722</v>
      </c>
      <c r="C13" s="253">
        <f>SUM(C7:C12)</f>
        <v>119.87909543606062</v>
      </c>
      <c r="D13" s="254">
        <f t="shared" si="0"/>
        <v>898</v>
      </c>
      <c r="E13" s="254">
        <f t="shared" si="0"/>
        <v>256</v>
      </c>
      <c r="F13" s="254">
        <f t="shared" si="0"/>
        <v>68.9</v>
      </c>
      <c r="G13" s="254">
        <f t="shared" si="0"/>
        <v>105.5</v>
      </c>
      <c r="H13" s="254">
        <f t="shared" si="0"/>
        <v>0</v>
      </c>
      <c r="I13" s="254">
        <f>SUM(I7:I12)</f>
        <v>0</v>
      </c>
      <c r="J13" s="254">
        <f>SUM(J7:J12)</f>
        <v>0</v>
      </c>
      <c r="K13" s="254">
        <f>SUM(K7:K12)</f>
        <v>0</v>
      </c>
      <c r="L13" s="53"/>
      <c r="M13" s="53"/>
      <c r="N13" s="53"/>
      <c r="O13" s="53"/>
      <c r="P13" s="53"/>
      <c r="Q13" s="47"/>
      <c r="R13" s="24"/>
      <c r="S13" s="24"/>
      <c r="T13" s="24"/>
      <c r="U13" s="24"/>
      <c r="V13" s="24"/>
    </row>
    <row r="14" spans="1:22" ht="19.5" customHeight="1">
      <c r="A14" s="178" t="s">
        <v>177</v>
      </c>
      <c r="B14" s="251" t="s">
        <v>24</v>
      </c>
      <c r="C14" s="251" t="s">
        <v>24</v>
      </c>
      <c r="D14" s="252"/>
      <c r="E14" s="252"/>
      <c r="F14" s="252"/>
      <c r="G14" s="252"/>
      <c r="H14" s="252"/>
      <c r="I14" s="252"/>
      <c r="J14" s="252"/>
      <c r="K14" s="252"/>
      <c r="L14" s="192"/>
      <c r="M14" s="85"/>
      <c r="N14" s="85"/>
      <c r="O14" s="85"/>
      <c r="P14" s="192"/>
      <c r="Q14" s="47"/>
      <c r="R14" s="24"/>
      <c r="S14" s="24"/>
      <c r="T14" s="24"/>
      <c r="U14" s="24"/>
      <c r="V14" s="24"/>
    </row>
    <row r="15" spans="1:22" ht="24.75" customHeight="1">
      <c r="A15" s="315" t="s">
        <v>241</v>
      </c>
      <c r="B15" s="251">
        <v>16</v>
      </c>
      <c r="C15" s="252">
        <f>B15*'BRA CTRs'!$F$5/$B$28</f>
        <v>2.65660045287669</v>
      </c>
      <c r="D15" s="252">
        <v>0</v>
      </c>
      <c r="E15" s="252">
        <v>237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124</v>
      </c>
      <c r="L15" s="260" t="s">
        <v>24</v>
      </c>
      <c r="M15" s="85"/>
      <c r="N15" s="85"/>
      <c r="O15" s="85"/>
      <c r="P15" s="192"/>
      <c r="Q15" s="47"/>
      <c r="R15" s="24"/>
      <c r="S15" s="24"/>
      <c r="T15" s="24"/>
      <c r="U15" s="24"/>
      <c r="V15" s="24"/>
    </row>
    <row r="16" spans="1:22" ht="24.75" customHeight="1">
      <c r="A16" s="315" t="s">
        <v>131</v>
      </c>
      <c r="B16" s="251">
        <v>0</v>
      </c>
      <c r="C16" s="252">
        <f>B16*'BRA CTRs'!$F$5/$B$28</f>
        <v>0</v>
      </c>
      <c r="D16" s="252">
        <v>0</v>
      </c>
      <c r="E16" s="252">
        <v>0</v>
      </c>
      <c r="F16" s="252">
        <v>340.2</v>
      </c>
      <c r="G16" s="252">
        <v>494.5</v>
      </c>
      <c r="H16" s="252">
        <v>0</v>
      </c>
      <c r="I16" s="252">
        <v>0</v>
      </c>
      <c r="J16" s="252">
        <v>0</v>
      </c>
      <c r="K16" s="252">
        <v>0</v>
      </c>
      <c r="L16" s="192"/>
      <c r="M16" s="85"/>
      <c r="N16" s="85"/>
      <c r="O16" s="85"/>
      <c r="P16" s="192"/>
      <c r="Q16" s="47"/>
      <c r="R16" s="24"/>
      <c r="S16" s="24"/>
      <c r="T16" s="24"/>
      <c r="U16" s="24"/>
      <c r="V16" s="24"/>
    </row>
    <row r="17" spans="1:22" ht="24.75" customHeight="1">
      <c r="A17" s="315" t="s">
        <v>98</v>
      </c>
      <c r="B17" s="251">
        <v>0</v>
      </c>
      <c r="C17" s="252">
        <f>B17*'BRA CTRs'!$F$5/$B$28</f>
        <v>0</v>
      </c>
      <c r="D17" s="252">
        <v>0</v>
      </c>
      <c r="E17" s="252">
        <v>0</v>
      </c>
      <c r="F17" s="252">
        <v>90.3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192"/>
      <c r="M17" s="85"/>
      <c r="N17" s="85"/>
      <c r="O17" s="85"/>
      <c r="P17" s="192"/>
      <c r="Q17" s="47"/>
      <c r="R17" s="24"/>
      <c r="S17" s="24"/>
      <c r="T17" s="24"/>
      <c r="U17" s="24"/>
      <c r="V17" s="24"/>
    </row>
    <row r="18" spans="1:22" ht="24.75" customHeight="1">
      <c r="A18" s="315" t="s">
        <v>210</v>
      </c>
      <c r="B18" s="251">
        <v>0</v>
      </c>
      <c r="C18" s="252">
        <f>B18*'BRA CTRs'!$F$5/$B$28</f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182</v>
      </c>
      <c r="L18" s="192"/>
      <c r="M18" s="85"/>
      <c r="N18" s="85"/>
      <c r="O18" s="85"/>
      <c r="P18" s="192"/>
      <c r="Q18" s="47"/>
      <c r="R18" s="24"/>
      <c r="S18" s="24"/>
      <c r="T18" s="24"/>
      <c r="U18" s="24"/>
      <c r="V18" s="24"/>
    </row>
    <row r="19" spans="1:22" ht="24.75" customHeight="1">
      <c r="A19" s="315" t="s">
        <v>211</v>
      </c>
      <c r="B19" s="251">
        <v>0</v>
      </c>
      <c r="C19" s="252">
        <f>B19*'BRA CTRs'!$F$5/$B$28</f>
        <v>0</v>
      </c>
      <c r="D19" s="252">
        <v>0</v>
      </c>
      <c r="E19" s="252">
        <v>551</v>
      </c>
      <c r="F19" s="252">
        <v>0</v>
      </c>
      <c r="G19" s="252">
        <v>0</v>
      </c>
      <c r="H19" s="252">
        <v>0</v>
      </c>
      <c r="I19" s="252">
        <v>0</v>
      </c>
      <c r="J19" s="252">
        <v>315</v>
      </c>
      <c r="K19" s="252">
        <v>0</v>
      </c>
      <c r="L19" s="192"/>
      <c r="M19" s="85"/>
      <c r="N19" s="85"/>
      <c r="O19" s="85"/>
      <c r="P19" s="192"/>
      <c r="Q19" s="47"/>
      <c r="R19" s="24"/>
      <c r="S19" s="24"/>
      <c r="T19" s="24"/>
      <c r="U19" s="24"/>
      <c r="V19" s="24"/>
    </row>
    <row r="20" spans="1:22" ht="19.5" customHeight="1">
      <c r="A20" s="316" t="s">
        <v>105</v>
      </c>
      <c r="B20" s="253">
        <f aca="true" t="shared" si="1" ref="B20:H20">SUM(B15:B19)</f>
        <v>16</v>
      </c>
      <c r="C20" s="253">
        <f>SUM(C15:C19)</f>
        <v>2.65660045287669</v>
      </c>
      <c r="D20" s="254">
        <f t="shared" si="1"/>
        <v>0</v>
      </c>
      <c r="E20" s="254">
        <f>SUM(E15:E19)</f>
        <v>788</v>
      </c>
      <c r="F20" s="254">
        <f>SUM(F15:F19)</f>
        <v>430.5</v>
      </c>
      <c r="G20" s="254">
        <f>SUM(G15:G19)</f>
        <v>494.5</v>
      </c>
      <c r="H20" s="254">
        <f t="shared" si="1"/>
        <v>0</v>
      </c>
      <c r="I20" s="254">
        <f>SUM(I15:I19)</f>
        <v>0</v>
      </c>
      <c r="J20" s="254">
        <f>SUM(J15:J19)</f>
        <v>315</v>
      </c>
      <c r="K20" s="254">
        <f>SUM(K15:K19)</f>
        <v>306</v>
      </c>
      <c r="L20" s="192"/>
      <c r="M20" s="85"/>
      <c r="N20" s="85"/>
      <c r="O20" s="85"/>
      <c r="P20" s="192"/>
      <c r="Q20" s="47"/>
      <c r="R20" s="24"/>
      <c r="S20" s="24"/>
      <c r="T20" s="24"/>
      <c r="U20" s="24"/>
      <c r="V20" s="24"/>
    </row>
    <row r="21" spans="1:22" ht="19.5" customHeight="1">
      <c r="A21" s="178" t="s">
        <v>80</v>
      </c>
      <c r="B21" s="255"/>
      <c r="C21" s="255"/>
      <c r="D21" s="256"/>
      <c r="E21" s="256"/>
      <c r="F21" s="256"/>
      <c r="G21" s="256"/>
      <c r="H21" s="256"/>
      <c r="I21" s="256"/>
      <c r="J21" s="256"/>
      <c r="K21" s="256"/>
      <c r="L21" s="192"/>
      <c r="M21" s="85"/>
      <c r="N21" s="85"/>
      <c r="O21" s="85"/>
      <c r="P21" s="192"/>
      <c r="Q21" s="47"/>
      <c r="R21" s="24"/>
      <c r="S21" s="24"/>
      <c r="T21" s="24"/>
      <c r="U21" s="24"/>
      <c r="V21" s="24"/>
    </row>
    <row r="22" spans="1:22" ht="24.75" customHeight="1">
      <c r="A22" s="315" t="s">
        <v>99</v>
      </c>
      <c r="B22" s="251">
        <v>159</v>
      </c>
      <c r="C22" s="252">
        <f>B22*'BRA CTRs'!$F$5/$B$28</f>
        <v>26.399967000462105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192"/>
      <c r="M22" s="85"/>
      <c r="N22" s="85"/>
      <c r="O22" s="85"/>
      <c r="P22" s="192"/>
      <c r="Q22" s="47"/>
      <c r="R22" s="24"/>
      <c r="S22" s="24"/>
      <c r="T22" s="24"/>
      <c r="U22" s="24"/>
      <c r="V22" s="24"/>
    </row>
    <row r="23" spans="1:22" ht="24.75" customHeight="1">
      <c r="A23" s="315" t="s">
        <v>212</v>
      </c>
      <c r="B23" s="251">
        <v>0</v>
      </c>
      <c r="C23" s="252">
        <f>B23*'BRA CTRs'!$F$5/$B$28</f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37</v>
      </c>
      <c r="I23" s="252">
        <f>H23*'BRA CTRs'!$F$9/$H$28</f>
        <v>0</v>
      </c>
      <c r="J23" s="252">
        <v>0</v>
      </c>
      <c r="K23" s="252">
        <v>0</v>
      </c>
      <c r="L23" s="192"/>
      <c r="M23" s="85"/>
      <c r="N23" s="85"/>
      <c r="O23" s="85"/>
      <c r="P23" s="192"/>
      <c r="Q23" s="47"/>
      <c r="R23" s="24"/>
      <c r="S23" s="24"/>
      <c r="T23" s="24"/>
      <c r="U23" s="24"/>
      <c r="V23" s="24"/>
    </row>
    <row r="24" spans="1:22" ht="24.75" customHeight="1">
      <c r="A24" s="315" t="s">
        <v>213</v>
      </c>
      <c r="B24" s="251">
        <v>0</v>
      </c>
      <c r="C24" s="252">
        <f>B24*'BRA CTRs'!$F$5/$B$28</f>
        <v>0</v>
      </c>
      <c r="D24" s="252">
        <v>0</v>
      </c>
      <c r="E24" s="257">
        <v>0</v>
      </c>
      <c r="F24" s="257">
        <v>0</v>
      </c>
      <c r="G24" s="257">
        <v>0</v>
      </c>
      <c r="H24" s="257">
        <v>35</v>
      </c>
      <c r="I24" s="252">
        <f>H24*'BRA CTRs'!$F$9/$H$28</f>
        <v>0</v>
      </c>
      <c r="J24" s="257">
        <v>0</v>
      </c>
      <c r="K24" s="252">
        <v>0</v>
      </c>
      <c r="L24" s="192"/>
      <c r="M24" s="85"/>
      <c r="N24" s="85"/>
      <c r="O24" s="85"/>
      <c r="P24" s="192"/>
      <c r="Q24" s="47"/>
      <c r="R24" s="24"/>
      <c r="S24" s="24"/>
      <c r="T24" s="24"/>
      <c r="U24" s="24"/>
      <c r="V24" s="24"/>
    </row>
    <row r="25" spans="1:22" ht="19.5" customHeight="1">
      <c r="A25" s="315" t="s">
        <v>214</v>
      </c>
      <c r="B25" s="251">
        <v>733</v>
      </c>
      <c r="C25" s="252">
        <f>B25*'BRA CTRs'!$F$5/$B$28</f>
        <v>121.70550824741335</v>
      </c>
      <c r="D25" s="252">
        <v>0</v>
      </c>
      <c r="E25" s="257">
        <v>0</v>
      </c>
      <c r="F25" s="257">
        <v>0</v>
      </c>
      <c r="G25" s="257">
        <v>0</v>
      </c>
      <c r="H25" s="257">
        <v>35</v>
      </c>
      <c r="I25" s="252">
        <f>H25*'BRA CTRs'!$F$9/$H$28</f>
        <v>0</v>
      </c>
      <c r="J25" s="257">
        <v>0</v>
      </c>
      <c r="K25" s="252">
        <v>0</v>
      </c>
      <c r="L25" s="192"/>
      <c r="M25" s="85"/>
      <c r="N25" s="85"/>
      <c r="O25" s="85"/>
      <c r="P25" s="192"/>
      <c r="Q25" s="47"/>
      <c r="R25" s="24"/>
      <c r="S25" s="24"/>
      <c r="T25" s="24"/>
      <c r="U25" s="24"/>
      <c r="V25" s="24"/>
    </row>
    <row r="26" spans="1:22" ht="19.5" customHeight="1">
      <c r="A26" s="316" t="s">
        <v>87</v>
      </c>
      <c r="B26" s="253">
        <f>SUM(B22:B25)</f>
        <v>892</v>
      </c>
      <c r="C26" s="253">
        <f>SUM(C22:C25)</f>
        <v>148.10547524787546</v>
      </c>
      <c r="D26" s="258">
        <f aca="true" t="shared" si="2" ref="D26:K26">SUM(D22:D25)</f>
        <v>0</v>
      </c>
      <c r="E26" s="253">
        <f t="shared" si="2"/>
        <v>0</v>
      </c>
      <c r="F26" s="253">
        <f t="shared" si="2"/>
        <v>0</v>
      </c>
      <c r="G26" s="253">
        <f t="shared" si="2"/>
        <v>0</v>
      </c>
      <c r="H26" s="253">
        <f t="shared" si="2"/>
        <v>107</v>
      </c>
      <c r="I26" s="253">
        <f t="shared" si="2"/>
        <v>0</v>
      </c>
      <c r="J26" s="253">
        <f t="shared" si="2"/>
        <v>0</v>
      </c>
      <c r="K26" s="258">
        <f t="shared" si="2"/>
        <v>0</v>
      </c>
      <c r="L26" s="192"/>
      <c r="M26" s="85"/>
      <c r="N26" s="85"/>
      <c r="O26" s="85"/>
      <c r="P26" s="192"/>
      <c r="Q26" s="47"/>
      <c r="R26" s="24"/>
      <c r="S26" s="24"/>
      <c r="T26" s="24"/>
      <c r="U26" s="24"/>
      <c r="V26" s="24"/>
    </row>
    <row r="27" spans="1:22" ht="13.5">
      <c r="A27" s="317"/>
      <c r="B27" s="251"/>
      <c r="C27" s="251"/>
      <c r="D27" s="250"/>
      <c r="E27" s="250"/>
      <c r="F27" s="250"/>
      <c r="G27" s="250"/>
      <c r="H27" s="250"/>
      <c r="I27" s="250"/>
      <c r="J27" s="250"/>
      <c r="K27" s="250"/>
      <c r="L27" s="192"/>
      <c r="M27" s="85"/>
      <c r="N27" s="85"/>
      <c r="O27" s="85"/>
      <c r="P27" s="192"/>
      <c r="Q27" s="47"/>
      <c r="R27" s="24"/>
      <c r="S27" s="24"/>
      <c r="T27" s="24"/>
      <c r="U27" s="24"/>
      <c r="V27" s="24"/>
    </row>
    <row r="28" spans="1:22" ht="19.5" customHeight="1" thickBot="1">
      <c r="A28" s="318" t="s">
        <v>88</v>
      </c>
      <c r="B28" s="319">
        <f>B13+B20+B26</f>
        <v>1630</v>
      </c>
      <c r="C28" s="319">
        <f>C13+C20+C26</f>
        <v>270.6411711368128</v>
      </c>
      <c r="D28" s="259">
        <f aca="true" t="shared" si="3" ref="D28:J28">D13+D20+D26</f>
        <v>898</v>
      </c>
      <c r="E28" s="259">
        <f t="shared" si="3"/>
        <v>1044</v>
      </c>
      <c r="F28" s="259">
        <f t="shared" si="3"/>
        <v>499.4</v>
      </c>
      <c r="G28" s="259">
        <f t="shared" si="3"/>
        <v>600</v>
      </c>
      <c r="H28" s="259">
        <f t="shared" si="3"/>
        <v>107</v>
      </c>
      <c r="I28" s="259">
        <f t="shared" si="3"/>
        <v>0</v>
      </c>
      <c r="J28" s="259">
        <f t="shared" si="3"/>
        <v>315</v>
      </c>
      <c r="K28" s="259">
        <f>K13+K20+K26</f>
        <v>306</v>
      </c>
      <c r="L28" s="53"/>
      <c r="M28" s="193"/>
      <c r="N28" s="193"/>
      <c r="O28" s="193"/>
      <c r="P28" s="53"/>
      <c r="Q28" s="47"/>
      <c r="R28" s="24"/>
      <c r="S28" s="24"/>
      <c r="T28" s="24"/>
      <c r="U28" s="24"/>
      <c r="V28" s="24"/>
    </row>
    <row r="29" spans="1:23" s="15" customFormat="1" ht="19.5" customHeight="1">
      <c r="A29" s="348" t="s">
        <v>118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281"/>
      <c r="M29" s="194"/>
      <c r="N29" s="49"/>
      <c r="O29" s="47"/>
      <c r="P29" s="47"/>
      <c r="Q29" s="47"/>
      <c r="R29" s="47"/>
      <c r="S29" s="47"/>
      <c r="T29" s="47"/>
      <c r="U29" s="47"/>
      <c r="V29" s="47"/>
      <c r="W29" s="47"/>
    </row>
    <row r="30" spans="1:23" s="15" customFormat="1" ht="13.5">
      <c r="A30" s="33"/>
      <c r="B30" s="195"/>
      <c r="C30" s="195"/>
      <c r="D30" s="55"/>
      <c r="E30" s="194"/>
      <c r="F30" s="194"/>
      <c r="G30" s="194"/>
      <c r="H30" s="194"/>
      <c r="I30" s="194"/>
      <c r="J30" s="49"/>
      <c r="K30" s="194"/>
      <c r="L30" s="194"/>
      <c r="M30" s="194"/>
      <c r="N30" s="49"/>
      <c r="O30" s="47"/>
      <c r="P30" s="47"/>
      <c r="Q30" s="47"/>
      <c r="R30" s="47"/>
      <c r="S30" s="47"/>
      <c r="T30" s="47"/>
      <c r="U30" s="47"/>
      <c r="V30" s="47"/>
      <c r="W30" s="47"/>
    </row>
    <row r="31" spans="1:23" s="15" customFormat="1" ht="13.5">
      <c r="A31" s="196"/>
      <c r="B31" s="195"/>
      <c r="C31" s="195"/>
      <c r="D31" s="55"/>
      <c r="E31" s="194"/>
      <c r="F31" s="194"/>
      <c r="G31" s="194"/>
      <c r="H31" s="194"/>
      <c r="I31" s="194"/>
      <c r="J31" s="49"/>
      <c r="K31" s="194"/>
      <c r="L31" s="194"/>
      <c r="M31" s="194"/>
      <c r="N31" s="49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30.75">
      <c r="A32" s="265" t="s">
        <v>106</v>
      </c>
      <c r="B32" s="197" t="s">
        <v>24</v>
      </c>
      <c r="C32" s="197" t="s">
        <v>24</v>
      </c>
      <c r="D32" s="89"/>
      <c r="E32" s="194"/>
      <c r="F32" s="194"/>
      <c r="G32" s="194"/>
      <c r="H32" s="194"/>
      <c r="I32" s="194"/>
      <c r="J32" s="49"/>
      <c r="K32" s="194"/>
      <c r="L32" s="194"/>
      <c r="M32" s="194"/>
      <c r="N32" s="49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41.25">
      <c r="A33" s="266" t="s">
        <v>62</v>
      </c>
      <c r="B33" s="244" t="s">
        <v>216</v>
      </c>
      <c r="C33" s="172" t="s">
        <v>107</v>
      </c>
      <c r="D33" s="172" t="s">
        <v>108</v>
      </c>
      <c r="E33" s="172" t="s">
        <v>109</v>
      </c>
      <c r="F33" s="172" t="s">
        <v>155</v>
      </c>
      <c r="G33" s="172" t="s">
        <v>215</v>
      </c>
      <c r="H33" s="262"/>
      <c r="I33" s="262"/>
      <c r="J33" s="263"/>
      <c r="K33" s="263"/>
      <c r="L33" s="263"/>
      <c r="M33" s="194"/>
      <c r="N33" s="49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3.5">
      <c r="A34" s="242" t="s">
        <v>16</v>
      </c>
      <c r="B34" s="173">
        <v>0.0153</v>
      </c>
      <c r="C34" s="173">
        <v>0.0896</v>
      </c>
      <c r="D34" s="173">
        <v>0.0021</v>
      </c>
      <c r="E34" s="173">
        <v>0</v>
      </c>
      <c r="F34" s="173">
        <v>0</v>
      </c>
      <c r="G34" s="173">
        <v>0</v>
      </c>
      <c r="H34" s="264"/>
      <c r="I34" s="264"/>
      <c r="J34" s="264"/>
      <c r="K34" s="264"/>
      <c r="L34" s="264"/>
      <c r="M34" s="194"/>
      <c r="N34" s="49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3.5">
      <c r="A35" s="242" t="s">
        <v>30</v>
      </c>
      <c r="B35" s="173">
        <v>0.1532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264"/>
      <c r="I35" s="264"/>
      <c r="J35" s="264"/>
      <c r="K35" s="264"/>
      <c r="L35" s="264"/>
      <c r="M35" s="194"/>
      <c r="N35" s="49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3.5">
      <c r="A36" s="242" t="s">
        <v>19</v>
      </c>
      <c r="B36" s="173">
        <v>0.0587</v>
      </c>
      <c r="C36" s="173">
        <v>0</v>
      </c>
      <c r="D36" s="173">
        <v>0</v>
      </c>
      <c r="E36" s="173">
        <v>0</v>
      </c>
      <c r="F36" s="173">
        <v>0.0442</v>
      </c>
      <c r="G36" s="173">
        <v>0</v>
      </c>
      <c r="H36" s="264"/>
      <c r="I36" s="264"/>
      <c r="J36" s="264"/>
      <c r="K36" s="264"/>
      <c r="L36" s="264"/>
      <c r="M36" s="194"/>
      <c r="N36" s="49"/>
      <c r="O36" s="24"/>
      <c r="P36" s="24"/>
      <c r="Q36" s="24"/>
      <c r="R36" s="24"/>
      <c r="S36" s="24"/>
      <c r="T36" s="24"/>
      <c r="U36" s="24"/>
      <c r="V36" s="24"/>
      <c r="W36" s="24"/>
    </row>
    <row r="37" spans="1:23" s="15" customFormat="1" ht="13.5">
      <c r="A37" s="242" t="s">
        <v>45</v>
      </c>
      <c r="B37" s="173">
        <v>0.0776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264"/>
      <c r="I37" s="264"/>
      <c r="J37" s="264"/>
      <c r="K37" s="264"/>
      <c r="L37" s="26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s="15" customFormat="1" ht="13.5">
      <c r="A38" s="242" t="s">
        <v>11</v>
      </c>
      <c r="B38" s="173">
        <v>0.0418</v>
      </c>
      <c r="C38" s="173">
        <v>0</v>
      </c>
      <c r="D38" s="173">
        <v>0.0088</v>
      </c>
      <c r="E38" s="173">
        <v>0</v>
      </c>
      <c r="F38" s="173">
        <v>0.6695</v>
      </c>
      <c r="G38" s="173">
        <v>0</v>
      </c>
      <c r="H38" s="264"/>
      <c r="I38" s="264"/>
      <c r="J38" s="264"/>
      <c r="K38" s="264"/>
      <c r="L38" s="264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15" customFormat="1" ht="13.5">
      <c r="A39" s="242" t="s">
        <v>20</v>
      </c>
      <c r="B39" s="173">
        <v>0.1238</v>
      </c>
      <c r="C39" s="173">
        <v>0</v>
      </c>
      <c r="D39" s="173">
        <v>0.0211</v>
      </c>
      <c r="E39" s="173">
        <v>0</v>
      </c>
      <c r="F39" s="173">
        <v>0.0412</v>
      </c>
      <c r="G39" s="173">
        <v>0</v>
      </c>
      <c r="H39" s="264"/>
      <c r="I39" s="264"/>
      <c r="J39" s="264"/>
      <c r="K39" s="264"/>
      <c r="L39" s="264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3.5">
      <c r="A40" s="242" t="s">
        <v>21</v>
      </c>
      <c r="B40" s="173">
        <v>0.0201</v>
      </c>
      <c r="C40" s="173">
        <v>0</v>
      </c>
      <c r="D40" s="173">
        <v>0.0012</v>
      </c>
      <c r="E40" s="173">
        <v>0</v>
      </c>
      <c r="F40" s="173">
        <v>0.0049</v>
      </c>
      <c r="G40" s="173">
        <v>0</v>
      </c>
      <c r="H40" s="264"/>
      <c r="I40" s="264"/>
      <c r="J40" s="264"/>
      <c r="K40" s="264"/>
      <c r="L40" s="264"/>
      <c r="M40" s="47"/>
      <c r="N40" s="47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3.5">
      <c r="A41" s="242" t="s">
        <v>55</v>
      </c>
      <c r="B41" s="173">
        <v>0.0321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264"/>
      <c r="I41" s="264"/>
      <c r="J41" s="264"/>
      <c r="K41" s="264"/>
      <c r="L41" s="264"/>
      <c r="M41" s="47"/>
      <c r="N41" s="47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3.5">
      <c r="A42" s="242" t="s">
        <v>44</v>
      </c>
      <c r="B42" s="173">
        <v>0.0169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264"/>
      <c r="I42" s="264"/>
      <c r="J42" s="264"/>
      <c r="K42" s="264"/>
      <c r="L42" s="264"/>
      <c r="M42" s="47"/>
      <c r="N42" s="47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3.5">
      <c r="A43" s="242" t="s">
        <v>31</v>
      </c>
      <c r="B43" s="173">
        <v>0.1242</v>
      </c>
      <c r="C43" s="173">
        <v>0</v>
      </c>
      <c r="D43" s="173">
        <v>0</v>
      </c>
      <c r="E43" s="173">
        <v>0</v>
      </c>
      <c r="F43" s="173">
        <v>0.1876</v>
      </c>
      <c r="G43" s="173">
        <v>0.9711</v>
      </c>
      <c r="H43" s="264"/>
      <c r="I43" s="264"/>
      <c r="J43" s="264"/>
      <c r="K43" s="264"/>
      <c r="L43" s="264"/>
      <c r="M43" s="47"/>
      <c r="N43" s="47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3.5">
      <c r="A44" s="242" t="s">
        <v>17</v>
      </c>
      <c r="B44" s="173">
        <v>0.0243</v>
      </c>
      <c r="C44" s="173">
        <v>0.1677</v>
      </c>
      <c r="D44" s="173">
        <v>0</v>
      </c>
      <c r="E44" s="173">
        <v>0</v>
      </c>
      <c r="F44" s="173">
        <v>0</v>
      </c>
      <c r="G44" s="173">
        <v>0</v>
      </c>
      <c r="H44" s="264"/>
      <c r="I44" s="264"/>
      <c r="J44" s="264"/>
      <c r="K44" s="264"/>
      <c r="L44" s="264"/>
      <c r="M44" s="47"/>
      <c r="N44" s="47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3.5">
      <c r="A45" s="242" t="s">
        <v>136</v>
      </c>
      <c r="B45" s="173">
        <v>0.0215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264"/>
      <c r="I45" s="264"/>
      <c r="J45" s="264"/>
      <c r="K45" s="264"/>
      <c r="L45" s="264"/>
      <c r="M45" s="47"/>
      <c r="N45" s="47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3.5">
      <c r="A46" s="242" t="s">
        <v>12</v>
      </c>
      <c r="B46" s="173">
        <v>0.0354</v>
      </c>
      <c r="C46" s="173">
        <v>0.0959</v>
      </c>
      <c r="D46" s="173">
        <v>0.0106</v>
      </c>
      <c r="E46" s="173">
        <v>0.1282</v>
      </c>
      <c r="F46" s="173">
        <v>0</v>
      </c>
      <c r="G46" s="173">
        <v>0</v>
      </c>
      <c r="H46" s="264"/>
      <c r="I46" s="264"/>
      <c r="J46" s="264"/>
      <c r="K46" s="264"/>
      <c r="L46" s="264"/>
      <c r="M46" s="47"/>
      <c r="N46" s="47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3.5">
      <c r="A47" s="242" t="s">
        <v>13</v>
      </c>
      <c r="B47" s="173">
        <v>0.0177</v>
      </c>
      <c r="C47" s="173">
        <v>0.0147</v>
      </c>
      <c r="D47" s="173">
        <v>0</v>
      </c>
      <c r="E47" s="173">
        <v>0</v>
      </c>
      <c r="F47" s="173">
        <v>0</v>
      </c>
      <c r="G47" s="173">
        <v>0.0018</v>
      </c>
      <c r="H47" s="264"/>
      <c r="I47" s="264"/>
      <c r="J47" s="264"/>
      <c r="K47" s="264"/>
      <c r="L47" s="264"/>
      <c r="M47" s="47"/>
      <c r="N47" s="47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3.5">
      <c r="A48" s="242" t="s">
        <v>9</v>
      </c>
      <c r="B48" s="173">
        <v>0.0518</v>
      </c>
      <c r="C48" s="173">
        <v>0.3064</v>
      </c>
      <c r="D48" s="173">
        <v>0</v>
      </c>
      <c r="E48" s="173">
        <v>0.5108</v>
      </c>
      <c r="F48" s="173">
        <v>0</v>
      </c>
      <c r="G48" s="173">
        <v>0</v>
      </c>
      <c r="H48" s="264"/>
      <c r="I48" s="264"/>
      <c r="J48" s="264"/>
      <c r="K48" s="264"/>
      <c r="L48" s="264"/>
      <c r="M48" s="47"/>
      <c r="N48" s="47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3.5">
      <c r="A49" s="242" t="s">
        <v>14</v>
      </c>
      <c r="B49" s="173">
        <v>0.0192</v>
      </c>
      <c r="C49" s="173">
        <v>0</v>
      </c>
      <c r="D49" s="173">
        <v>0.027</v>
      </c>
      <c r="E49" s="173">
        <v>0</v>
      </c>
      <c r="F49" s="173">
        <v>0.0005</v>
      </c>
      <c r="G49" s="173">
        <v>0</v>
      </c>
      <c r="H49" s="264"/>
      <c r="I49" s="264"/>
      <c r="J49" s="264"/>
      <c r="K49" s="264"/>
      <c r="L49" s="264"/>
      <c r="M49" s="47"/>
      <c r="N49" s="47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3.5">
      <c r="A50" s="242" t="s">
        <v>15</v>
      </c>
      <c r="B50" s="173">
        <v>0.0398</v>
      </c>
      <c r="C50" s="173">
        <v>0</v>
      </c>
      <c r="D50" s="173">
        <v>0.0095</v>
      </c>
      <c r="E50" s="173">
        <v>0.0057</v>
      </c>
      <c r="F50" s="173">
        <v>0.0521</v>
      </c>
      <c r="G50" s="173">
        <v>0.0271</v>
      </c>
      <c r="H50" s="264"/>
      <c r="I50" s="264"/>
      <c r="J50" s="264"/>
      <c r="K50" s="264"/>
      <c r="L50" s="264"/>
      <c r="M50" s="47"/>
      <c r="N50" s="47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3.5">
      <c r="A51" s="242" t="s">
        <v>10</v>
      </c>
      <c r="B51" s="173">
        <v>0.0505</v>
      </c>
      <c r="C51" s="173">
        <v>0.1633</v>
      </c>
      <c r="D51" s="173">
        <v>0</v>
      </c>
      <c r="E51" s="173">
        <v>0</v>
      </c>
      <c r="F51" s="173">
        <v>0</v>
      </c>
      <c r="G51" s="173">
        <v>0</v>
      </c>
      <c r="H51" s="264"/>
      <c r="I51" s="264"/>
      <c r="J51" s="264"/>
      <c r="K51" s="264"/>
      <c r="L51" s="264"/>
      <c r="M51" s="47"/>
      <c r="N51" s="47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3.5">
      <c r="A52" s="242" t="s">
        <v>8</v>
      </c>
      <c r="B52" s="173">
        <v>0.0597</v>
      </c>
      <c r="C52" s="173">
        <v>0.14</v>
      </c>
      <c r="D52" s="173">
        <v>0.6381</v>
      </c>
      <c r="E52" s="173">
        <v>0.3146</v>
      </c>
      <c r="F52" s="173">
        <v>0</v>
      </c>
      <c r="G52" s="173">
        <v>0</v>
      </c>
      <c r="H52" s="264"/>
      <c r="I52" s="264"/>
      <c r="J52" s="264"/>
      <c r="K52" s="264"/>
      <c r="L52" s="264"/>
      <c r="M52" s="47"/>
      <c r="N52" s="47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3.5">
      <c r="A53" s="242" t="s">
        <v>18</v>
      </c>
      <c r="B53" s="173">
        <v>0.0025</v>
      </c>
      <c r="C53" s="173">
        <v>0.0052</v>
      </c>
      <c r="D53" s="173">
        <v>0.0253</v>
      </c>
      <c r="E53" s="173">
        <v>0.0125</v>
      </c>
      <c r="F53" s="173">
        <v>0</v>
      </c>
      <c r="G53" s="173">
        <v>0</v>
      </c>
      <c r="H53" s="264"/>
      <c r="I53" s="264"/>
      <c r="J53" s="264"/>
      <c r="K53" s="264"/>
      <c r="L53" s="264"/>
      <c r="M53" s="47"/>
      <c r="N53" s="47"/>
      <c r="O53" s="24"/>
      <c r="P53" s="24"/>
      <c r="Q53" s="24"/>
      <c r="R53" s="24"/>
      <c r="S53" s="24"/>
      <c r="T53" s="24"/>
      <c r="U53" s="24"/>
      <c r="V53" s="24"/>
      <c r="W53" s="24"/>
    </row>
    <row r="54" spans="1:23" s="15" customFormat="1" ht="13.5">
      <c r="A54" s="242" t="s">
        <v>119</v>
      </c>
      <c r="B54" s="173">
        <v>0.0057</v>
      </c>
      <c r="C54" s="173">
        <v>0.0049</v>
      </c>
      <c r="D54" s="173">
        <v>0.0905</v>
      </c>
      <c r="E54" s="173">
        <v>0</v>
      </c>
      <c r="F54" s="173">
        <v>0</v>
      </c>
      <c r="G54" s="173">
        <v>0</v>
      </c>
      <c r="H54" s="264"/>
      <c r="I54" s="264"/>
      <c r="J54" s="264"/>
      <c r="K54" s="264"/>
      <c r="L54" s="264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3.5">
      <c r="A55" s="242" t="s">
        <v>120</v>
      </c>
      <c r="B55" s="173">
        <v>0.0042</v>
      </c>
      <c r="C55" s="173">
        <v>0.0094</v>
      </c>
      <c r="D55" s="173">
        <v>0.0006</v>
      </c>
      <c r="E55" s="173">
        <v>0.0118</v>
      </c>
      <c r="F55" s="173">
        <v>0</v>
      </c>
      <c r="G55" s="173">
        <v>0</v>
      </c>
      <c r="H55" s="264"/>
      <c r="I55" s="264"/>
      <c r="J55" s="264"/>
      <c r="K55" s="264"/>
      <c r="L55" s="26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3.5">
      <c r="A56" s="242" t="s">
        <v>102</v>
      </c>
      <c r="B56" s="173">
        <v>0.002</v>
      </c>
      <c r="C56" s="173">
        <v>0.0029</v>
      </c>
      <c r="D56" s="173">
        <v>0.0192</v>
      </c>
      <c r="E56" s="173">
        <v>0.0085</v>
      </c>
      <c r="F56" s="173">
        <v>0</v>
      </c>
      <c r="G56" s="173">
        <v>0</v>
      </c>
      <c r="H56" s="264"/>
      <c r="I56" s="264"/>
      <c r="J56" s="264"/>
      <c r="K56" s="264"/>
      <c r="L56" s="26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3.5">
      <c r="A57" s="242" t="s">
        <v>103</v>
      </c>
      <c r="B57" s="173">
        <v>0.002</v>
      </c>
      <c r="C57" s="173">
        <v>0</v>
      </c>
      <c r="D57" s="173">
        <v>0.146</v>
      </c>
      <c r="E57" s="173">
        <v>0.0079</v>
      </c>
      <c r="F57" s="173">
        <v>0</v>
      </c>
      <c r="G57" s="173">
        <v>0</v>
      </c>
      <c r="H57" s="264"/>
      <c r="I57" s="264"/>
      <c r="J57" s="264"/>
      <c r="K57" s="264"/>
      <c r="L57" s="26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3.5">
      <c r="A58" s="267"/>
      <c r="B58" s="268">
        <f aca="true" t="shared" si="4" ref="B58:G58">SUM(B34:B57)</f>
        <v>0.9999999999999999</v>
      </c>
      <c r="C58" s="268">
        <f t="shared" si="4"/>
        <v>0.9999999999999999</v>
      </c>
      <c r="D58" s="268">
        <f t="shared" si="4"/>
        <v>1</v>
      </c>
      <c r="E58" s="268">
        <f t="shared" si="4"/>
        <v>1</v>
      </c>
      <c r="F58" s="268">
        <f t="shared" si="4"/>
        <v>1</v>
      </c>
      <c r="G58" s="268">
        <f t="shared" si="4"/>
        <v>1</v>
      </c>
      <c r="H58" s="261"/>
      <c r="I58" s="261"/>
      <c r="J58" s="261"/>
      <c r="K58" s="261"/>
      <c r="L58" s="26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42" customHeight="1">
      <c r="A59" s="366" t="s">
        <v>243</v>
      </c>
      <c r="B59" s="367"/>
      <c r="C59" s="367"/>
      <c r="D59" s="367"/>
      <c r="E59" s="367"/>
      <c r="F59" s="367"/>
      <c r="G59" s="367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3.5">
      <c r="A60" s="33"/>
      <c r="B60" s="174"/>
      <c r="C60" s="174"/>
      <c r="D60" s="17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4.25" thickBot="1">
      <c r="A61" s="33"/>
      <c r="B61" s="174"/>
      <c r="C61" s="174"/>
      <c r="D61" s="17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4.25" thickBot="1">
      <c r="A62" s="360" t="s">
        <v>176</v>
      </c>
      <c r="B62" s="195"/>
      <c r="C62" s="195"/>
      <c r="D62" s="55"/>
      <c r="E62" s="24"/>
      <c r="F62" s="136" t="s">
        <v>24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9" ht="14.25" thickBot="1">
      <c r="A63" s="361"/>
      <c r="B63" s="354" t="s">
        <v>29</v>
      </c>
      <c r="C63" s="355"/>
      <c r="D63" s="355"/>
      <c r="E63" s="356"/>
      <c r="F63" s="368" t="s">
        <v>35</v>
      </c>
      <c r="G63" s="369"/>
      <c r="H63" s="373" t="s">
        <v>5</v>
      </c>
      <c r="I63" s="374"/>
      <c r="J63" s="374"/>
      <c r="K63" s="374"/>
      <c r="L63" s="375"/>
      <c r="M63" s="354" t="s">
        <v>8</v>
      </c>
      <c r="N63" s="355"/>
      <c r="O63" s="355"/>
      <c r="P63" s="355"/>
      <c r="Q63" s="356"/>
      <c r="R63" s="373" t="s">
        <v>36</v>
      </c>
      <c r="S63" s="374"/>
      <c r="T63" s="374"/>
      <c r="U63" s="375"/>
      <c r="V63" s="354" t="s">
        <v>15</v>
      </c>
      <c r="W63" s="356"/>
      <c r="X63" s="354" t="s">
        <v>11</v>
      </c>
      <c r="Y63" s="355"/>
      <c r="Z63" s="355"/>
      <c r="AA63" s="356"/>
      <c r="AB63" s="354" t="s">
        <v>37</v>
      </c>
      <c r="AC63" s="356"/>
    </row>
    <row r="64" spans="1:29" ht="27.75" thickBot="1">
      <c r="A64" s="362"/>
      <c r="B64" s="357" t="s">
        <v>43</v>
      </c>
      <c r="C64" s="358"/>
      <c r="D64" s="359"/>
      <c r="E64" s="175">
        <f>'BRA Resource Clearing Results'!C6</f>
        <v>0</v>
      </c>
      <c r="F64" s="176" t="s">
        <v>43</v>
      </c>
      <c r="G64" s="297">
        <f>'BRA Resource Clearing Results'!C7</f>
        <v>60.65</v>
      </c>
      <c r="H64" s="376" t="s">
        <v>43</v>
      </c>
      <c r="I64" s="377"/>
      <c r="J64" s="377"/>
      <c r="K64" s="377"/>
      <c r="L64" s="298">
        <f>'BRA Resource Clearing Results'!C8</f>
        <v>0</v>
      </c>
      <c r="M64" s="370" t="s">
        <v>43</v>
      </c>
      <c r="N64" s="371"/>
      <c r="O64" s="371"/>
      <c r="P64" s="372"/>
      <c r="Q64" s="295">
        <f>'BRA Resource Clearing Results'!C9</f>
        <v>0</v>
      </c>
      <c r="R64" s="378" t="s">
        <v>43</v>
      </c>
      <c r="S64" s="379"/>
      <c r="T64" s="379"/>
      <c r="U64" s="298">
        <f>'BRA Resource Clearing Results'!C10</f>
        <v>0</v>
      </c>
      <c r="V64" s="300" t="s">
        <v>43</v>
      </c>
      <c r="W64" s="301">
        <f>'BRA Resource Clearing Results'!C12</f>
        <v>0</v>
      </c>
      <c r="X64" s="363" t="s">
        <v>43</v>
      </c>
      <c r="Y64" s="364"/>
      <c r="Z64" s="365"/>
      <c r="AA64" s="271">
        <f>'BRA Resource Clearing Results'!C16</f>
        <v>0</v>
      </c>
      <c r="AB64" s="303" t="s">
        <v>43</v>
      </c>
      <c r="AC64" s="301">
        <f>'BRA Resource Clearing Results'!C11</f>
        <v>0</v>
      </c>
    </row>
    <row r="65" spans="1:29" ht="69" thickBot="1">
      <c r="A65" s="177" t="s">
        <v>62</v>
      </c>
      <c r="B65" s="178" t="s">
        <v>110</v>
      </c>
      <c r="C65" s="172" t="s">
        <v>111</v>
      </c>
      <c r="D65" s="179" t="s">
        <v>63</v>
      </c>
      <c r="E65" s="180" t="s">
        <v>77</v>
      </c>
      <c r="F65" s="178" t="s">
        <v>110</v>
      </c>
      <c r="G65" s="180" t="s">
        <v>77</v>
      </c>
      <c r="H65" s="291" t="s">
        <v>110</v>
      </c>
      <c r="I65" s="269" t="s">
        <v>111</v>
      </c>
      <c r="J65" s="269" t="s">
        <v>217</v>
      </c>
      <c r="K65" s="296" t="s">
        <v>63</v>
      </c>
      <c r="L65" s="288" t="s">
        <v>77</v>
      </c>
      <c r="M65" s="178" t="s">
        <v>110</v>
      </c>
      <c r="N65" s="172" t="s">
        <v>112</v>
      </c>
      <c r="O65" s="172" t="s">
        <v>113</v>
      </c>
      <c r="P65" s="179" t="s">
        <v>63</v>
      </c>
      <c r="Q65" s="180" t="s">
        <v>77</v>
      </c>
      <c r="R65" s="291" t="s">
        <v>110</v>
      </c>
      <c r="S65" s="269" t="s">
        <v>112</v>
      </c>
      <c r="T65" s="296" t="s">
        <v>63</v>
      </c>
      <c r="U65" s="299" t="s">
        <v>77</v>
      </c>
      <c r="V65" s="276" t="s">
        <v>217</v>
      </c>
      <c r="W65" s="180" t="s">
        <v>77</v>
      </c>
      <c r="X65" s="269" t="s">
        <v>111</v>
      </c>
      <c r="Y65" s="302" t="s">
        <v>156</v>
      </c>
      <c r="Z65" s="296" t="s">
        <v>63</v>
      </c>
      <c r="AA65" s="270" t="s">
        <v>77</v>
      </c>
      <c r="AB65" s="350" t="s">
        <v>146</v>
      </c>
      <c r="AC65" s="351"/>
    </row>
    <row r="66" spans="1:29" ht="13.5">
      <c r="A66" s="65" t="s">
        <v>16</v>
      </c>
      <c r="B66" s="155">
        <f>B34*$C$13</f>
        <v>1.8341501601717274</v>
      </c>
      <c r="C66" s="181">
        <f>C34*$C$15</f>
        <v>0.23803140057775143</v>
      </c>
      <c r="D66" s="181">
        <f>B66+C66</f>
        <v>2.072181560749479</v>
      </c>
      <c r="E66" s="69">
        <f>D66*$E$64</f>
        <v>0</v>
      </c>
      <c r="F66" s="155">
        <f>B34*$D$13</f>
        <v>13.7394</v>
      </c>
      <c r="G66" s="158">
        <f>F66*$G$64</f>
        <v>833.2946099999999</v>
      </c>
      <c r="H66" s="155">
        <f>B34*$E$13</f>
        <v>3.9168</v>
      </c>
      <c r="I66" s="181">
        <f aca="true" t="shared" si="5" ref="I66:I89">C34*$E$15</f>
        <v>21.2352</v>
      </c>
      <c r="J66" s="293">
        <f aca="true" t="shared" si="6" ref="J66:J89">G34*$E$19</f>
        <v>0</v>
      </c>
      <c r="K66" s="181">
        <f>H66+I66+J66</f>
        <v>25.151999999999997</v>
      </c>
      <c r="L66" s="289">
        <f>K66*$L$64</f>
        <v>0</v>
      </c>
      <c r="M66" s="155">
        <f aca="true" t="shared" si="7" ref="M66:M89">B34*$F$13</f>
        <v>1.05417</v>
      </c>
      <c r="N66" s="181">
        <f aca="true" t="shared" si="8" ref="N66:N89">D34*$F$16</f>
        <v>0.7144199999999999</v>
      </c>
      <c r="O66" s="181">
        <f aca="true" t="shared" si="9" ref="O66:O89">E34*$F$17</f>
        <v>0</v>
      </c>
      <c r="P66" s="181">
        <f>M66+N66+O66</f>
        <v>1.76859</v>
      </c>
      <c r="Q66" s="69">
        <f aca="true" t="shared" si="10" ref="Q66:Q89">P66*$Q$64</f>
        <v>0</v>
      </c>
      <c r="R66" s="155">
        <f aca="true" t="shared" si="11" ref="R66:R89">B34*$G$13</f>
        <v>1.61415</v>
      </c>
      <c r="S66" s="181">
        <f aca="true" t="shared" si="12" ref="S66:S89">D34*$G$16</f>
        <v>1.0384499999999999</v>
      </c>
      <c r="T66" s="181">
        <f aca="true" t="shared" si="13" ref="T66:T71">R66+S66</f>
        <v>2.6525999999999996</v>
      </c>
      <c r="U66" s="272">
        <f aca="true" t="shared" si="14" ref="U66:U89">T66*$U$64</f>
        <v>0</v>
      </c>
      <c r="V66" s="155">
        <f aca="true" t="shared" si="15" ref="V66:V89">G34*$J$19</f>
        <v>0</v>
      </c>
      <c r="W66" s="158">
        <f aca="true" t="shared" si="16" ref="W66:W89">V66*$W$64</f>
        <v>0</v>
      </c>
      <c r="X66" s="181">
        <f>C34*$K$15</f>
        <v>11.1104</v>
      </c>
      <c r="Y66" s="274">
        <f>F34*$K$18</f>
        <v>0</v>
      </c>
      <c r="Z66" s="292">
        <f>X66+Y66</f>
        <v>11.1104</v>
      </c>
      <c r="AA66" s="158">
        <f aca="true" t="shared" si="17" ref="AA66:AA89">Y66*$AA$64</f>
        <v>0</v>
      </c>
      <c r="AB66" s="4"/>
      <c r="AC66" s="4"/>
    </row>
    <row r="67" spans="1:29" ht="13.5">
      <c r="A67" s="65" t="s">
        <v>30</v>
      </c>
      <c r="B67" s="155">
        <f aca="true" t="shared" si="18" ref="B67:B89">B35*$C$13</f>
        <v>18.36547742080449</v>
      </c>
      <c r="C67" s="181">
        <f aca="true" t="shared" si="19" ref="C67:C89">C35*$C$15</f>
        <v>0</v>
      </c>
      <c r="D67" s="181">
        <f>B67+C67</f>
        <v>18.36547742080449</v>
      </c>
      <c r="E67" s="69">
        <f>D67*$E$64</f>
        <v>0</v>
      </c>
      <c r="F67" s="155">
        <f aca="true" t="shared" si="20" ref="F67:F74">B35*$D$13</f>
        <v>137.5736</v>
      </c>
      <c r="G67" s="158">
        <f aca="true" t="shared" si="21" ref="G67:G89">F67*$G$64</f>
        <v>8343.83884</v>
      </c>
      <c r="H67" s="155">
        <f aca="true" t="shared" si="22" ref="H67:H89">B35*$E$13</f>
        <v>39.2192</v>
      </c>
      <c r="I67" s="181">
        <f t="shared" si="5"/>
        <v>0</v>
      </c>
      <c r="J67" s="293">
        <f t="shared" si="6"/>
        <v>0</v>
      </c>
      <c r="K67" s="181">
        <f aca="true" t="shared" si="23" ref="K67:K89">H67+I67+J67</f>
        <v>39.2192</v>
      </c>
      <c r="L67" s="289">
        <f>K67*$L$64</f>
        <v>0</v>
      </c>
      <c r="M67" s="155">
        <f t="shared" si="7"/>
        <v>10.555480000000001</v>
      </c>
      <c r="N67" s="181">
        <f t="shared" si="8"/>
        <v>0</v>
      </c>
      <c r="O67" s="181">
        <f t="shared" si="9"/>
        <v>0</v>
      </c>
      <c r="P67" s="181">
        <f>M67+N67+O67</f>
        <v>10.555480000000001</v>
      </c>
      <c r="Q67" s="69">
        <f t="shared" si="10"/>
        <v>0</v>
      </c>
      <c r="R67" s="155">
        <f t="shared" si="11"/>
        <v>16.1626</v>
      </c>
      <c r="S67" s="181">
        <f t="shared" si="12"/>
        <v>0</v>
      </c>
      <c r="T67" s="181">
        <f t="shared" si="13"/>
        <v>16.1626</v>
      </c>
      <c r="U67" s="272">
        <f t="shared" si="14"/>
        <v>0</v>
      </c>
      <c r="V67" s="155">
        <f t="shared" si="15"/>
        <v>0</v>
      </c>
      <c r="W67" s="158">
        <f t="shared" si="16"/>
        <v>0</v>
      </c>
      <c r="X67" s="181">
        <f aca="true" t="shared" si="24" ref="X67:X89">C35*$K$15</f>
        <v>0</v>
      </c>
      <c r="Y67" s="274">
        <f aca="true" t="shared" si="25" ref="Y67:Y89">F35*$K$18</f>
        <v>0</v>
      </c>
      <c r="Z67" s="292">
        <f aca="true" t="shared" si="26" ref="Z67:Z89">X67+Y67</f>
        <v>0</v>
      </c>
      <c r="AA67" s="158">
        <f t="shared" si="17"/>
        <v>0</v>
      </c>
      <c r="AB67" s="4"/>
      <c r="AC67" s="4"/>
    </row>
    <row r="68" spans="1:29" ht="13.5">
      <c r="A68" s="65" t="s">
        <v>19</v>
      </c>
      <c r="B68" s="155">
        <f t="shared" si="18"/>
        <v>7.036902902096759</v>
      </c>
      <c r="C68" s="181">
        <f t="shared" si="19"/>
        <v>0</v>
      </c>
      <c r="D68" s="181">
        <f>B68+C68</f>
        <v>7.036902902096759</v>
      </c>
      <c r="E68" s="69">
        <f aca="true" t="shared" si="27" ref="E68:E88">D68*$E$64</f>
        <v>0</v>
      </c>
      <c r="F68" s="155">
        <f t="shared" si="20"/>
        <v>52.7126</v>
      </c>
      <c r="G68" s="158">
        <f>F68*$G$64</f>
        <v>3197.01919</v>
      </c>
      <c r="H68" s="155">
        <f t="shared" si="22"/>
        <v>15.0272</v>
      </c>
      <c r="I68" s="181">
        <f t="shared" si="5"/>
        <v>0</v>
      </c>
      <c r="J68" s="293">
        <f t="shared" si="6"/>
        <v>0</v>
      </c>
      <c r="K68" s="181">
        <f t="shared" si="23"/>
        <v>15.0272</v>
      </c>
      <c r="L68" s="289">
        <f>K68*$L$64</f>
        <v>0</v>
      </c>
      <c r="M68" s="155">
        <f t="shared" si="7"/>
        <v>4.04443</v>
      </c>
      <c r="N68" s="181">
        <f t="shared" si="8"/>
        <v>0</v>
      </c>
      <c r="O68" s="181">
        <f t="shared" si="9"/>
        <v>0</v>
      </c>
      <c r="P68" s="181">
        <f>M68+N68+O68</f>
        <v>4.04443</v>
      </c>
      <c r="Q68" s="69">
        <f t="shared" si="10"/>
        <v>0</v>
      </c>
      <c r="R68" s="155">
        <f t="shared" si="11"/>
        <v>6.19285</v>
      </c>
      <c r="S68" s="181">
        <f t="shared" si="12"/>
        <v>0</v>
      </c>
      <c r="T68" s="181">
        <f t="shared" si="13"/>
        <v>6.19285</v>
      </c>
      <c r="U68" s="272">
        <f t="shared" si="14"/>
        <v>0</v>
      </c>
      <c r="V68" s="155">
        <f t="shared" si="15"/>
        <v>0</v>
      </c>
      <c r="W68" s="158">
        <f t="shared" si="16"/>
        <v>0</v>
      </c>
      <c r="X68" s="181">
        <f t="shared" si="24"/>
        <v>0</v>
      </c>
      <c r="Y68" s="274">
        <f t="shared" si="25"/>
        <v>8.044400000000001</v>
      </c>
      <c r="Z68" s="292">
        <f t="shared" si="26"/>
        <v>8.044400000000001</v>
      </c>
      <c r="AA68" s="158">
        <f t="shared" si="17"/>
        <v>0</v>
      </c>
      <c r="AB68" s="4"/>
      <c r="AC68" s="4"/>
    </row>
    <row r="69" spans="1:29" ht="13.5">
      <c r="A69" s="65" t="s">
        <v>45</v>
      </c>
      <c r="B69" s="155">
        <f t="shared" si="18"/>
        <v>9.302617805838304</v>
      </c>
      <c r="C69" s="181">
        <f t="shared" si="19"/>
        <v>0</v>
      </c>
      <c r="D69" s="181">
        <f aca="true" t="shared" si="28" ref="D69:D88">B69+C69</f>
        <v>9.302617805838304</v>
      </c>
      <c r="E69" s="69">
        <f t="shared" si="27"/>
        <v>0</v>
      </c>
      <c r="F69" s="155">
        <f t="shared" si="20"/>
        <v>69.6848</v>
      </c>
      <c r="G69" s="158">
        <f t="shared" si="21"/>
        <v>4226.3831199999995</v>
      </c>
      <c r="H69" s="155">
        <f t="shared" si="22"/>
        <v>19.8656</v>
      </c>
      <c r="I69" s="181">
        <f t="shared" si="5"/>
        <v>0</v>
      </c>
      <c r="J69" s="293">
        <f t="shared" si="6"/>
        <v>0</v>
      </c>
      <c r="K69" s="181">
        <f t="shared" si="23"/>
        <v>19.8656</v>
      </c>
      <c r="L69" s="289">
        <f>K69*$L$64</f>
        <v>0</v>
      </c>
      <c r="M69" s="155">
        <f t="shared" si="7"/>
        <v>5.346640000000001</v>
      </c>
      <c r="N69" s="181">
        <f t="shared" si="8"/>
        <v>0</v>
      </c>
      <c r="O69" s="181">
        <f t="shared" si="9"/>
        <v>0</v>
      </c>
      <c r="P69" s="181">
        <f aca="true" t="shared" si="29" ref="P69:P84">M69+N69+O69</f>
        <v>5.346640000000001</v>
      </c>
      <c r="Q69" s="69">
        <f t="shared" si="10"/>
        <v>0</v>
      </c>
      <c r="R69" s="155">
        <f t="shared" si="11"/>
        <v>8.1868</v>
      </c>
      <c r="S69" s="181">
        <f t="shared" si="12"/>
        <v>0</v>
      </c>
      <c r="T69" s="181">
        <f t="shared" si="13"/>
        <v>8.1868</v>
      </c>
      <c r="U69" s="272">
        <f t="shared" si="14"/>
        <v>0</v>
      </c>
      <c r="V69" s="155">
        <f t="shared" si="15"/>
        <v>0</v>
      </c>
      <c r="W69" s="158">
        <f t="shared" si="16"/>
        <v>0</v>
      </c>
      <c r="X69" s="181">
        <f t="shared" si="24"/>
        <v>0</v>
      </c>
      <c r="Y69" s="274">
        <f t="shared" si="25"/>
        <v>0</v>
      </c>
      <c r="Z69" s="292">
        <f t="shared" si="26"/>
        <v>0</v>
      </c>
      <c r="AA69" s="158">
        <f t="shared" si="17"/>
        <v>0</v>
      </c>
      <c r="AB69" s="4"/>
      <c r="AC69" s="4"/>
    </row>
    <row r="70" spans="1:29" ht="13.5">
      <c r="A70" s="65" t="s">
        <v>11</v>
      </c>
      <c r="B70" s="155">
        <f t="shared" si="18"/>
        <v>5.010946189227334</v>
      </c>
      <c r="C70" s="181">
        <f t="shared" si="19"/>
        <v>0</v>
      </c>
      <c r="D70" s="181">
        <f t="shared" si="28"/>
        <v>5.010946189227334</v>
      </c>
      <c r="E70" s="69">
        <f t="shared" si="27"/>
        <v>0</v>
      </c>
      <c r="F70" s="155">
        <f t="shared" si="20"/>
        <v>37.5364</v>
      </c>
      <c r="G70" s="158">
        <f t="shared" si="21"/>
        <v>2276.58266</v>
      </c>
      <c r="H70" s="155">
        <f t="shared" si="22"/>
        <v>10.7008</v>
      </c>
      <c r="I70" s="181">
        <f t="shared" si="5"/>
        <v>0</v>
      </c>
      <c r="J70" s="293">
        <f t="shared" si="6"/>
        <v>0</v>
      </c>
      <c r="K70" s="181">
        <f t="shared" si="23"/>
        <v>10.7008</v>
      </c>
      <c r="L70" s="289">
        <f aca="true" t="shared" si="30" ref="L70:L84">K70*$L$64</f>
        <v>0</v>
      </c>
      <c r="M70" s="155">
        <f t="shared" si="7"/>
        <v>2.88002</v>
      </c>
      <c r="N70" s="181">
        <f t="shared" si="8"/>
        <v>2.99376</v>
      </c>
      <c r="O70" s="181">
        <f t="shared" si="9"/>
        <v>0</v>
      </c>
      <c r="P70" s="181">
        <f t="shared" si="29"/>
        <v>5.87378</v>
      </c>
      <c r="Q70" s="69">
        <f t="shared" si="10"/>
        <v>0</v>
      </c>
      <c r="R70" s="155">
        <f t="shared" si="11"/>
        <v>4.4098999999999995</v>
      </c>
      <c r="S70" s="181">
        <f t="shared" si="12"/>
        <v>4.3516</v>
      </c>
      <c r="T70" s="181">
        <f t="shared" si="13"/>
        <v>8.7615</v>
      </c>
      <c r="U70" s="272">
        <f t="shared" si="14"/>
        <v>0</v>
      </c>
      <c r="V70" s="155">
        <f t="shared" si="15"/>
        <v>0</v>
      </c>
      <c r="W70" s="158">
        <f t="shared" si="16"/>
        <v>0</v>
      </c>
      <c r="X70" s="181">
        <f t="shared" si="24"/>
        <v>0</v>
      </c>
      <c r="Y70" s="274">
        <f t="shared" si="25"/>
        <v>121.849</v>
      </c>
      <c r="Z70" s="292">
        <f t="shared" si="26"/>
        <v>121.849</v>
      </c>
      <c r="AA70" s="158">
        <f t="shared" si="17"/>
        <v>0</v>
      </c>
      <c r="AB70" s="4"/>
      <c r="AC70" s="4"/>
    </row>
    <row r="71" spans="1:29" ht="13.5">
      <c r="A71" s="65" t="s">
        <v>20</v>
      </c>
      <c r="B71" s="155">
        <f t="shared" si="18"/>
        <v>14.841032014984304</v>
      </c>
      <c r="C71" s="181">
        <f t="shared" si="19"/>
        <v>0</v>
      </c>
      <c r="D71" s="181">
        <f t="shared" si="28"/>
        <v>14.841032014984304</v>
      </c>
      <c r="E71" s="69">
        <f t="shared" si="27"/>
        <v>0</v>
      </c>
      <c r="F71" s="155">
        <f t="shared" si="20"/>
        <v>111.1724</v>
      </c>
      <c r="G71" s="158">
        <f t="shared" si="21"/>
        <v>6742.606059999999</v>
      </c>
      <c r="H71" s="155">
        <f t="shared" si="22"/>
        <v>31.6928</v>
      </c>
      <c r="I71" s="181">
        <f t="shared" si="5"/>
        <v>0</v>
      </c>
      <c r="J71" s="293">
        <f t="shared" si="6"/>
        <v>0</v>
      </c>
      <c r="K71" s="181">
        <f t="shared" si="23"/>
        <v>31.6928</v>
      </c>
      <c r="L71" s="289">
        <f t="shared" si="30"/>
        <v>0</v>
      </c>
      <c r="M71" s="155">
        <f t="shared" si="7"/>
        <v>8.52982</v>
      </c>
      <c r="N71" s="181">
        <f t="shared" si="8"/>
        <v>7.17822</v>
      </c>
      <c r="O71" s="181">
        <f t="shared" si="9"/>
        <v>0</v>
      </c>
      <c r="P71" s="181">
        <f t="shared" si="29"/>
        <v>15.70804</v>
      </c>
      <c r="Q71" s="69">
        <f t="shared" si="10"/>
        <v>0</v>
      </c>
      <c r="R71" s="155">
        <f t="shared" si="11"/>
        <v>13.0609</v>
      </c>
      <c r="S71" s="181">
        <f t="shared" si="12"/>
        <v>10.433950000000001</v>
      </c>
      <c r="T71" s="181">
        <f t="shared" si="13"/>
        <v>23.49485</v>
      </c>
      <c r="U71" s="272">
        <f t="shared" si="14"/>
        <v>0</v>
      </c>
      <c r="V71" s="155">
        <f t="shared" si="15"/>
        <v>0</v>
      </c>
      <c r="W71" s="158">
        <f t="shared" si="16"/>
        <v>0</v>
      </c>
      <c r="X71" s="181">
        <f t="shared" si="24"/>
        <v>0</v>
      </c>
      <c r="Y71" s="274">
        <f t="shared" si="25"/>
        <v>7.4984</v>
      </c>
      <c r="Z71" s="292">
        <f t="shared" si="26"/>
        <v>7.4984</v>
      </c>
      <c r="AA71" s="158">
        <f t="shared" si="17"/>
        <v>0</v>
      </c>
      <c r="AB71" s="4"/>
      <c r="AC71" s="4"/>
    </row>
    <row r="72" spans="1:29" ht="13.5">
      <c r="A72" s="65" t="s">
        <v>21</v>
      </c>
      <c r="B72" s="155">
        <f t="shared" si="18"/>
        <v>2.4095698182648184</v>
      </c>
      <c r="C72" s="181">
        <f t="shared" si="19"/>
        <v>0</v>
      </c>
      <c r="D72" s="181">
        <f t="shared" si="28"/>
        <v>2.4095698182648184</v>
      </c>
      <c r="E72" s="69">
        <f t="shared" si="27"/>
        <v>0</v>
      </c>
      <c r="F72" s="155">
        <f t="shared" si="20"/>
        <v>18.0498</v>
      </c>
      <c r="G72" s="158">
        <f t="shared" si="21"/>
        <v>1094.72037</v>
      </c>
      <c r="H72" s="155">
        <f t="shared" si="22"/>
        <v>5.1456</v>
      </c>
      <c r="I72" s="181">
        <f t="shared" si="5"/>
        <v>0</v>
      </c>
      <c r="J72" s="293">
        <f t="shared" si="6"/>
        <v>0</v>
      </c>
      <c r="K72" s="181">
        <f t="shared" si="23"/>
        <v>5.1456</v>
      </c>
      <c r="L72" s="289">
        <f t="shared" si="30"/>
        <v>0</v>
      </c>
      <c r="M72" s="155">
        <f t="shared" si="7"/>
        <v>1.3848900000000002</v>
      </c>
      <c r="N72" s="181">
        <f t="shared" si="8"/>
        <v>0.40823999999999994</v>
      </c>
      <c r="O72" s="181">
        <f t="shared" si="9"/>
        <v>0</v>
      </c>
      <c r="P72" s="181">
        <f t="shared" si="29"/>
        <v>1.7931300000000001</v>
      </c>
      <c r="Q72" s="69">
        <f t="shared" si="10"/>
        <v>0</v>
      </c>
      <c r="R72" s="155">
        <f t="shared" si="11"/>
        <v>2.12055</v>
      </c>
      <c r="S72" s="181">
        <f t="shared" si="12"/>
        <v>0.5933999999999999</v>
      </c>
      <c r="T72" s="181">
        <f aca="true" t="shared" si="31" ref="T72:T88">R72+S72</f>
        <v>2.71395</v>
      </c>
      <c r="U72" s="272">
        <f t="shared" si="14"/>
        <v>0</v>
      </c>
      <c r="V72" s="155">
        <f t="shared" si="15"/>
        <v>0</v>
      </c>
      <c r="W72" s="158">
        <f t="shared" si="16"/>
        <v>0</v>
      </c>
      <c r="X72" s="181">
        <f t="shared" si="24"/>
        <v>0</v>
      </c>
      <c r="Y72" s="274">
        <f t="shared" si="25"/>
        <v>0.8917999999999999</v>
      </c>
      <c r="Z72" s="292">
        <f t="shared" si="26"/>
        <v>0.8917999999999999</v>
      </c>
      <c r="AA72" s="158">
        <f t="shared" si="17"/>
        <v>0</v>
      </c>
      <c r="AB72" s="4"/>
      <c r="AC72" s="4"/>
    </row>
    <row r="73" spans="1:29" ht="13.5">
      <c r="A73" s="65" t="s">
        <v>55</v>
      </c>
      <c r="B73" s="155">
        <f t="shared" si="18"/>
        <v>3.8481189634975457</v>
      </c>
      <c r="C73" s="181">
        <f t="shared" si="19"/>
        <v>0</v>
      </c>
      <c r="D73" s="181">
        <f t="shared" si="28"/>
        <v>3.8481189634975457</v>
      </c>
      <c r="E73" s="69">
        <f t="shared" si="27"/>
        <v>0</v>
      </c>
      <c r="F73" s="155">
        <f t="shared" si="20"/>
        <v>28.825799999999997</v>
      </c>
      <c r="G73" s="158">
        <f t="shared" si="21"/>
        <v>1748.2847699999998</v>
      </c>
      <c r="H73" s="155">
        <f t="shared" si="22"/>
        <v>8.2176</v>
      </c>
      <c r="I73" s="181">
        <f t="shared" si="5"/>
        <v>0</v>
      </c>
      <c r="J73" s="293">
        <f t="shared" si="6"/>
        <v>0</v>
      </c>
      <c r="K73" s="181">
        <f t="shared" si="23"/>
        <v>8.2176</v>
      </c>
      <c r="L73" s="289">
        <f t="shared" si="30"/>
        <v>0</v>
      </c>
      <c r="M73" s="155">
        <f t="shared" si="7"/>
        <v>2.21169</v>
      </c>
      <c r="N73" s="181">
        <f t="shared" si="8"/>
        <v>0</v>
      </c>
      <c r="O73" s="181">
        <f t="shared" si="9"/>
        <v>0</v>
      </c>
      <c r="P73" s="181">
        <f t="shared" si="29"/>
        <v>2.21169</v>
      </c>
      <c r="Q73" s="69">
        <f t="shared" si="10"/>
        <v>0</v>
      </c>
      <c r="R73" s="155">
        <f t="shared" si="11"/>
        <v>3.3865499999999997</v>
      </c>
      <c r="S73" s="181">
        <f t="shared" si="12"/>
        <v>0</v>
      </c>
      <c r="T73" s="181">
        <f t="shared" si="31"/>
        <v>3.3865499999999997</v>
      </c>
      <c r="U73" s="272">
        <f t="shared" si="14"/>
        <v>0</v>
      </c>
      <c r="V73" s="155">
        <f t="shared" si="15"/>
        <v>0</v>
      </c>
      <c r="W73" s="158">
        <f t="shared" si="16"/>
        <v>0</v>
      </c>
      <c r="X73" s="181">
        <f t="shared" si="24"/>
        <v>0</v>
      </c>
      <c r="Y73" s="274">
        <f t="shared" si="25"/>
        <v>0</v>
      </c>
      <c r="Z73" s="292">
        <f t="shared" si="26"/>
        <v>0</v>
      </c>
      <c r="AA73" s="158">
        <f t="shared" si="17"/>
        <v>0</v>
      </c>
      <c r="AB73" s="4"/>
      <c r="AC73" s="4"/>
    </row>
    <row r="74" spans="1:29" ht="13.5">
      <c r="A74" s="65" t="s">
        <v>44</v>
      </c>
      <c r="B74" s="155">
        <f t="shared" si="18"/>
        <v>2.0259567128694242</v>
      </c>
      <c r="C74" s="181">
        <f t="shared" si="19"/>
        <v>0</v>
      </c>
      <c r="D74" s="181">
        <f t="shared" si="28"/>
        <v>2.0259567128694242</v>
      </c>
      <c r="E74" s="69">
        <f t="shared" si="27"/>
        <v>0</v>
      </c>
      <c r="F74" s="155">
        <f t="shared" si="20"/>
        <v>15.176199999999998</v>
      </c>
      <c r="G74" s="158">
        <f t="shared" si="21"/>
        <v>920.4365299999998</v>
      </c>
      <c r="H74" s="155">
        <f t="shared" si="22"/>
        <v>4.3264</v>
      </c>
      <c r="I74" s="181">
        <f t="shared" si="5"/>
        <v>0</v>
      </c>
      <c r="J74" s="293">
        <f t="shared" si="6"/>
        <v>0</v>
      </c>
      <c r="K74" s="181">
        <f t="shared" si="23"/>
        <v>4.3264</v>
      </c>
      <c r="L74" s="289">
        <f t="shared" si="30"/>
        <v>0</v>
      </c>
      <c r="M74" s="155">
        <f t="shared" si="7"/>
        <v>1.16441</v>
      </c>
      <c r="N74" s="181">
        <f t="shared" si="8"/>
        <v>0</v>
      </c>
      <c r="O74" s="181">
        <f t="shared" si="9"/>
        <v>0</v>
      </c>
      <c r="P74" s="181">
        <f t="shared" si="29"/>
        <v>1.16441</v>
      </c>
      <c r="Q74" s="69">
        <f t="shared" si="10"/>
        <v>0</v>
      </c>
      <c r="R74" s="155">
        <f t="shared" si="11"/>
        <v>1.7829499999999998</v>
      </c>
      <c r="S74" s="181">
        <f t="shared" si="12"/>
        <v>0</v>
      </c>
      <c r="T74" s="181">
        <f t="shared" si="31"/>
        <v>1.7829499999999998</v>
      </c>
      <c r="U74" s="272">
        <f t="shared" si="14"/>
        <v>0</v>
      </c>
      <c r="V74" s="155">
        <f t="shared" si="15"/>
        <v>0</v>
      </c>
      <c r="W74" s="158">
        <f t="shared" si="16"/>
        <v>0</v>
      </c>
      <c r="X74" s="181">
        <f t="shared" si="24"/>
        <v>0</v>
      </c>
      <c r="Y74" s="274">
        <f t="shared" si="25"/>
        <v>0</v>
      </c>
      <c r="Z74" s="292">
        <f t="shared" si="26"/>
        <v>0</v>
      </c>
      <c r="AA74" s="158">
        <f t="shared" si="17"/>
        <v>0</v>
      </c>
      <c r="AB74" s="4"/>
      <c r="AC74" s="4"/>
    </row>
    <row r="75" spans="1:29" ht="13.5">
      <c r="A75" s="65" t="s">
        <v>31</v>
      </c>
      <c r="B75" s="155">
        <f t="shared" si="18"/>
        <v>14.88898365315873</v>
      </c>
      <c r="C75" s="181">
        <f t="shared" si="19"/>
        <v>0</v>
      </c>
      <c r="D75" s="181">
        <f t="shared" si="28"/>
        <v>14.88898365315873</v>
      </c>
      <c r="E75" s="69">
        <f t="shared" si="27"/>
        <v>0</v>
      </c>
      <c r="F75" s="155">
        <f aca="true" t="shared" si="32" ref="F75:F89">B43*$D$13</f>
        <v>111.5316</v>
      </c>
      <c r="G75" s="158">
        <f t="shared" si="21"/>
        <v>6764.39154</v>
      </c>
      <c r="H75" s="155">
        <f t="shared" si="22"/>
        <v>31.7952</v>
      </c>
      <c r="I75" s="181">
        <f t="shared" si="5"/>
        <v>0</v>
      </c>
      <c r="J75" s="293">
        <f t="shared" si="6"/>
        <v>535.0761</v>
      </c>
      <c r="K75" s="181">
        <f t="shared" si="23"/>
        <v>566.8713</v>
      </c>
      <c r="L75" s="289">
        <f t="shared" si="30"/>
        <v>0</v>
      </c>
      <c r="M75" s="155">
        <f t="shared" si="7"/>
        <v>8.55738</v>
      </c>
      <c r="N75" s="181">
        <f t="shared" si="8"/>
        <v>0</v>
      </c>
      <c r="O75" s="181">
        <f t="shared" si="9"/>
        <v>0</v>
      </c>
      <c r="P75" s="181">
        <f t="shared" si="29"/>
        <v>8.55738</v>
      </c>
      <c r="Q75" s="69">
        <f t="shared" si="10"/>
        <v>0</v>
      </c>
      <c r="R75" s="155">
        <f t="shared" si="11"/>
        <v>13.103100000000001</v>
      </c>
      <c r="S75" s="181">
        <f t="shared" si="12"/>
        <v>0</v>
      </c>
      <c r="T75" s="181">
        <f t="shared" si="31"/>
        <v>13.103100000000001</v>
      </c>
      <c r="U75" s="272">
        <f t="shared" si="14"/>
        <v>0</v>
      </c>
      <c r="V75" s="155">
        <f t="shared" si="15"/>
        <v>305.8965</v>
      </c>
      <c r="W75" s="158">
        <f t="shared" si="16"/>
        <v>0</v>
      </c>
      <c r="X75" s="181">
        <f t="shared" si="24"/>
        <v>0</v>
      </c>
      <c r="Y75" s="274">
        <f t="shared" si="25"/>
        <v>34.1432</v>
      </c>
      <c r="Z75" s="292">
        <f t="shared" si="26"/>
        <v>34.1432</v>
      </c>
      <c r="AA75" s="158">
        <f t="shared" si="17"/>
        <v>0</v>
      </c>
      <c r="AB75" s="4"/>
      <c r="AC75" s="4"/>
    </row>
    <row r="76" spans="1:29" ht="13.5">
      <c r="A76" s="65" t="s">
        <v>17</v>
      </c>
      <c r="B76" s="155">
        <f t="shared" si="18"/>
        <v>2.913062019096273</v>
      </c>
      <c r="C76" s="181">
        <f t="shared" si="19"/>
        <v>0.44551189594742086</v>
      </c>
      <c r="D76" s="181">
        <f t="shared" si="28"/>
        <v>3.358573915043694</v>
      </c>
      <c r="E76" s="69">
        <f t="shared" si="27"/>
        <v>0</v>
      </c>
      <c r="F76" s="155">
        <f t="shared" si="32"/>
        <v>21.8214</v>
      </c>
      <c r="G76" s="158">
        <f t="shared" si="21"/>
        <v>1323.46791</v>
      </c>
      <c r="H76" s="155">
        <f t="shared" si="22"/>
        <v>6.2208</v>
      </c>
      <c r="I76" s="181">
        <f t="shared" si="5"/>
        <v>39.744899999999994</v>
      </c>
      <c r="J76" s="293">
        <f t="shared" si="6"/>
        <v>0</v>
      </c>
      <c r="K76" s="181">
        <f t="shared" si="23"/>
        <v>45.96569999999999</v>
      </c>
      <c r="L76" s="289">
        <f t="shared" si="30"/>
        <v>0</v>
      </c>
      <c r="M76" s="155">
        <f t="shared" si="7"/>
        <v>1.6742700000000001</v>
      </c>
      <c r="N76" s="181">
        <f t="shared" si="8"/>
        <v>0</v>
      </c>
      <c r="O76" s="181">
        <f t="shared" si="9"/>
        <v>0</v>
      </c>
      <c r="P76" s="181">
        <f t="shared" si="29"/>
        <v>1.6742700000000001</v>
      </c>
      <c r="Q76" s="69">
        <f t="shared" si="10"/>
        <v>0</v>
      </c>
      <c r="R76" s="155">
        <f t="shared" si="11"/>
        <v>2.56365</v>
      </c>
      <c r="S76" s="181">
        <f t="shared" si="12"/>
        <v>0</v>
      </c>
      <c r="T76" s="181">
        <f t="shared" si="31"/>
        <v>2.56365</v>
      </c>
      <c r="U76" s="272">
        <f t="shared" si="14"/>
        <v>0</v>
      </c>
      <c r="V76" s="155">
        <f t="shared" si="15"/>
        <v>0</v>
      </c>
      <c r="W76" s="158">
        <f t="shared" si="16"/>
        <v>0</v>
      </c>
      <c r="X76" s="181">
        <f t="shared" si="24"/>
        <v>20.7948</v>
      </c>
      <c r="Y76" s="274">
        <f t="shared" si="25"/>
        <v>0</v>
      </c>
      <c r="Z76" s="292">
        <f t="shared" si="26"/>
        <v>20.7948</v>
      </c>
      <c r="AA76" s="158">
        <f t="shared" si="17"/>
        <v>0</v>
      </c>
      <c r="AB76" s="4"/>
      <c r="AC76" s="4"/>
    </row>
    <row r="77" spans="1:29" ht="13.5">
      <c r="A77" s="65" t="s">
        <v>136</v>
      </c>
      <c r="B77" s="155">
        <f t="shared" si="18"/>
        <v>2.577400551875303</v>
      </c>
      <c r="C77" s="181">
        <f t="shared" si="19"/>
        <v>0</v>
      </c>
      <c r="D77" s="181">
        <f>B77+C77</f>
        <v>2.577400551875303</v>
      </c>
      <c r="E77" s="69">
        <f>D77*$E$64</f>
        <v>0</v>
      </c>
      <c r="F77" s="155">
        <f t="shared" si="32"/>
        <v>19.307</v>
      </c>
      <c r="G77" s="158">
        <f>F77*$G$64</f>
        <v>1170.9695499999998</v>
      </c>
      <c r="H77" s="155">
        <f t="shared" si="22"/>
        <v>5.504</v>
      </c>
      <c r="I77" s="181">
        <f t="shared" si="5"/>
        <v>0</v>
      </c>
      <c r="J77" s="293">
        <f t="shared" si="6"/>
        <v>0</v>
      </c>
      <c r="K77" s="181">
        <f t="shared" si="23"/>
        <v>5.504</v>
      </c>
      <c r="L77" s="289">
        <f t="shared" si="30"/>
        <v>0</v>
      </c>
      <c r="M77" s="155">
        <f t="shared" si="7"/>
        <v>1.48135</v>
      </c>
      <c r="N77" s="181">
        <f t="shared" si="8"/>
        <v>0</v>
      </c>
      <c r="O77" s="181">
        <f t="shared" si="9"/>
        <v>0</v>
      </c>
      <c r="P77" s="181">
        <f>M77+N77+O77</f>
        <v>1.48135</v>
      </c>
      <c r="Q77" s="69">
        <f t="shared" si="10"/>
        <v>0</v>
      </c>
      <c r="R77" s="155">
        <f t="shared" si="11"/>
        <v>2.2682499999999997</v>
      </c>
      <c r="S77" s="181">
        <f t="shared" si="12"/>
        <v>0</v>
      </c>
      <c r="T77" s="181">
        <f>R77+S77</f>
        <v>2.2682499999999997</v>
      </c>
      <c r="U77" s="272">
        <f t="shared" si="14"/>
        <v>0</v>
      </c>
      <c r="V77" s="155">
        <f t="shared" si="15"/>
        <v>0</v>
      </c>
      <c r="W77" s="158">
        <f t="shared" si="16"/>
        <v>0</v>
      </c>
      <c r="X77" s="181">
        <f t="shared" si="24"/>
        <v>0</v>
      </c>
      <c r="Y77" s="274">
        <f t="shared" si="25"/>
        <v>0</v>
      </c>
      <c r="Z77" s="292">
        <f t="shared" si="26"/>
        <v>0</v>
      </c>
      <c r="AA77" s="158">
        <f t="shared" si="17"/>
        <v>0</v>
      </c>
      <c r="AB77" s="4"/>
      <c r="AC77" s="4"/>
    </row>
    <row r="78" spans="1:29" ht="13.5">
      <c r="A78" s="65" t="s">
        <v>12</v>
      </c>
      <c r="B78" s="155">
        <f t="shared" si="18"/>
        <v>4.2437199784365465</v>
      </c>
      <c r="C78" s="181">
        <f t="shared" si="19"/>
        <v>0.2547679834308746</v>
      </c>
      <c r="D78" s="181">
        <f t="shared" si="28"/>
        <v>4.498487961867421</v>
      </c>
      <c r="E78" s="69">
        <f t="shared" si="27"/>
        <v>0</v>
      </c>
      <c r="F78" s="155">
        <f t="shared" si="32"/>
        <v>31.7892</v>
      </c>
      <c r="G78" s="158">
        <f t="shared" si="21"/>
        <v>1928.01498</v>
      </c>
      <c r="H78" s="155">
        <f t="shared" si="22"/>
        <v>9.0624</v>
      </c>
      <c r="I78" s="181">
        <f t="shared" si="5"/>
        <v>22.7283</v>
      </c>
      <c r="J78" s="293">
        <f t="shared" si="6"/>
        <v>0</v>
      </c>
      <c r="K78" s="181">
        <f t="shared" si="23"/>
        <v>31.7907</v>
      </c>
      <c r="L78" s="289">
        <f t="shared" si="30"/>
        <v>0</v>
      </c>
      <c r="M78" s="155">
        <f t="shared" si="7"/>
        <v>2.4390600000000004</v>
      </c>
      <c r="N78" s="181">
        <f t="shared" si="8"/>
        <v>3.6061199999999998</v>
      </c>
      <c r="O78" s="181">
        <f t="shared" si="9"/>
        <v>11.57646</v>
      </c>
      <c r="P78" s="181">
        <f t="shared" si="29"/>
        <v>17.62164</v>
      </c>
      <c r="Q78" s="69">
        <f t="shared" si="10"/>
        <v>0</v>
      </c>
      <c r="R78" s="155">
        <f t="shared" si="11"/>
        <v>3.7347</v>
      </c>
      <c r="S78" s="181">
        <f t="shared" si="12"/>
        <v>5.2417</v>
      </c>
      <c r="T78" s="181">
        <f t="shared" si="31"/>
        <v>8.9764</v>
      </c>
      <c r="U78" s="272">
        <f t="shared" si="14"/>
        <v>0</v>
      </c>
      <c r="V78" s="155">
        <f t="shared" si="15"/>
        <v>0</v>
      </c>
      <c r="W78" s="158">
        <f t="shared" si="16"/>
        <v>0</v>
      </c>
      <c r="X78" s="181">
        <f t="shared" si="24"/>
        <v>11.8916</v>
      </c>
      <c r="Y78" s="274">
        <f t="shared" si="25"/>
        <v>0</v>
      </c>
      <c r="Z78" s="292">
        <f t="shared" si="26"/>
        <v>11.8916</v>
      </c>
      <c r="AA78" s="158">
        <f t="shared" si="17"/>
        <v>0</v>
      </c>
      <c r="AB78" s="4"/>
      <c r="AC78" s="4"/>
    </row>
    <row r="79" spans="1:29" ht="13.5">
      <c r="A79" s="65" t="s">
        <v>13</v>
      </c>
      <c r="B79" s="155">
        <f t="shared" si="18"/>
        <v>2.1218599892182732</v>
      </c>
      <c r="C79" s="181">
        <f t="shared" si="19"/>
        <v>0.03905202665728734</v>
      </c>
      <c r="D79" s="181">
        <f t="shared" si="28"/>
        <v>2.1609120158755606</v>
      </c>
      <c r="E79" s="69">
        <f t="shared" si="27"/>
        <v>0</v>
      </c>
      <c r="F79" s="155">
        <f t="shared" si="32"/>
        <v>15.8946</v>
      </c>
      <c r="G79" s="158">
        <f t="shared" si="21"/>
        <v>964.00749</v>
      </c>
      <c r="H79" s="155">
        <f t="shared" si="22"/>
        <v>4.5312</v>
      </c>
      <c r="I79" s="181">
        <f t="shared" si="5"/>
        <v>3.4838999999999998</v>
      </c>
      <c r="J79" s="293">
        <f t="shared" si="6"/>
        <v>0.9918</v>
      </c>
      <c r="K79" s="181">
        <f t="shared" si="23"/>
        <v>9.0069</v>
      </c>
      <c r="L79" s="289">
        <f t="shared" si="30"/>
        <v>0</v>
      </c>
      <c r="M79" s="155">
        <f t="shared" si="7"/>
        <v>1.2195300000000002</v>
      </c>
      <c r="N79" s="181">
        <f t="shared" si="8"/>
        <v>0</v>
      </c>
      <c r="O79" s="181">
        <f t="shared" si="9"/>
        <v>0</v>
      </c>
      <c r="P79" s="181">
        <f t="shared" si="29"/>
        <v>1.2195300000000002</v>
      </c>
      <c r="Q79" s="69">
        <f t="shared" si="10"/>
        <v>0</v>
      </c>
      <c r="R79" s="155">
        <f t="shared" si="11"/>
        <v>1.86735</v>
      </c>
      <c r="S79" s="181">
        <f t="shared" si="12"/>
        <v>0</v>
      </c>
      <c r="T79" s="181">
        <f t="shared" si="31"/>
        <v>1.86735</v>
      </c>
      <c r="U79" s="272">
        <f t="shared" si="14"/>
        <v>0</v>
      </c>
      <c r="V79" s="155">
        <f t="shared" si="15"/>
        <v>0.567</v>
      </c>
      <c r="W79" s="158">
        <f t="shared" si="16"/>
        <v>0</v>
      </c>
      <c r="X79" s="181">
        <f t="shared" si="24"/>
        <v>1.8228</v>
      </c>
      <c r="Y79" s="274">
        <f t="shared" si="25"/>
        <v>0</v>
      </c>
      <c r="Z79" s="292">
        <f t="shared" si="26"/>
        <v>1.8228</v>
      </c>
      <c r="AA79" s="158">
        <f t="shared" si="17"/>
        <v>0</v>
      </c>
      <c r="AB79" s="4"/>
      <c r="AC79" s="4"/>
    </row>
    <row r="80" spans="1:29" ht="13.5">
      <c r="A80" s="65" t="s">
        <v>9</v>
      </c>
      <c r="B80" s="155">
        <f t="shared" si="18"/>
        <v>6.20973714358794</v>
      </c>
      <c r="C80" s="181">
        <f t="shared" si="19"/>
        <v>0.8139823787614179</v>
      </c>
      <c r="D80" s="181">
        <f t="shared" si="28"/>
        <v>7.023719522349358</v>
      </c>
      <c r="E80" s="69">
        <f t="shared" si="27"/>
        <v>0</v>
      </c>
      <c r="F80" s="155">
        <f t="shared" si="32"/>
        <v>46.5164</v>
      </c>
      <c r="G80" s="158">
        <f t="shared" si="21"/>
        <v>2821.2196599999997</v>
      </c>
      <c r="H80" s="155">
        <f t="shared" si="22"/>
        <v>13.2608</v>
      </c>
      <c r="I80" s="181">
        <f t="shared" si="5"/>
        <v>72.6168</v>
      </c>
      <c r="J80" s="293">
        <f t="shared" si="6"/>
        <v>0</v>
      </c>
      <c r="K80" s="181">
        <f t="shared" si="23"/>
        <v>85.8776</v>
      </c>
      <c r="L80" s="289">
        <f t="shared" si="30"/>
        <v>0</v>
      </c>
      <c r="M80" s="155">
        <f t="shared" si="7"/>
        <v>3.56902</v>
      </c>
      <c r="N80" s="181">
        <f t="shared" si="8"/>
        <v>0</v>
      </c>
      <c r="O80" s="181">
        <f t="shared" si="9"/>
        <v>46.12524</v>
      </c>
      <c r="P80" s="181">
        <f t="shared" si="29"/>
        <v>49.69426</v>
      </c>
      <c r="Q80" s="69">
        <f t="shared" si="10"/>
        <v>0</v>
      </c>
      <c r="R80" s="155">
        <f t="shared" si="11"/>
        <v>5.4649</v>
      </c>
      <c r="S80" s="181">
        <f t="shared" si="12"/>
        <v>0</v>
      </c>
      <c r="T80" s="181">
        <f t="shared" si="31"/>
        <v>5.4649</v>
      </c>
      <c r="U80" s="272">
        <f t="shared" si="14"/>
        <v>0</v>
      </c>
      <c r="V80" s="155">
        <f t="shared" si="15"/>
        <v>0</v>
      </c>
      <c r="W80" s="158">
        <f t="shared" si="16"/>
        <v>0</v>
      </c>
      <c r="X80" s="181">
        <f t="shared" si="24"/>
        <v>37.9936</v>
      </c>
      <c r="Y80" s="274">
        <f t="shared" si="25"/>
        <v>0</v>
      </c>
      <c r="Z80" s="292">
        <f t="shared" si="26"/>
        <v>37.9936</v>
      </c>
      <c r="AA80" s="158">
        <f t="shared" si="17"/>
        <v>0</v>
      </c>
      <c r="AB80" s="4"/>
      <c r="AC80" s="4"/>
    </row>
    <row r="81" spans="1:29" ht="13.5">
      <c r="A81" s="65" t="s">
        <v>14</v>
      </c>
      <c r="B81" s="155">
        <f t="shared" si="18"/>
        <v>2.3016786323723637</v>
      </c>
      <c r="C81" s="181">
        <f t="shared" si="19"/>
        <v>0</v>
      </c>
      <c r="D81" s="181">
        <f t="shared" si="28"/>
        <v>2.3016786323723637</v>
      </c>
      <c r="E81" s="69">
        <f t="shared" si="27"/>
        <v>0</v>
      </c>
      <c r="F81" s="155">
        <f t="shared" si="32"/>
        <v>17.2416</v>
      </c>
      <c r="G81" s="158">
        <f t="shared" si="21"/>
        <v>1045.7030399999999</v>
      </c>
      <c r="H81" s="155">
        <f t="shared" si="22"/>
        <v>4.9152</v>
      </c>
      <c r="I81" s="181">
        <f t="shared" si="5"/>
        <v>0</v>
      </c>
      <c r="J81" s="293">
        <f t="shared" si="6"/>
        <v>0</v>
      </c>
      <c r="K81" s="181">
        <f t="shared" si="23"/>
        <v>4.9152</v>
      </c>
      <c r="L81" s="289">
        <f t="shared" si="30"/>
        <v>0</v>
      </c>
      <c r="M81" s="155">
        <f t="shared" si="7"/>
        <v>1.32288</v>
      </c>
      <c r="N81" s="181">
        <f t="shared" si="8"/>
        <v>9.1854</v>
      </c>
      <c r="O81" s="181">
        <f t="shared" si="9"/>
        <v>0</v>
      </c>
      <c r="P81" s="181">
        <f t="shared" si="29"/>
        <v>10.50828</v>
      </c>
      <c r="Q81" s="69">
        <f t="shared" si="10"/>
        <v>0</v>
      </c>
      <c r="R81" s="155">
        <f t="shared" si="11"/>
        <v>2.0256</v>
      </c>
      <c r="S81" s="181">
        <f t="shared" si="12"/>
        <v>13.3515</v>
      </c>
      <c r="T81" s="181">
        <f t="shared" si="31"/>
        <v>15.377099999999999</v>
      </c>
      <c r="U81" s="272">
        <f t="shared" si="14"/>
        <v>0</v>
      </c>
      <c r="V81" s="155">
        <f t="shared" si="15"/>
        <v>0</v>
      </c>
      <c r="W81" s="158">
        <f t="shared" si="16"/>
        <v>0</v>
      </c>
      <c r="X81" s="181">
        <f t="shared" si="24"/>
        <v>0</v>
      </c>
      <c r="Y81" s="274">
        <f t="shared" si="25"/>
        <v>0.091</v>
      </c>
      <c r="Z81" s="292">
        <f t="shared" si="26"/>
        <v>0.091</v>
      </c>
      <c r="AA81" s="158">
        <f t="shared" si="17"/>
        <v>0</v>
      </c>
      <c r="AB81" s="4"/>
      <c r="AC81" s="4"/>
    </row>
    <row r="82" spans="1:29" ht="13.5">
      <c r="A82" s="65" t="s">
        <v>15</v>
      </c>
      <c r="B82" s="155">
        <f t="shared" si="18"/>
        <v>4.771187998355213</v>
      </c>
      <c r="C82" s="181">
        <f t="shared" si="19"/>
        <v>0</v>
      </c>
      <c r="D82" s="181">
        <f t="shared" si="28"/>
        <v>4.771187998355213</v>
      </c>
      <c r="E82" s="69">
        <f t="shared" si="27"/>
        <v>0</v>
      </c>
      <c r="F82" s="155">
        <f t="shared" si="32"/>
        <v>35.7404</v>
      </c>
      <c r="G82" s="158">
        <f t="shared" si="21"/>
        <v>2167.65526</v>
      </c>
      <c r="H82" s="155">
        <f t="shared" si="22"/>
        <v>10.1888</v>
      </c>
      <c r="I82" s="181">
        <f t="shared" si="5"/>
        <v>0</v>
      </c>
      <c r="J82" s="293">
        <f t="shared" si="6"/>
        <v>14.9321</v>
      </c>
      <c r="K82" s="181">
        <f t="shared" si="23"/>
        <v>25.1209</v>
      </c>
      <c r="L82" s="289">
        <f t="shared" si="30"/>
        <v>0</v>
      </c>
      <c r="M82" s="155">
        <f t="shared" si="7"/>
        <v>2.7422200000000005</v>
      </c>
      <c r="N82" s="181">
        <f t="shared" si="8"/>
        <v>3.2319</v>
      </c>
      <c r="O82" s="181">
        <f t="shared" si="9"/>
        <v>0.51471</v>
      </c>
      <c r="P82" s="181">
        <f t="shared" si="29"/>
        <v>6.488830000000001</v>
      </c>
      <c r="Q82" s="69">
        <f t="shared" si="10"/>
        <v>0</v>
      </c>
      <c r="R82" s="155">
        <f t="shared" si="11"/>
        <v>4.1989</v>
      </c>
      <c r="S82" s="181">
        <f t="shared" si="12"/>
        <v>4.69775</v>
      </c>
      <c r="T82" s="181">
        <f t="shared" si="31"/>
        <v>8.896650000000001</v>
      </c>
      <c r="U82" s="272">
        <f t="shared" si="14"/>
        <v>0</v>
      </c>
      <c r="V82" s="155">
        <f t="shared" si="15"/>
        <v>8.5365</v>
      </c>
      <c r="W82" s="158">
        <f t="shared" si="16"/>
        <v>0</v>
      </c>
      <c r="X82" s="181">
        <f t="shared" si="24"/>
        <v>0</v>
      </c>
      <c r="Y82" s="274">
        <f t="shared" si="25"/>
        <v>9.4822</v>
      </c>
      <c r="Z82" s="292">
        <f t="shared" si="26"/>
        <v>9.4822</v>
      </c>
      <c r="AA82" s="158">
        <f t="shared" si="17"/>
        <v>0</v>
      </c>
      <c r="AB82" s="4"/>
      <c r="AC82" s="4"/>
    </row>
    <row r="83" spans="1:29" ht="13.5">
      <c r="A83" s="65" t="s">
        <v>10</v>
      </c>
      <c r="B83" s="155">
        <f t="shared" si="18"/>
        <v>6.053894319521062</v>
      </c>
      <c r="C83" s="181">
        <f t="shared" si="19"/>
        <v>0.4338228539547635</v>
      </c>
      <c r="D83" s="181">
        <f t="shared" si="28"/>
        <v>6.487717173475826</v>
      </c>
      <c r="E83" s="69">
        <f t="shared" si="27"/>
        <v>0</v>
      </c>
      <c r="F83" s="155">
        <f t="shared" si="32"/>
        <v>45.349000000000004</v>
      </c>
      <c r="G83" s="158">
        <f t="shared" si="21"/>
        <v>2750.41685</v>
      </c>
      <c r="H83" s="155">
        <f t="shared" si="22"/>
        <v>12.928</v>
      </c>
      <c r="I83" s="181">
        <f t="shared" si="5"/>
        <v>38.7021</v>
      </c>
      <c r="J83" s="293">
        <f t="shared" si="6"/>
        <v>0</v>
      </c>
      <c r="K83" s="181">
        <f t="shared" si="23"/>
        <v>51.6301</v>
      </c>
      <c r="L83" s="289">
        <f t="shared" si="30"/>
        <v>0</v>
      </c>
      <c r="M83" s="155">
        <f t="shared" si="7"/>
        <v>3.4794500000000004</v>
      </c>
      <c r="N83" s="181">
        <f t="shared" si="8"/>
        <v>0</v>
      </c>
      <c r="O83" s="181">
        <f t="shared" si="9"/>
        <v>0</v>
      </c>
      <c r="P83" s="181">
        <f t="shared" si="29"/>
        <v>3.4794500000000004</v>
      </c>
      <c r="Q83" s="69">
        <f t="shared" si="10"/>
        <v>0</v>
      </c>
      <c r="R83" s="155">
        <f t="shared" si="11"/>
        <v>5.32775</v>
      </c>
      <c r="S83" s="181">
        <f t="shared" si="12"/>
        <v>0</v>
      </c>
      <c r="T83" s="181">
        <f t="shared" si="31"/>
        <v>5.32775</v>
      </c>
      <c r="U83" s="272">
        <f t="shared" si="14"/>
        <v>0</v>
      </c>
      <c r="V83" s="155">
        <f t="shared" si="15"/>
        <v>0</v>
      </c>
      <c r="W83" s="158">
        <f t="shared" si="16"/>
        <v>0</v>
      </c>
      <c r="X83" s="181">
        <f t="shared" si="24"/>
        <v>20.249200000000002</v>
      </c>
      <c r="Y83" s="274">
        <f t="shared" si="25"/>
        <v>0</v>
      </c>
      <c r="Z83" s="292">
        <f t="shared" si="26"/>
        <v>20.249200000000002</v>
      </c>
      <c r="AA83" s="158">
        <f t="shared" si="17"/>
        <v>0</v>
      </c>
      <c r="AB83" s="4"/>
      <c r="AC83" s="4"/>
    </row>
    <row r="84" spans="1:29" ht="13.5">
      <c r="A84" s="65" t="s">
        <v>8</v>
      </c>
      <c r="B84" s="155">
        <f t="shared" si="18"/>
        <v>7.1567819975328195</v>
      </c>
      <c r="C84" s="181">
        <f t="shared" si="19"/>
        <v>0.37192406340273665</v>
      </c>
      <c r="D84" s="181">
        <f t="shared" si="28"/>
        <v>7.528706060935556</v>
      </c>
      <c r="E84" s="69">
        <f t="shared" si="27"/>
        <v>0</v>
      </c>
      <c r="F84" s="155">
        <f t="shared" si="32"/>
        <v>53.610600000000005</v>
      </c>
      <c r="G84" s="158">
        <f t="shared" si="21"/>
        <v>3251.48289</v>
      </c>
      <c r="H84" s="155">
        <f t="shared" si="22"/>
        <v>15.2832</v>
      </c>
      <c r="I84" s="181">
        <f t="shared" si="5"/>
        <v>33.18</v>
      </c>
      <c r="J84" s="293">
        <f t="shared" si="6"/>
        <v>0</v>
      </c>
      <c r="K84" s="181">
        <f t="shared" si="23"/>
        <v>48.4632</v>
      </c>
      <c r="L84" s="289">
        <f t="shared" si="30"/>
        <v>0</v>
      </c>
      <c r="M84" s="155">
        <f t="shared" si="7"/>
        <v>4.11333</v>
      </c>
      <c r="N84" s="181">
        <f t="shared" si="8"/>
        <v>217.08162</v>
      </c>
      <c r="O84" s="181">
        <f t="shared" si="9"/>
        <v>28.408379999999998</v>
      </c>
      <c r="P84" s="181">
        <f t="shared" si="29"/>
        <v>249.60332999999997</v>
      </c>
      <c r="Q84" s="69">
        <f t="shared" si="10"/>
        <v>0</v>
      </c>
      <c r="R84" s="155">
        <f t="shared" si="11"/>
        <v>6.29835</v>
      </c>
      <c r="S84" s="181">
        <f t="shared" si="12"/>
        <v>315.54045</v>
      </c>
      <c r="T84" s="181">
        <f t="shared" si="31"/>
        <v>321.83880000000005</v>
      </c>
      <c r="U84" s="272">
        <f t="shared" si="14"/>
        <v>0</v>
      </c>
      <c r="V84" s="155">
        <f t="shared" si="15"/>
        <v>0</v>
      </c>
      <c r="W84" s="158">
        <f t="shared" si="16"/>
        <v>0</v>
      </c>
      <c r="X84" s="181">
        <f t="shared" si="24"/>
        <v>17.360000000000003</v>
      </c>
      <c r="Y84" s="274">
        <f t="shared" si="25"/>
        <v>0</v>
      </c>
      <c r="Z84" s="292">
        <f t="shared" si="26"/>
        <v>17.360000000000003</v>
      </c>
      <c r="AA84" s="158">
        <f t="shared" si="17"/>
        <v>0</v>
      </c>
      <c r="AB84" s="4"/>
      <c r="AC84" s="4"/>
    </row>
    <row r="85" spans="1:29" ht="13.5">
      <c r="A85" s="65" t="s">
        <v>18</v>
      </c>
      <c r="B85" s="155">
        <f t="shared" si="18"/>
        <v>0.2996977385901516</v>
      </c>
      <c r="C85" s="181">
        <f t="shared" si="19"/>
        <v>0.013814322354958787</v>
      </c>
      <c r="D85" s="181">
        <f t="shared" si="28"/>
        <v>0.31351206094511036</v>
      </c>
      <c r="E85" s="69">
        <f t="shared" si="27"/>
        <v>0</v>
      </c>
      <c r="F85" s="155">
        <f t="shared" si="32"/>
        <v>2.245</v>
      </c>
      <c r="G85" s="158">
        <f t="shared" si="21"/>
        <v>136.15925000000001</v>
      </c>
      <c r="H85" s="155">
        <f t="shared" si="22"/>
        <v>0.64</v>
      </c>
      <c r="I85" s="181">
        <f t="shared" si="5"/>
        <v>1.2324</v>
      </c>
      <c r="J85" s="293">
        <f t="shared" si="6"/>
        <v>0</v>
      </c>
      <c r="K85" s="181">
        <f t="shared" si="23"/>
        <v>1.8723999999999998</v>
      </c>
      <c r="L85" s="289">
        <f>K85*$L$64</f>
        <v>0</v>
      </c>
      <c r="M85" s="155">
        <f t="shared" si="7"/>
        <v>0.17225000000000001</v>
      </c>
      <c r="N85" s="181">
        <f t="shared" si="8"/>
        <v>8.607059999999999</v>
      </c>
      <c r="O85" s="181">
        <f t="shared" si="9"/>
        <v>1.12875</v>
      </c>
      <c r="P85" s="181">
        <f>M85+N85+O85</f>
        <v>9.908059999999999</v>
      </c>
      <c r="Q85" s="69">
        <f t="shared" si="10"/>
        <v>0</v>
      </c>
      <c r="R85" s="155">
        <f t="shared" si="11"/>
        <v>0.26375</v>
      </c>
      <c r="S85" s="181">
        <f t="shared" si="12"/>
        <v>12.51085</v>
      </c>
      <c r="T85" s="181">
        <f t="shared" si="31"/>
        <v>12.7746</v>
      </c>
      <c r="U85" s="272">
        <f t="shared" si="14"/>
        <v>0</v>
      </c>
      <c r="V85" s="155">
        <f t="shared" si="15"/>
        <v>0</v>
      </c>
      <c r="W85" s="158">
        <f t="shared" si="16"/>
        <v>0</v>
      </c>
      <c r="X85" s="181">
        <f t="shared" si="24"/>
        <v>0.6447999999999999</v>
      </c>
      <c r="Y85" s="274">
        <f t="shared" si="25"/>
        <v>0</v>
      </c>
      <c r="Z85" s="292">
        <f t="shared" si="26"/>
        <v>0.6447999999999999</v>
      </c>
      <c r="AA85" s="158">
        <f t="shared" si="17"/>
        <v>0</v>
      </c>
      <c r="AB85" s="4"/>
      <c r="AC85" s="4"/>
    </row>
    <row r="86" spans="1:29" ht="13.5">
      <c r="A86" s="65" t="s">
        <v>119</v>
      </c>
      <c r="B86" s="155">
        <f t="shared" si="18"/>
        <v>0.6833108439855455</v>
      </c>
      <c r="C86" s="181">
        <f t="shared" si="19"/>
        <v>0.013017342219095781</v>
      </c>
      <c r="D86" s="181">
        <f>B86+C86</f>
        <v>0.6963281862046413</v>
      </c>
      <c r="E86" s="69">
        <f>D86*$E$64</f>
        <v>0</v>
      </c>
      <c r="F86" s="155">
        <f t="shared" si="32"/>
        <v>5.1186</v>
      </c>
      <c r="G86" s="158">
        <f>F86*$G$64</f>
        <v>310.44309</v>
      </c>
      <c r="H86" s="155">
        <f t="shared" si="22"/>
        <v>1.4592</v>
      </c>
      <c r="I86" s="181">
        <f t="shared" si="5"/>
        <v>1.1613</v>
      </c>
      <c r="J86" s="293">
        <f t="shared" si="6"/>
        <v>0</v>
      </c>
      <c r="K86" s="181">
        <f t="shared" si="23"/>
        <v>2.6205</v>
      </c>
      <c r="L86" s="289">
        <f>K86*$L$64</f>
        <v>0</v>
      </c>
      <c r="M86" s="155">
        <f t="shared" si="7"/>
        <v>0.39273</v>
      </c>
      <c r="N86" s="181">
        <f t="shared" si="8"/>
        <v>30.788099999999996</v>
      </c>
      <c r="O86" s="181">
        <f t="shared" si="9"/>
        <v>0</v>
      </c>
      <c r="P86" s="181">
        <f>M86+N86+O86</f>
        <v>31.180829999999997</v>
      </c>
      <c r="Q86" s="69">
        <f t="shared" si="10"/>
        <v>0</v>
      </c>
      <c r="R86" s="155">
        <f t="shared" si="11"/>
        <v>0.60135</v>
      </c>
      <c r="S86" s="181">
        <f t="shared" si="12"/>
        <v>44.75225</v>
      </c>
      <c r="T86" s="181">
        <f>R86+S86</f>
        <v>45.3536</v>
      </c>
      <c r="U86" s="272">
        <f t="shared" si="14"/>
        <v>0</v>
      </c>
      <c r="V86" s="155">
        <f t="shared" si="15"/>
        <v>0</v>
      </c>
      <c r="W86" s="158">
        <f t="shared" si="16"/>
        <v>0</v>
      </c>
      <c r="X86" s="181">
        <f t="shared" si="24"/>
        <v>0.6076</v>
      </c>
      <c r="Y86" s="274">
        <f t="shared" si="25"/>
        <v>0</v>
      </c>
      <c r="Z86" s="292">
        <f t="shared" si="26"/>
        <v>0.6076</v>
      </c>
      <c r="AA86" s="158">
        <f t="shared" si="17"/>
        <v>0</v>
      </c>
      <c r="AB86" s="4"/>
      <c r="AC86" s="4"/>
    </row>
    <row r="87" spans="1:29" ht="13.5">
      <c r="A87" s="65" t="s">
        <v>120</v>
      </c>
      <c r="B87" s="155">
        <f t="shared" si="18"/>
        <v>0.5034922008314546</v>
      </c>
      <c r="C87" s="181">
        <f t="shared" si="19"/>
        <v>0.024972044257040887</v>
      </c>
      <c r="D87" s="181">
        <f t="shared" si="28"/>
        <v>0.5284642450884955</v>
      </c>
      <c r="E87" s="69">
        <f t="shared" si="27"/>
        <v>0</v>
      </c>
      <c r="F87" s="155">
        <f t="shared" si="32"/>
        <v>3.7716</v>
      </c>
      <c r="G87" s="158">
        <f t="shared" si="21"/>
        <v>228.74754</v>
      </c>
      <c r="H87" s="155">
        <f t="shared" si="22"/>
        <v>1.0752</v>
      </c>
      <c r="I87" s="181">
        <f t="shared" si="5"/>
        <v>2.2278000000000002</v>
      </c>
      <c r="J87" s="293">
        <f t="shared" si="6"/>
        <v>0</v>
      </c>
      <c r="K87" s="181">
        <f t="shared" si="23"/>
        <v>3.303</v>
      </c>
      <c r="L87" s="289">
        <f>K87*$L$64</f>
        <v>0</v>
      </c>
      <c r="M87" s="155">
        <f t="shared" si="7"/>
        <v>0.28938</v>
      </c>
      <c r="N87" s="181">
        <f t="shared" si="8"/>
        <v>0.20411999999999997</v>
      </c>
      <c r="O87" s="181">
        <f t="shared" si="9"/>
        <v>1.06554</v>
      </c>
      <c r="P87" s="181">
        <f>M87+N87+O87</f>
        <v>1.55904</v>
      </c>
      <c r="Q87" s="69">
        <f t="shared" si="10"/>
        <v>0</v>
      </c>
      <c r="R87" s="155">
        <f t="shared" si="11"/>
        <v>0.4431</v>
      </c>
      <c r="S87" s="181">
        <f t="shared" si="12"/>
        <v>0.29669999999999996</v>
      </c>
      <c r="T87" s="181">
        <f t="shared" si="31"/>
        <v>0.7398</v>
      </c>
      <c r="U87" s="272">
        <f t="shared" si="14"/>
        <v>0</v>
      </c>
      <c r="V87" s="155">
        <f t="shared" si="15"/>
        <v>0</v>
      </c>
      <c r="W87" s="158">
        <f t="shared" si="16"/>
        <v>0</v>
      </c>
      <c r="X87" s="181">
        <f t="shared" si="24"/>
        <v>1.1656</v>
      </c>
      <c r="Y87" s="274">
        <f t="shared" si="25"/>
        <v>0</v>
      </c>
      <c r="Z87" s="292">
        <f t="shared" si="26"/>
        <v>1.1656</v>
      </c>
      <c r="AA87" s="158">
        <f t="shared" si="17"/>
        <v>0</v>
      </c>
      <c r="AB87" s="4"/>
      <c r="AC87" s="4"/>
    </row>
    <row r="88" spans="1:29" ht="13.5">
      <c r="A88" s="65" t="s">
        <v>102</v>
      </c>
      <c r="B88" s="155">
        <f t="shared" si="18"/>
        <v>0.23975819087212125</v>
      </c>
      <c r="C88" s="181">
        <f t="shared" si="19"/>
        <v>0.0077041413133424</v>
      </c>
      <c r="D88" s="181">
        <f t="shared" si="28"/>
        <v>0.24746233218546365</v>
      </c>
      <c r="E88" s="69">
        <f t="shared" si="27"/>
        <v>0</v>
      </c>
      <c r="F88" s="155">
        <f t="shared" si="32"/>
        <v>1.796</v>
      </c>
      <c r="G88" s="158">
        <f t="shared" si="21"/>
        <v>108.9274</v>
      </c>
      <c r="H88" s="155">
        <f t="shared" si="22"/>
        <v>0.512</v>
      </c>
      <c r="I88" s="181">
        <f t="shared" si="5"/>
        <v>0.6872999999999999</v>
      </c>
      <c r="J88" s="293">
        <f t="shared" si="6"/>
        <v>0</v>
      </c>
      <c r="K88" s="181">
        <f t="shared" si="23"/>
        <v>1.1993</v>
      </c>
      <c r="L88" s="289">
        <f>K88*$L$64</f>
        <v>0</v>
      </c>
      <c r="M88" s="155">
        <f t="shared" si="7"/>
        <v>0.1378</v>
      </c>
      <c r="N88" s="181">
        <f t="shared" si="8"/>
        <v>6.531839999999999</v>
      </c>
      <c r="O88" s="181">
        <f t="shared" si="9"/>
        <v>0.7675500000000001</v>
      </c>
      <c r="P88" s="181">
        <f>M88+N88+O88</f>
        <v>7.437189999999999</v>
      </c>
      <c r="Q88" s="69">
        <f t="shared" si="10"/>
        <v>0</v>
      </c>
      <c r="R88" s="155">
        <f t="shared" si="11"/>
        <v>0.211</v>
      </c>
      <c r="S88" s="181">
        <f t="shared" si="12"/>
        <v>9.494399999999999</v>
      </c>
      <c r="T88" s="181">
        <f t="shared" si="31"/>
        <v>9.7054</v>
      </c>
      <c r="U88" s="272">
        <f t="shared" si="14"/>
        <v>0</v>
      </c>
      <c r="V88" s="155">
        <f t="shared" si="15"/>
        <v>0</v>
      </c>
      <c r="W88" s="158">
        <f t="shared" si="16"/>
        <v>0</v>
      </c>
      <c r="X88" s="181">
        <f t="shared" si="24"/>
        <v>0.3596</v>
      </c>
      <c r="Y88" s="274">
        <f t="shared" si="25"/>
        <v>0</v>
      </c>
      <c r="Z88" s="292">
        <f t="shared" si="26"/>
        <v>0.3596</v>
      </c>
      <c r="AA88" s="158">
        <f t="shared" si="17"/>
        <v>0</v>
      </c>
      <c r="AB88" s="4"/>
      <c r="AC88" s="4"/>
    </row>
    <row r="89" spans="1:29" ht="14.25" thickBot="1">
      <c r="A89" s="65" t="s">
        <v>103</v>
      </c>
      <c r="B89" s="155">
        <f t="shared" si="18"/>
        <v>0.23975819087212125</v>
      </c>
      <c r="C89" s="181">
        <f t="shared" si="19"/>
        <v>0</v>
      </c>
      <c r="D89" s="181">
        <f>B89+C89</f>
        <v>0.23975819087212125</v>
      </c>
      <c r="E89" s="69">
        <f>D89*$E$64</f>
        <v>0</v>
      </c>
      <c r="F89" s="155">
        <f t="shared" si="32"/>
        <v>1.796</v>
      </c>
      <c r="G89" s="158">
        <f t="shared" si="21"/>
        <v>108.9274</v>
      </c>
      <c r="H89" s="155">
        <f t="shared" si="22"/>
        <v>0.512</v>
      </c>
      <c r="I89" s="181">
        <f t="shared" si="5"/>
        <v>0</v>
      </c>
      <c r="J89" s="293">
        <f t="shared" si="6"/>
        <v>0</v>
      </c>
      <c r="K89" s="181">
        <f t="shared" si="23"/>
        <v>0.512</v>
      </c>
      <c r="L89" s="289">
        <f>K89*$L$64</f>
        <v>0</v>
      </c>
      <c r="M89" s="155">
        <f t="shared" si="7"/>
        <v>0.1378</v>
      </c>
      <c r="N89" s="181">
        <f t="shared" si="8"/>
        <v>49.6692</v>
      </c>
      <c r="O89" s="181">
        <f t="shared" si="9"/>
        <v>0.7133700000000001</v>
      </c>
      <c r="P89" s="181">
        <f>M89+N89+O89</f>
        <v>50.52036999999999</v>
      </c>
      <c r="Q89" s="69">
        <f t="shared" si="10"/>
        <v>0</v>
      </c>
      <c r="R89" s="155">
        <f t="shared" si="11"/>
        <v>0.211</v>
      </c>
      <c r="S89" s="181">
        <f t="shared" si="12"/>
        <v>72.19699999999999</v>
      </c>
      <c r="T89" s="181">
        <f>R89+S89</f>
        <v>72.40799999999999</v>
      </c>
      <c r="U89" s="272">
        <f t="shared" si="14"/>
        <v>0</v>
      </c>
      <c r="V89" s="155">
        <f t="shared" si="15"/>
        <v>0</v>
      </c>
      <c r="W89" s="158">
        <f t="shared" si="16"/>
        <v>0</v>
      </c>
      <c r="X89" s="181">
        <f t="shared" si="24"/>
        <v>0</v>
      </c>
      <c r="Y89" s="274">
        <f t="shared" si="25"/>
        <v>0</v>
      </c>
      <c r="Z89" s="292">
        <f t="shared" si="26"/>
        <v>0</v>
      </c>
      <c r="AA89" s="158">
        <f t="shared" si="17"/>
        <v>0</v>
      </c>
      <c r="AB89" s="4"/>
      <c r="AC89" s="4"/>
    </row>
    <row r="90" spans="1:29" ht="14.25" thickBot="1">
      <c r="A90" s="171" t="s">
        <v>50</v>
      </c>
      <c r="B90" s="182">
        <f>SUM(B66:B89)</f>
        <v>119.87909543606065</v>
      </c>
      <c r="C90" s="183">
        <f aca="true" t="shared" si="33" ref="C90:Z90">SUM(C66:C89)</f>
        <v>2.65660045287669</v>
      </c>
      <c r="D90" s="183">
        <f t="shared" si="33"/>
        <v>122.53569588893734</v>
      </c>
      <c r="E90" s="184">
        <f t="shared" si="33"/>
        <v>0</v>
      </c>
      <c r="F90" s="182">
        <f t="shared" si="33"/>
        <v>898.0000000000002</v>
      </c>
      <c r="G90" s="184">
        <f t="shared" si="33"/>
        <v>54463.7</v>
      </c>
      <c r="H90" s="182">
        <f>SUM(H66:H89)</f>
        <v>255.99999999999997</v>
      </c>
      <c r="I90" s="183">
        <f t="shared" si="33"/>
        <v>237.00000000000003</v>
      </c>
      <c r="J90" s="294">
        <f>SUM(J66:J89)</f>
        <v>551</v>
      </c>
      <c r="K90" s="183">
        <f>SUM(K66:K89)</f>
        <v>1044</v>
      </c>
      <c r="L90" s="290">
        <f>SUM(L66:L89)</f>
        <v>0</v>
      </c>
      <c r="M90" s="182">
        <f t="shared" si="33"/>
        <v>68.89999999999999</v>
      </c>
      <c r="N90" s="183">
        <f t="shared" si="33"/>
        <v>340.19999999999993</v>
      </c>
      <c r="O90" s="183">
        <f t="shared" si="33"/>
        <v>90.3</v>
      </c>
      <c r="P90" s="183">
        <f>SUM(P66:P89)</f>
        <v>499.3999999999999</v>
      </c>
      <c r="Q90" s="184">
        <f t="shared" si="33"/>
        <v>0</v>
      </c>
      <c r="R90" s="182">
        <f t="shared" si="33"/>
        <v>105.49999999999999</v>
      </c>
      <c r="S90" s="183">
        <f t="shared" si="33"/>
        <v>494.5</v>
      </c>
      <c r="T90" s="183">
        <f t="shared" si="33"/>
        <v>600.0000000000001</v>
      </c>
      <c r="U90" s="273">
        <f t="shared" si="33"/>
        <v>0</v>
      </c>
      <c r="V90" s="182">
        <f t="shared" si="33"/>
        <v>315</v>
      </c>
      <c r="W90" s="184">
        <f>SUM(W66:W89)</f>
        <v>0</v>
      </c>
      <c r="X90" s="182">
        <f t="shared" si="33"/>
        <v>124.00000000000001</v>
      </c>
      <c r="Y90" s="275">
        <f>SUM(Y66:Y89)</f>
        <v>182.00000000000003</v>
      </c>
      <c r="Z90" s="183">
        <f t="shared" si="33"/>
        <v>305.99999999999994</v>
      </c>
      <c r="AA90" s="184">
        <f>SUM(AA66:AA89)</f>
        <v>0</v>
      </c>
      <c r="AB90" s="4"/>
      <c r="AC90" s="4"/>
    </row>
    <row r="91" spans="1:25" ht="13.5">
      <c r="A91" s="185" t="s">
        <v>73</v>
      </c>
      <c r="B91" s="54"/>
      <c r="C91" s="54"/>
      <c r="D91" s="54"/>
      <c r="E91" s="51"/>
      <c r="F91" s="54"/>
      <c r="G91" s="51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4"/>
      <c r="Y91" s="4"/>
    </row>
    <row r="92" spans="1:25" ht="13.5">
      <c r="A92" s="153" t="s">
        <v>78</v>
      </c>
      <c r="B92" s="195"/>
      <c r="C92" s="195"/>
      <c r="D92" s="5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4"/>
      <c r="Y92" s="4"/>
    </row>
    <row r="93" spans="1:25" ht="13.5">
      <c r="A93" s="153" t="s">
        <v>81</v>
      </c>
      <c r="B93" s="195"/>
      <c r="C93" s="195"/>
      <c r="D93" s="5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4"/>
      <c r="Y93" s="4"/>
    </row>
    <row r="94" spans="1:23" ht="14.25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5.75" thickBot="1">
      <c r="A95" s="214" t="s">
        <v>65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96">
      <c r="A96" s="186" t="s">
        <v>3</v>
      </c>
      <c r="B96" s="138" t="s">
        <v>82</v>
      </c>
      <c r="C96" s="140" t="s">
        <v>114</v>
      </c>
      <c r="D96" s="4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3.5">
      <c r="A97" s="65" t="s">
        <v>29</v>
      </c>
      <c r="B97" s="68">
        <f>C26*E64</f>
        <v>0</v>
      </c>
      <c r="C97" s="69">
        <f>(C13+C20)*E64</f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3.5">
      <c r="A98" s="65" t="s">
        <v>35</v>
      </c>
      <c r="B98" s="68">
        <f>D26*G64</f>
        <v>0</v>
      </c>
      <c r="C98" s="69">
        <f>(D13+D20)*G64</f>
        <v>54463.7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3.5">
      <c r="A99" s="65" t="s">
        <v>5</v>
      </c>
      <c r="B99" s="68">
        <f>E26*J64</f>
        <v>0</v>
      </c>
      <c r="C99" s="69">
        <f>(E13+E20)*J64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3.5">
      <c r="A100" s="187" t="s">
        <v>8</v>
      </c>
      <c r="B100" s="68">
        <f>F26*Q64</f>
        <v>0</v>
      </c>
      <c r="C100" s="69">
        <f>(F13+F20)*Q64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3.5">
      <c r="A101" s="187" t="s">
        <v>36</v>
      </c>
      <c r="B101" s="68">
        <f>G26*U64</f>
        <v>0</v>
      </c>
      <c r="C101" s="69">
        <f>(G13+G20)*U64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3.5">
      <c r="A102" s="187" t="s">
        <v>37</v>
      </c>
      <c r="B102" s="188">
        <f>I26*AC64</f>
        <v>0</v>
      </c>
      <c r="C102" s="69">
        <f>(I13+I20)*AC64</f>
        <v>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3.5">
      <c r="A103" s="187" t="s">
        <v>15</v>
      </c>
      <c r="B103" s="188">
        <f>J26*W64</f>
        <v>0</v>
      </c>
      <c r="C103" s="69">
        <f>(J13+J20)*W64</f>
        <v>0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3.5">
      <c r="A104" s="187" t="s">
        <v>11</v>
      </c>
      <c r="B104" s="188">
        <f>K26*AA64</f>
        <v>0</v>
      </c>
      <c r="C104" s="189">
        <f>(K13+K20)*AA64</f>
        <v>0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4.25" thickBot="1">
      <c r="A105" s="160" t="s">
        <v>50</v>
      </c>
      <c r="B105" s="190">
        <f>SUM(B97:B104)</f>
        <v>0</v>
      </c>
      <c r="C105" s="76">
        <f>SUM(C97:C104)</f>
        <v>54463.7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3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3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3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3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3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3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3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3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3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3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3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3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3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3.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3.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3.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3.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3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3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3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3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3.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3.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3.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3.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3.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3.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3.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3.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3.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3.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3.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3.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3.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3.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3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3.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3.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3.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3.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3.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3.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3.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3.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3.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3.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3.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3.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3.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3.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3.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3.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</sheetData>
  <sheetProtection/>
  <mergeCells count="18">
    <mergeCell ref="AB63:AC63"/>
    <mergeCell ref="F63:G63"/>
    <mergeCell ref="M64:P64"/>
    <mergeCell ref="M63:Q63"/>
    <mergeCell ref="H63:L63"/>
    <mergeCell ref="H64:K64"/>
    <mergeCell ref="R63:U63"/>
    <mergeCell ref="R64:T64"/>
    <mergeCell ref="A29:K29"/>
    <mergeCell ref="AB65:AC65"/>
    <mergeCell ref="A3:A4"/>
    <mergeCell ref="B63:E63"/>
    <mergeCell ref="B64:D64"/>
    <mergeCell ref="A62:A64"/>
    <mergeCell ref="V63:W63"/>
    <mergeCell ref="X63:AA63"/>
    <mergeCell ref="X64:Z64"/>
    <mergeCell ref="A59:G59"/>
  </mergeCells>
  <printOptions/>
  <pageMargins left="0" right="0" top="0" bottom="0" header="0.3" footer="0.3"/>
  <pageSetup fitToHeight="1" fitToWidth="1" horizontalDpi="600" verticalDpi="600" orientation="landscape" paperSize="17" scale="42" r:id="rId1"/>
  <rowBreaks count="1" manualBreakCount="1">
    <brk id="6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Bernstein, Jared</cp:lastModifiedBy>
  <cp:lastPrinted>2015-08-21T00:10:48Z</cp:lastPrinted>
  <dcterms:created xsi:type="dcterms:W3CDTF">2007-03-21T19:37:11Z</dcterms:created>
  <dcterms:modified xsi:type="dcterms:W3CDTF">2015-08-21T19:52:00Z</dcterms:modified>
  <cp:category/>
  <cp:version/>
  <cp:contentType/>
  <cp:contentStatus/>
</cp:coreProperties>
</file>