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120" windowWidth="12240" windowHeight="9240" activeTab="0"/>
  </bookViews>
  <sheets>
    <sheet name="BRA Resource Clearing Results" sheetId="1" r:id="rId1"/>
    <sheet name="BRA Load Pricing Results" sheetId="2" r:id="rId2"/>
    <sheet name="BRA CTRs" sheetId="3" r:id="rId3"/>
    <sheet name="BRA ICTRs" sheetId="4" r:id="rId4"/>
  </sheets>
  <definedNames>
    <definedName name="_xlnm.Print_Area" localSheetId="2">'BRA CTRs'!$A$1:$T$36</definedName>
    <definedName name="_xlnm.Print_Area" localSheetId="3">'BRA ICTRs'!$A$1:$I$75</definedName>
    <definedName name="_xlnm.Print_Area" localSheetId="1">'BRA Load Pricing Results'!$A$1:$L$59</definedName>
    <definedName name="_xlnm.Print_Area" localSheetId="0">'BRA Resource Clearing Results'!$A$1:$I$59</definedName>
  </definedNames>
  <calcPr fullCalcOnLoad="1"/>
</workbook>
</file>

<file path=xl/sharedStrings.xml><?xml version="1.0" encoding="utf-8"?>
<sst xmlns="http://schemas.openxmlformats.org/spreadsheetml/2006/main" count="481" uniqueCount="186">
  <si>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</si>
  <si>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</si>
  <si>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</si>
  <si>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</si>
  <si>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</si>
  <si>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</si>
  <si>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</si>
  <si>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</si>
  <si>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</si>
  <si>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</si>
  <si>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</si>
  <si>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</si>
  <si>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</si>
  <si>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</si>
  <si>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</si>
  <si>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</si>
  <si>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</si>
  <si>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</si>
  <si>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</si>
  <si>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</si>
  <si>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</si>
  <si>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</si>
  <si>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</si>
  <si>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</si>
  <si>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</si>
  <si>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</si>
  <si>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</si>
  <si>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</si>
  <si>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</si>
  <si>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* Locational Price Adder is with respect to the immediate higher level LDA.</t>
  </si>
  <si>
    <t>MAAC</t>
  </si>
  <si>
    <t>Short-Term Resource Procurement Target [MW]</t>
  </si>
  <si>
    <t>AEP</t>
  </si>
  <si>
    <t>DOM</t>
  </si>
  <si>
    <t>Preliminary Zonal Capacity Price [$/MW-day]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</si>
  <si>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</si>
  <si>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</si>
  <si>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</si>
  <si>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</si>
  <si>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</si>
  <si>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</si>
  <si>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</si>
  <si>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</si>
  <si>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</si>
  <si>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</si>
  <si>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</si>
  <si>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Remaining CTRs for LSEs [MW]</t>
  </si>
  <si>
    <t>NEPTUNE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</si>
  <si>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</si>
  <si>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</si>
  <si>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</si>
  <si>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</si>
  <si>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</si>
  <si>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</si>
  <si>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</si>
  <si>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</si>
  <si>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</si>
  <si>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</si>
  <si>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East Coast Power</t>
  </si>
  <si>
    <t>Total</t>
  </si>
  <si>
    <t>AEP **</t>
  </si>
  <si>
    <t>** Obligation affected by FRR quantities</t>
  </si>
  <si>
    <t>Base Zonal CTR Credit Rate [$/MW UCAP Obligation per Day]</t>
  </si>
  <si>
    <t>Annual Resource Price Adder          [$/MW-day]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</si>
  <si>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</si>
  <si>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</si>
  <si>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</si>
  <si>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</si>
  <si>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</si>
  <si>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</si>
  <si>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2010 W/N Coincident Peak Load [MW]</t>
  </si>
  <si>
    <t>DEOK</t>
  </si>
  <si>
    <t>2014/2015 Prelim. Zonal Peak Load Forecast [MW]</t>
  </si>
  <si>
    <t>b0497: Install Second Conastone-Graceton 230 kV circuit; Replace Conastone 230 kV breaker 2323/2302</t>
  </si>
  <si>
    <t>b0457: Dooms-Lexington circuit wave traps</t>
  </si>
  <si>
    <t>b0559: Capacitor at Meadow Brook substation</t>
  </si>
  <si>
    <t>Total Resource Credits [$/day]</t>
  </si>
  <si>
    <t>Resource Credits</t>
  </si>
  <si>
    <t>LDA Capacity Price Components</t>
  </si>
  <si>
    <t>Resource Clearing Prices</t>
  </si>
  <si>
    <t>Cleared &amp; Make-Whole MWs</t>
  </si>
  <si>
    <t>Sub-Zone/Zone</t>
  </si>
  <si>
    <t>LDA Base UCAP Obligation [MW]</t>
  </si>
  <si>
    <t>System Marginal Price [$/MW-day]</t>
  </si>
  <si>
    <t>2014/2015 DY BRA Load Pricing Results</t>
  </si>
  <si>
    <t>2014/2015 DY BRA Resource Clearing Results</t>
  </si>
  <si>
    <t>Make-whole Credits for Annual Resources [$/day]</t>
  </si>
  <si>
    <t>Make-whole Credits for Extended Summer Resources [$/day]</t>
  </si>
  <si>
    <t>Make-whole Credits for Limited Resources [$/day]</t>
  </si>
  <si>
    <t xml:space="preserve">2014/2015 DY BRA ICTRs </t>
  </si>
  <si>
    <t>Zone/Responsible Customer</t>
  </si>
  <si>
    <t>Upgrade b0497</t>
  </si>
  <si>
    <t>Total ICTRs [MW]</t>
  </si>
  <si>
    <t>500 kV or Greater Upgrades*</t>
  </si>
  <si>
    <t>2014/2015 DY BRA CTRs</t>
  </si>
  <si>
    <t>Allocation of Req Transmission Enhancement ICTRs to Zone/Responsible Customer</t>
  </si>
  <si>
    <t>M05:  Replace Wave Traps at Bedington and Black Oak 500 KV</t>
  </si>
  <si>
    <t>Incremental Capacity Transfer Rights (ICTRs)</t>
  </si>
  <si>
    <t>Cost Allocation Percentages for Required Transmission Upgrades</t>
  </si>
  <si>
    <t>ICTR Credits</t>
  </si>
  <si>
    <t>QTU Credits</t>
  </si>
  <si>
    <t>Sink LDA</t>
  </si>
  <si>
    <t>Qualifying Transmission Upgrade (QTU) -Import Capability Cleared into Sink LDA  [MW]</t>
  </si>
  <si>
    <t>QTU Credits [$/day]</t>
  </si>
  <si>
    <t>LDA CTRs</t>
  </si>
  <si>
    <t>Base UCAP Obligation [MW]</t>
  </si>
  <si>
    <t>Internal  Resources Cleared in LDA</t>
  </si>
  <si>
    <t>Total CTRs [MW]</t>
  </si>
  <si>
    <t>QTU Equivalents [MW]</t>
  </si>
  <si>
    <t>Totals</t>
  </si>
  <si>
    <t>Notes:</t>
  </si>
  <si>
    <t>Locational Price Adder is respect to immediate higher level LDA.</t>
  </si>
  <si>
    <t>A Weighted Locational Price Adder is used in the case of PS or DPL Equivalent.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</si>
  <si>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</si>
  <si>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</si>
  <si>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 xml:space="preserve">Note:  Cost Allocation Percentages for 500 kv or Greater Upgrades are based on 2011 cost responsibility assignments from the tariff.  The allocation is updated annually. 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</si>
  <si>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</si>
  <si>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</si>
  <si>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</si>
  <si>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</si>
  <si>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Required Transmission Enhancements - Below 500 kV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</si>
  <si>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</si>
  <si>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</si>
  <si>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</si>
  <si>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Locational Price Adder *     [$/MW-day]</t>
  </si>
  <si>
    <t>Extended Summer Resource Price Adder        [$/MW-day]</t>
  </si>
  <si>
    <t>Extended Summer Resource Clearing Price              [$/MW-day]</t>
  </si>
  <si>
    <t>Calculation of Zonal Capacity Prices for PS and DPL</t>
  </si>
  <si>
    <t>Cleared Capacity     [MW]</t>
  </si>
  <si>
    <t>Remaining CTRs for Required Transmission Enhancements, Customer-Funded Upgrades, &amp; LSEs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</si>
  <si>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</si>
  <si>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</si>
  <si>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</si>
  <si>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</si>
  <si>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Required Transmission Upgrades ICTR Credits [$/day]</t>
  </si>
  <si>
    <t>Additional Locational Price Adder with respect to EMAAC      [$/MW-day]</t>
  </si>
  <si>
    <t>Make-Whole Credits</t>
  </si>
  <si>
    <t>Total Make-Whole Credits [$/day]</t>
  </si>
  <si>
    <t>Extended Summer Resources Make-whole [MW]</t>
  </si>
  <si>
    <t>Annual Resources Make-whole [MW]</t>
  </si>
  <si>
    <t>Total Make-whole [MW]</t>
  </si>
  <si>
    <t>Extended Summer Resource Make-whole [MW]</t>
  </si>
  <si>
    <t>Annual Resource Make-whole [MW]</t>
  </si>
  <si>
    <t>Locational Price Adder* Applicable to LDA         [$/MW-day]</t>
  </si>
  <si>
    <t>Additional Make-whole Adjustments due to NEPA [$/day)</t>
  </si>
  <si>
    <t>Preliminary CTRs Allocated = Max of the LDA CTRs Allocated to LSEs [MW]</t>
  </si>
  <si>
    <t>Preliminary Zonal CTR Settlement Rate [$/MW CTR per day]</t>
  </si>
  <si>
    <t>ICTRs for 500 kV or Greater Upgrades [MW[</t>
  </si>
  <si>
    <t>ICTRs for Below 500 kV Upgrades [MW]</t>
  </si>
  <si>
    <t>ICTRs for Customer-Funded Upgrades [MW]</t>
  </si>
  <si>
    <t>Total ICTRs into Sink LDA [MW]</t>
  </si>
  <si>
    <t>Allocation of ICTRs for 500 KV or Greater Upgrades [MW]</t>
  </si>
  <si>
    <t>Allocation of ICTRs for Below 500 KV Upgrades [MW[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</si>
  <si>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</si>
  <si>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</si>
  <si>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</si>
  <si>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Additional Make-whole Costs with respect to  EMAAC  [$/day]</t>
  </si>
  <si>
    <t>Component due to Extended Summer Price Adder [$/MW-day]</t>
  </si>
  <si>
    <t>LDA Capacity Price [$/MW-day]</t>
  </si>
  <si>
    <t>*Locational Price Adder with respect to RTO</t>
  </si>
  <si>
    <t>Resource Credits for Limited Resources [$/day]</t>
  </si>
  <si>
    <t>Additional Component due to Extended Resource Price Adder with respect to EMAAC [$/MW-day]</t>
  </si>
  <si>
    <t>Additional Component due to Annual Resource Price Adder with respect to EMAAC [$/MW-day]</t>
  </si>
  <si>
    <t>LDA Capacity Price in EMAAC [MW]</t>
  </si>
  <si>
    <t>Resource Credits for Extended Summer Resources [$/day]</t>
  </si>
  <si>
    <t>Resource Credits for Annual Resources [$/day]</t>
  </si>
  <si>
    <t>Additional Costs due to Extended Resource Price Adder with respect to EMAAC [$/day]</t>
  </si>
  <si>
    <t>Additional Costs due to Annual Resource Price Adder with respect to EMAAC [$/day]</t>
  </si>
  <si>
    <t>Component due to Annual Resource Price Adder  [$/MW-day]</t>
  </si>
  <si>
    <t>Component due to Make-Whole [$/MW-day]</t>
  </si>
  <si>
    <t>Additional Component due to Make-whole with respect to EMAAC  [$/MW-day]</t>
  </si>
  <si>
    <t>Locational Price Adder w/r/t immediate higher level LDA:</t>
  </si>
  <si>
    <t>Certified ICTR [MW]</t>
  </si>
  <si>
    <t>Adjusted ICTR**[MW]</t>
  </si>
  <si>
    <t>Transmission Upgrades</t>
  </si>
  <si>
    <t>Limited Resources Cleared [MW]</t>
  </si>
  <si>
    <t>Limited Resources Make-whole [MW]</t>
  </si>
  <si>
    <t>Limited Resource Make-whole [MW]</t>
  </si>
  <si>
    <t>Costs due to Extended Summer Resource Price Adder in constrained LDA [$/day]</t>
  </si>
  <si>
    <t>Costs due to Annual Resource Price Adder in constrained LDA [$/day]</t>
  </si>
  <si>
    <t xml:space="preserve"> Required Transmission Enhancements ICTRs [MW]</t>
  </si>
  <si>
    <t>Required Transmission Enhancements -  500 kV or Greater</t>
  </si>
  <si>
    <t>*Certified ICTRs in MAAC adjusted since the Remaining CTRs for Required Transmission Enhancements, Customer Funded-Upgrades, and LSEs in MAAC are less than the Total Certified ICTRs into MAAC.</t>
  </si>
  <si>
    <t>QTU Clearing Price **      [$/MW-Day]</t>
  </si>
  <si>
    <t>** Locational Price Adder with respect to the immediate higher level LDA.</t>
  </si>
  <si>
    <t>PJMDOCS-#645749v5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</si>
</sst>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</numFmts>
  <fonts count="55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16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174" fontId="0" fillId="0" borderId="0" xfId="0" applyNumberFormat="1" applyFont="1" applyBorder="1" applyAlignment="1">
      <alignment horizontal="right"/>
    </xf>
    <xf numFmtId="0" fontId="52" fillId="0" borderId="0" xfId="0" applyFont="1" applyAlignment="1">
      <alignment/>
    </xf>
    <xf numFmtId="192" fontId="0" fillId="0" borderId="0" xfId="42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Alignment="1">
      <alignment/>
    </xf>
    <xf numFmtId="164" fontId="0" fillId="0" borderId="0" xfId="0" applyNumberFormat="1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center"/>
    </xf>
    <xf numFmtId="174" fontId="0" fillId="0" borderId="0" xfId="0" applyNumberFormat="1" applyFont="1" applyAlignment="1">
      <alignment/>
    </xf>
    <xf numFmtId="44" fontId="7" fillId="0" borderId="0" xfId="44" applyFont="1" applyBorder="1" applyAlignment="1">
      <alignment horizontal="center"/>
    </xf>
    <xf numFmtId="165" fontId="0" fillId="0" borderId="0" xfId="0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2" fontId="52" fillId="0" borderId="0" xfId="42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44" applyNumberFormat="1" applyFont="1" applyBorder="1" applyAlignment="1">
      <alignment horizontal="center"/>
    </xf>
    <xf numFmtId="164" fontId="51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/>
    </xf>
    <xf numFmtId="164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65" fontId="10" fillId="0" borderId="10" xfId="44" applyNumberFormat="1" applyFont="1" applyBorder="1" applyAlignment="1">
      <alignment horizontal="center"/>
    </xf>
    <xf numFmtId="165" fontId="10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7" fillId="0" borderId="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193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165" fontId="7" fillId="0" borderId="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92" fontId="0" fillId="0" borderId="10" xfId="42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0" fillId="0" borderId="10" xfId="44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5" fontId="7" fillId="0" borderId="10" xfId="44" applyNumberFormat="1" applyFont="1" applyBorder="1" applyAlignment="1">
      <alignment horizontal="right"/>
    </xf>
    <xf numFmtId="44" fontId="7" fillId="0" borderId="10" xfId="44" applyFont="1" applyBorder="1" applyAlignment="1">
      <alignment horizontal="right"/>
    </xf>
    <xf numFmtId="10" fontId="0" fillId="0" borderId="10" xfId="59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/>
    </xf>
    <xf numFmtId="17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7" fillId="0" borderId="0" xfId="0" applyNumberFormat="1" applyFont="1" applyBorder="1" applyAlignment="1">
      <alignment horizontal="right"/>
    </xf>
    <xf numFmtId="174" fontId="0" fillId="0" borderId="13" xfId="0" applyNumberFormat="1" applyFont="1" applyBorder="1" applyAlignment="1">
      <alignment/>
    </xf>
    <xf numFmtId="0" fontId="53" fillId="0" borderId="0" xfId="0" applyFont="1" applyFill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 horizontal="right"/>
    </xf>
    <xf numFmtId="0" fontId="0" fillId="0" borderId="0" xfId="0" applyAlignment="1">
      <alignment wrapText="1"/>
    </xf>
    <xf numFmtId="17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1" fillId="0" borderId="0" xfId="0" applyNumberFormat="1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horizontal="right"/>
    </xf>
    <xf numFmtId="192" fontId="7" fillId="0" borderId="14" xfId="42" applyNumberFormat="1" applyFont="1" applyFill="1" applyBorder="1" applyAlignment="1">
      <alignment/>
    </xf>
    <xf numFmtId="192" fontId="7" fillId="0" borderId="14" xfId="42" applyNumberFormat="1" applyFont="1" applyBorder="1" applyAlignment="1">
      <alignment horizontal="left" indent="2"/>
    </xf>
    <xf numFmtId="170" fontId="0" fillId="0" borderId="10" xfId="0" applyNumberFormat="1" applyFont="1" applyFill="1" applyBorder="1" applyAlignment="1">
      <alignment/>
    </xf>
    <xf numFmtId="192" fontId="0" fillId="0" borderId="10" xfId="42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 wrapText="1"/>
    </xf>
    <xf numFmtId="165" fontId="0" fillId="0" borderId="10" xfId="42" applyNumberFormat="1" applyFont="1" applyBorder="1" applyAlignment="1">
      <alignment horizontal="right"/>
    </xf>
    <xf numFmtId="0" fontId="12" fillId="6" borderId="15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92" fontId="0" fillId="0" borderId="10" xfId="42" applyNumberFormat="1" applyFont="1" applyFill="1" applyBorder="1" applyAlignment="1">
      <alignment/>
    </xf>
    <xf numFmtId="192" fontId="7" fillId="0" borderId="14" xfId="42" applyNumberFormat="1" applyFont="1" applyFill="1" applyBorder="1" applyAlignment="1">
      <alignment/>
    </xf>
    <xf numFmtId="0" fontId="7" fillId="0" borderId="16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 wrapText="1"/>
    </xf>
    <xf numFmtId="0" fontId="7" fillId="0" borderId="17" xfId="0" applyNumberFormat="1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192" fontId="0" fillId="0" borderId="13" xfId="42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0" fontId="0" fillId="0" borderId="13" xfId="0" applyNumberFormat="1" applyFont="1" applyBorder="1" applyAlignment="1">
      <alignment/>
    </xf>
    <xf numFmtId="0" fontId="12" fillId="5" borderId="18" xfId="0" applyFont="1" applyFill="1" applyBorder="1" applyAlignment="1">
      <alignment/>
    </xf>
    <xf numFmtId="0" fontId="12" fillId="6" borderId="19" xfId="0" applyFont="1" applyFill="1" applyBorder="1" applyAlignment="1">
      <alignment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64" fontId="0" fillId="0" borderId="13" xfId="0" applyNumberFormat="1" applyFont="1" applyBorder="1" applyAlignment="1">
      <alignment horizontal="right"/>
    </xf>
    <xf numFmtId="165" fontId="0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166" fontId="0" fillId="0" borderId="20" xfId="59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0" fontId="0" fillId="0" borderId="21" xfId="59" applyNumberFormat="1" applyFont="1" applyFill="1" applyBorder="1" applyAlignment="1">
      <alignment horizontal="right"/>
    </xf>
    <xf numFmtId="173" fontId="0" fillId="0" borderId="21" xfId="59" applyNumberFormat="1" applyFont="1" applyFill="1" applyBorder="1" applyAlignment="1">
      <alignment horizontal="right"/>
    </xf>
    <xf numFmtId="192" fontId="0" fillId="0" borderId="21" xfId="42" applyNumberFormat="1" applyFont="1" applyFill="1" applyBorder="1" applyAlignment="1">
      <alignment horizontal="right"/>
    </xf>
    <xf numFmtId="166" fontId="0" fillId="0" borderId="21" xfId="59" applyNumberFormat="1" applyFont="1" applyFill="1" applyBorder="1" applyAlignment="1">
      <alignment horizontal="right"/>
    </xf>
    <xf numFmtId="164" fontId="0" fillId="0" borderId="21" xfId="59" applyNumberFormat="1" applyFont="1" applyFill="1" applyBorder="1" applyAlignment="1">
      <alignment horizontal="right"/>
    </xf>
    <xf numFmtId="170" fontId="0" fillId="0" borderId="22" xfId="59" applyNumberFormat="1" applyFont="1" applyBorder="1" applyAlignment="1">
      <alignment horizontal="right"/>
    </xf>
    <xf numFmtId="0" fontId="12" fillId="7" borderId="18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12" fillId="7" borderId="19" xfId="0" applyFont="1" applyFill="1" applyBorder="1" applyAlignment="1">
      <alignment/>
    </xf>
    <xf numFmtId="0" fontId="7" fillId="0" borderId="20" xfId="0" applyFont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165" fontId="0" fillId="0" borderId="13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174" fontId="0" fillId="0" borderId="13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22" xfId="0" applyFont="1" applyBorder="1" applyAlignment="1">
      <alignment/>
    </xf>
    <xf numFmtId="0" fontId="12" fillId="5" borderId="19" xfId="0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74" fontId="0" fillId="0" borderId="13" xfId="0" applyNumberFormat="1" applyFont="1" applyBorder="1" applyAlignment="1">
      <alignment horizontal="right"/>
    </xf>
    <xf numFmtId="165" fontId="0" fillId="0" borderId="22" xfId="0" applyNumberFormat="1" applyFont="1" applyBorder="1" applyAlignment="1">
      <alignment/>
    </xf>
    <xf numFmtId="0" fontId="12" fillId="4" borderId="19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164" fontId="11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 wrapText="1"/>
    </xf>
    <xf numFmtId="165" fontId="1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center" wrapText="1"/>
    </xf>
    <xf numFmtId="10" fontId="0" fillId="0" borderId="0" xfId="59" applyNumberFormat="1" applyFont="1" applyFill="1" applyBorder="1" applyAlignment="1">
      <alignment horizontal="right"/>
    </xf>
    <xf numFmtId="10" fontId="7" fillId="0" borderId="0" xfId="0" applyNumberFormat="1" applyFont="1" applyBorder="1" applyAlignment="1">
      <alignment horizontal="right"/>
    </xf>
    <xf numFmtId="0" fontId="13" fillId="6" borderId="18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0" fontId="0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165" fontId="7" fillId="0" borderId="17" xfId="0" applyNumberFormat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164" fontId="7" fillId="0" borderId="20" xfId="0" applyNumberFormat="1" applyFont="1" applyBorder="1" applyAlignment="1">
      <alignment horizontal="center" wrapText="1"/>
    </xf>
    <xf numFmtId="0" fontId="0" fillId="4" borderId="19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165" fontId="0" fillId="0" borderId="21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12" fillId="3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174" fontId="0" fillId="0" borderId="17" xfId="0" applyNumberFormat="1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92" fontId="0" fillId="0" borderId="21" xfId="42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92" fontId="0" fillId="0" borderId="22" xfId="42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center" wrapText="1"/>
    </xf>
    <xf numFmtId="0" fontId="6" fillId="0" borderId="2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10" fontId="7" fillId="0" borderId="15" xfId="0" applyNumberFormat="1" applyFont="1" applyBorder="1" applyAlignment="1">
      <alignment horizontal="right"/>
    </xf>
    <xf numFmtId="10" fontId="7" fillId="0" borderId="27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2" fontId="0" fillId="0" borderId="10" xfId="42" applyNumberFormat="1" applyFont="1" applyBorder="1" applyAlignment="1">
      <alignment/>
    </xf>
    <xf numFmtId="192" fontId="0" fillId="0" borderId="13" xfId="42" applyNumberFormat="1" applyFont="1" applyBorder="1" applyAlignment="1">
      <alignment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44" fontId="7" fillId="0" borderId="30" xfId="44" applyFont="1" applyBorder="1" applyAlignment="1">
      <alignment horizontal="center" wrapText="1"/>
    </xf>
    <xf numFmtId="44" fontId="7" fillId="0" borderId="30" xfId="44" applyFont="1" applyFill="1" applyBorder="1" applyAlignment="1">
      <alignment horizontal="center" wrapText="1"/>
    </xf>
    <xf numFmtId="44" fontId="7" fillId="0" borderId="31" xfId="44" applyFont="1" applyBorder="1" applyAlignment="1">
      <alignment horizontal="center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65" fontId="0" fillId="7" borderId="10" xfId="0" applyNumberFormat="1" applyFont="1" applyFill="1" applyBorder="1" applyAlignment="1">
      <alignment horizontal="right"/>
    </xf>
    <xf numFmtId="165" fontId="0" fillId="7" borderId="13" xfId="0" applyNumberFormat="1" applyFont="1" applyFill="1" applyBorder="1" applyAlignment="1">
      <alignment horizontal="right"/>
    </xf>
    <xf numFmtId="0" fontId="7" fillId="7" borderId="17" xfId="0" applyFont="1" applyFill="1" applyBorder="1" applyAlignment="1">
      <alignment horizontal="center" wrapText="1"/>
    </xf>
    <xf numFmtId="0" fontId="7" fillId="7" borderId="20" xfId="0" applyFont="1" applyFill="1" applyBorder="1" applyAlignment="1">
      <alignment horizontal="center" wrapText="1"/>
    </xf>
    <xf numFmtId="165" fontId="0" fillId="7" borderId="21" xfId="0" applyNumberFormat="1" applyFont="1" applyFill="1" applyBorder="1" applyAlignment="1">
      <alignment horizontal="right"/>
    </xf>
    <xf numFmtId="165" fontId="0" fillId="7" borderId="22" xfId="0" applyNumberFormat="1" applyFont="1" applyFill="1" applyBorder="1" applyAlignment="1">
      <alignment horizontal="right"/>
    </xf>
    <xf numFmtId="0" fontId="7" fillId="5" borderId="20" xfId="0" applyNumberFormat="1" applyFont="1" applyFill="1" applyBorder="1" applyAlignment="1">
      <alignment horizontal="center" wrapText="1"/>
    </xf>
    <xf numFmtId="44" fontId="0" fillId="0" borderId="0" xfId="44" applyFont="1" applyAlignment="1">
      <alignment/>
    </xf>
    <xf numFmtId="44" fontId="0" fillId="0" borderId="0" xfId="0" applyNumberFormat="1" applyFont="1" applyAlignment="1">
      <alignment/>
    </xf>
    <xf numFmtId="192" fontId="0" fillId="0" borderId="10" xfId="42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92" fontId="0" fillId="0" borderId="13" xfId="42" applyNumberFormat="1" applyFont="1" applyFill="1" applyBorder="1" applyAlignment="1">
      <alignment horizontal="right"/>
    </xf>
    <xf numFmtId="0" fontId="51" fillId="0" borderId="10" xfId="0" applyFont="1" applyBorder="1" applyAlignment="1">
      <alignment/>
    </xf>
    <xf numFmtId="0" fontId="12" fillId="4" borderId="15" xfId="0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65" fontId="0" fillId="0" borderId="0" xfId="42" applyNumberFormat="1" applyFont="1" applyBorder="1" applyAlignment="1">
      <alignment horizontal="right"/>
    </xf>
    <xf numFmtId="192" fontId="0" fillId="0" borderId="0" xfId="42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2" fontId="0" fillId="0" borderId="0" xfId="42" applyNumberFormat="1" applyFont="1" applyBorder="1" applyAlignment="1">
      <alignment horizontal="right"/>
    </xf>
    <xf numFmtId="165" fontId="0" fillId="5" borderId="21" xfId="0" applyNumberFormat="1" applyFont="1" applyFill="1" applyBorder="1" applyAlignment="1">
      <alignment horizontal="right"/>
    </xf>
    <xf numFmtId="165" fontId="0" fillId="5" borderId="22" xfId="0" applyNumberFormat="1" applyFont="1" applyFill="1" applyBorder="1" applyAlignment="1">
      <alignment horizontal="right"/>
    </xf>
    <xf numFmtId="165" fontId="7" fillId="4" borderId="21" xfId="44" applyNumberFormat="1" applyFont="1" applyFill="1" applyBorder="1" applyAlignment="1">
      <alignment/>
    </xf>
    <xf numFmtId="165" fontId="7" fillId="4" borderId="22" xfId="44" applyNumberFormat="1" applyFont="1" applyFill="1" applyBorder="1" applyAlignment="1">
      <alignment/>
    </xf>
    <xf numFmtId="165" fontId="0" fillId="6" borderId="10" xfId="0" applyNumberFormat="1" applyFont="1" applyFill="1" applyBorder="1" applyAlignment="1">
      <alignment horizontal="right"/>
    </xf>
    <xf numFmtId="171" fontId="0" fillId="6" borderId="10" xfId="0" applyNumberFormat="1" applyFont="1" applyFill="1" applyBorder="1" applyAlignment="1">
      <alignment horizontal="right"/>
    </xf>
    <xf numFmtId="165" fontId="7" fillId="6" borderId="21" xfId="0" applyNumberFormat="1" applyFont="1" applyFill="1" applyBorder="1" applyAlignment="1">
      <alignment horizontal="right"/>
    </xf>
    <xf numFmtId="165" fontId="0" fillId="0" borderId="13" xfId="0" applyNumberFormat="1" applyFont="1" applyBorder="1" applyAlignment="1">
      <alignment horizontal="center"/>
    </xf>
    <xf numFmtId="165" fontId="0" fillId="4" borderId="10" xfId="0" applyNumberFormat="1" applyFont="1" applyFill="1" applyBorder="1" applyAlignment="1">
      <alignment/>
    </xf>
    <xf numFmtId="165" fontId="0" fillId="4" borderId="10" xfId="44" applyNumberFormat="1" applyFont="1" applyFill="1" applyBorder="1" applyAlignment="1">
      <alignment horizontal="right"/>
    </xf>
    <xf numFmtId="165" fontId="0" fillId="4" borderId="10" xfId="42" applyNumberFormat="1" applyFont="1" applyFill="1" applyBorder="1" applyAlignment="1">
      <alignment horizontal="right"/>
    </xf>
    <xf numFmtId="165" fontId="0" fillId="4" borderId="13" xfId="0" applyNumberFormat="1" applyFont="1" applyFill="1" applyBorder="1" applyAlignment="1">
      <alignment/>
    </xf>
    <xf numFmtId="165" fontId="0" fillId="4" borderId="13" xfId="44" applyNumberFormat="1" applyFont="1" applyFill="1" applyBorder="1" applyAlignment="1">
      <alignment horizontal="right"/>
    </xf>
    <xf numFmtId="165" fontId="0" fillId="0" borderId="13" xfId="42" applyNumberFormat="1" applyFont="1" applyBorder="1" applyAlignment="1">
      <alignment horizontal="right"/>
    </xf>
    <xf numFmtId="165" fontId="0" fillId="4" borderId="13" xfId="4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13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wrapText="1" indent="1"/>
    </xf>
    <xf numFmtId="0" fontId="7" fillId="0" borderId="35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/>
    </xf>
    <xf numFmtId="164" fontId="7" fillId="0" borderId="11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0" fillId="0" borderId="37" xfId="0" applyBorder="1" applyAlignment="1">
      <alignment/>
    </xf>
    <xf numFmtId="164" fontId="0" fillId="0" borderId="37" xfId="0" applyNumberFormat="1" applyFont="1" applyFill="1" applyBorder="1" applyAlignment="1">
      <alignment horizontal="right"/>
    </xf>
    <xf numFmtId="0" fontId="7" fillId="0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7" fillId="7" borderId="35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center" wrapText="1"/>
    </xf>
    <xf numFmtId="164" fontId="7" fillId="7" borderId="11" xfId="0" applyNumberFormat="1" applyFont="1" applyFill="1" applyBorder="1" applyAlignment="1">
      <alignment horizontal="right"/>
    </xf>
    <xf numFmtId="164" fontId="7" fillId="7" borderId="21" xfId="0" applyNumberFormat="1" applyFont="1" applyFill="1" applyBorder="1" applyAlignment="1">
      <alignment/>
    </xf>
    <xf numFmtId="164" fontId="7" fillId="7" borderId="37" xfId="0" applyNumberFormat="1" applyFont="1" applyFill="1" applyBorder="1" applyAlignment="1">
      <alignment/>
    </xf>
    <xf numFmtId="164" fontId="0" fillId="7" borderId="21" xfId="0" applyNumberFormat="1" applyFill="1" applyBorder="1" applyAlignment="1">
      <alignment/>
    </xf>
    <xf numFmtId="164" fontId="7" fillId="7" borderId="12" xfId="0" applyNumberFormat="1" applyFont="1" applyFill="1" applyBorder="1" applyAlignment="1">
      <alignment horizontal="right"/>
    </xf>
    <xf numFmtId="164" fontId="7" fillId="7" borderId="22" xfId="0" applyNumberFormat="1" applyFont="1" applyFill="1" applyBorder="1" applyAlignment="1">
      <alignment horizontal="right"/>
    </xf>
    <xf numFmtId="164" fontId="7" fillId="7" borderId="3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12" fillId="6" borderId="39" xfId="0" applyFont="1" applyFill="1" applyBorder="1" applyAlignment="1">
      <alignment vertical="center" wrapText="1"/>
    </xf>
    <xf numFmtId="0" fontId="12" fillId="6" borderId="40" xfId="0" applyFont="1" applyFill="1" applyBorder="1" applyAlignment="1">
      <alignment vertical="center" wrapText="1"/>
    </xf>
    <xf numFmtId="0" fontId="12" fillId="6" borderId="41" xfId="0" applyFont="1" applyFill="1" applyBorder="1" applyAlignment="1">
      <alignment vertical="center" wrapText="1"/>
    </xf>
    <xf numFmtId="0" fontId="12" fillId="6" borderId="28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2" fillId="6" borderId="42" xfId="0" applyFont="1" applyFill="1" applyBorder="1" applyAlignment="1">
      <alignment vertical="center" wrapText="1"/>
    </xf>
    <xf numFmtId="0" fontId="12" fillId="6" borderId="43" xfId="0" applyFont="1" applyFill="1" applyBorder="1" applyAlignment="1">
      <alignment vertical="center" wrapText="1"/>
    </xf>
    <xf numFmtId="0" fontId="12" fillId="6" borderId="44" xfId="0" applyFont="1" applyFill="1" applyBorder="1" applyAlignment="1">
      <alignment vertical="center" wrapText="1"/>
    </xf>
    <xf numFmtId="0" fontId="12" fillId="6" borderId="45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3" fillId="7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65" fontId="10" fillId="0" borderId="47" xfId="0" applyNumberFormat="1" applyFont="1" applyBorder="1" applyAlignment="1">
      <alignment horizontal="center" wrapText="1"/>
    </xf>
    <xf numFmtId="165" fontId="10" fillId="0" borderId="48" xfId="0" applyNumberFormat="1" applyFont="1" applyBorder="1" applyAlignment="1">
      <alignment horizontal="center" wrapText="1"/>
    </xf>
    <xf numFmtId="165" fontId="10" fillId="0" borderId="49" xfId="0" applyNumberFormat="1" applyFont="1" applyBorder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0" fillId="0" borderId="47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13" fillId="5" borderId="19" xfId="0" applyFont="1" applyFill="1" applyBorder="1" applyAlignment="1">
      <alignment horizontal="center" wrapText="1"/>
    </xf>
    <xf numFmtId="0" fontId="13" fillId="5" borderId="51" xfId="0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0" fontId="15" fillId="0" borderId="52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92" fontId="0" fillId="0" borderId="17" xfId="42" applyNumberFormat="1" applyFont="1" applyBorder="1" applyAlignment="1">
      <alignment horizontal="right"/>
    </xf>
    <xf numFmtId="192" fontId="0" fillId="0" borderId="13" xfId="42" applyNumberFormat="1" applyFont="1" applyBorder="1" applyAlignment="1">
      <alignment/>
    </xf>
    <xf numFmtId="192" fontId="0" fillId="0" borderId="17" xfId="42" applyNumberFormat="1" applyFont="1" applyFill="1" applyBorder="1" applyAlignment="1">
      <alignment horizontal="right"/>
    </xf>
    <xf numFmtId="192" fontId="0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3.7109375" style="6" customWidth="1"/>
    <col min="2" max="2" width="18.28125" style="6" customWidth="1"/>
    <col min="3" max="3" width="15.7109375" style="6" customWidth="1"/>
    <col min="4" max="4" width="16.421875" style="6" customWidth="1"/>
    <col min="5" max="5" width="15.7109375" style="6" customWidth="1"/>
    <col min="6" max="6" width="18.7109375" style="6" customWidth="1"/>
    <col min="7" max="7" width="16.7109375" style="6" customWidth="1"/>
    <col min="8" max="8" width="18.421875" style="6" bestFit="1" customWidth="1"/>
    <col min="9" max="9" width="18.28125" style="6" customWidth="1"/>
    <col min="10" max="10" width="19.140625" style="6" customWidth="1"/>
    <col min="11" max="12" width="16.7109375" style="6" customWidth="1"/>
    <col min="13" max="19" width="15.7109375" style="6" customWidth="1"/>
    <col min="20" max="20" width="16.421875" style="6" customWidth="1"/>
    <col min="21" max="25" width="15.7109375" style="6" customWidth="1"/>
    <col min="26" max="26" width="12.7109375" style="6" customWidth="1"/>
    <col min="27" max="30" width="9.140625" style="6" customWidth="1"/>
    <col min="31" max="16384" width="9.140625" style="6" customWidth="1"/>
  </cols>
  <sheetData>
    <row r="1" spans="1:7" ht="18.75">
      <c r="A1" s="24" t="s">
        <v>85</v>
      </c>
      <c r="D1" s="6" t="s">
        <v>24</v>
      </c>
      <c r="E1" s="57" t="s">
        <v>24</v>
      </c>
      <c r="F1" s="57" t="s">
        <v>24</v>
      </c>
      <c r="G1" s="57" t="s">
        <v>24</v>
      </c>
    </row>
    <row r="2" spans="1:26" ht="13.5" thickBot="1">
      <c r="A2" s="4" t="s">
        <v>185</v>
      </c>
      <c r="D2" s="12" t="s">
        <v>24</v>
      </c>
      <c r="E2" s="7"/>
      <c r="F2" s="4"/>
      <c r="G2" s="7"/>
      <c r="H2" s="28" t="s">
        <v>24</v>
      </c>
      <c r="M2" s="6" t="s">
        <v>24</v>
      </c>
      <c r="T2" s="10"/>
      <c r="U2" s="10"/>
      <c r="V2" s="10"/>
      <c r="W2" s="10"/>
      <c r="X2" s="10"/>
      <c r="Y2" s="10"/>
      <c r="Z2" s="10"/>
    </row>
    <row r="3" spans="1:25" s="2" customFormat="1" ht="18.75" thickBot="1">
      <c r="A3" s="126" t="s">
        <v>79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50"/>
      <c r="S3" s="50"/>
      <c r="T3" s="50"/>
      <c r="U3" s="50"/>
      <c r="V3" s="50"/>
      <c r="W3" s="50"/>
      <c r="Y3" s="50"/>
    </row>
    <row r="4" spans="1:25" s="8" customFormat="1" ht="63.75">
      <c r="A4" s="109" t="s">
        <v>3</v>
      </c>
      <c r="B4" s="110" t="s">
        <v>83</v>
      </c>
      <c r="C4" s="110" t="s">
        <v>124</v>
      </c>
      <c r="D4" s="205" t="s">
        <v>66</v>
      </c>
      <c r="E4" s="110" t="s">
        <v>125</v>
      </c>
      <c r="F4" s="205" t="s">
        <v>126</v>
      </c>
      <c r="G4" s="110" t="s">
        <v>63</v>
      </c>
      <c r="H4" s="206" t="s">
        <v>64</v>
      </c>
      <c r="I4" s="54"/>
      <c r="J4" s="54"/>
      <c r="K4" s="54"/>
      <c r="L4" s="54"/>
      <c r="M4" s="54"/>
      <c r="N4" s="54"/>
      <c r="O4" s="54"/>
      <c r="P4" s="54"/>
      <c r="Q4" s="54"/>
      <c r="R4" s="23"/>
      <c r="S4" s="23"/>
      <c r="T4" s="23"/>
      <c r="U4" s="23"/>
      <c r="V4" s="23"/>
      <c r="W4" s="54"/>
      <c r="Y4" s="54"/>
    </row>
    <row r="5" spans="1:25" ht="12.75">
      <c r="A5" s="55" t="s">
        <v>6</v>
      </c>
      <c r="B5" s="66">
        <v>125.47</v>
      </c>
      <c r="C5" s="66">
        <v>0</v>
      </c>
      <c r="D5" s="203">
        <f>B5+C5</f>
        <v>125.47</v>
      </c>
      <c r="E5" s="66">
        <v>0.52</v>
      </c>
      <c r="F5" s="203">
        <f aca="true" t="shared" si="0" ref="F5:F12">D5+E5</f>
        <v>125.99</v>
      </c>
      <c r="G5" s="66">
        <v>0</v>
      </c>
      <c r="H5" s="207">
        <f aca="true" t="shared" si="1" ref="H5:H12">F5+G5</f>
        <v>125.99</v>
      </c>
      <c r="I5" s="10"/>
      <c r="J5" s="10"/>
      <c r="K5" s="10"/>
      <c r="L5" s="10"/>
      <c r="M5" s="10"/>
      <c r="N5" s="10"/>
      <c r="O5" s="10"/>
      <c r="P5" s="10"/>
      <c r="Q5" s="10"/>
      <c r="R5" s="87"/>
      <c r="S5" s="87"/>
      <c r="T5" s="87"/>
      <c r="U5" s="87"/>
      <c r="V5" s="87"/>
      <c r="W5" s="10"/>
      <c r="Y5" s="10"/>
    </row>
    <row r="6" spans="1:25" ht="12.75">
      <c r="A6" s="55" t="s">
        <v>30</v>
      </c>
      <c r="B6" s="66">
        <f>$B$5</f>
        <v>125.47</v>
      </c>
      <c r="C6" s="66">
        <v>0</v>
      </c>
      <c r="D6" s="203">
        <f>B6+C6</f>
        <v>125.47</v>
      </c>
      <c r="E6" s="66">
        <v>11.03</v>
      </c>
      <c r="F6" s="203">
        <f t="shared" si="0"/>
        <v>136.5</v>
      </c>
      <c r="G6" s="66">
        <v>0</v>
      </c>
      <c r="H6" s="207">
        <f t="shared" si="1"/>
        <v>136.5</v>
      </c>
      <c r="I6" s="10"/>
      <c r="J6" s="10"/>
      <c r="K6" s="10"/>
      <c r="L6" s="10"/>
      <c r="M6" s="10"/>
      <c r="N6" s="10"/>
      <c r="O6" s="10"/>
      <c r="P6" s="10"/>
      <c r="Q6" s="10"/>
      <c r="R6" s="87"/>
      <c r="S6" s="87"/>
      <c r="T6" s="87"/>
      <c r="U6" s="35"/>
      <c r="V6" s="87"/>
      <c r="W6" s="10"/>
      <c r="Y6" s="10"/>
    </row>
    <row r="7" spans="1:25" ht="12.75">
      <c r="A7" s="55" t="s">
        <v>41</v>
      </c>
      <c r="B7" s="66">
        <f aca="true" t="shared" si="2" ref="B7:B12">$B$5</f>
        <v>125.47</v>
      </c>
      <c r="C7" s="66">
        <v>0</v>
      </c>
      <c r="D7" s="203">
        <f>B7+C6+C7</f>
        <v>125.47</v>
      </c>
      <c r="E7" s="66">
        <v>11.03</v>
      </c>
      <c r="F7" s="203">
        <f t="shared" si="0"/>
        <v>136.5</v>
      </c>
      <c r="G7" s="66">
        <v>0</v>
      </c>
      <c r="H7" s="207">
        <f t="shared" si="1"/>
        <v>136.5</v>
      </c>
      <c r="I7" s="10"/>
      <c r="J7" s="10"/>
      <c r="K7" s="10"/>
      <c r="L7" s="10"/>
      <c r="M7" s="10"/>
      <c r="N7" s="10"/>
      <c r="O7" s="10"/>
      <c r="P7" s="10"/>
      <c r="Q7" s="10"/>
      <c r="R7" s="87"/>
      <c r="S7" s="87"/>
      <c r="T7" s="87"/>
      <c r="U7" s="35"/>
      <c r="V7" s="87"/>
      <c r="W7" s="10"/>
      <c r="Y7" s="10"/>
    </row>
    <row r="8" spans="1:25" ht="12.75">
      <c r="A8" s="55" t="s">
        <v>5</v>
      </c>
      <c r="B8" s="66">
        <f t="shared" si="2"/>
        <v>125.47</v>
      </c>
      <c r="C8" s="66">
        <v>0</v>
      </c>
      <c r="D8" s="203">
        <f>B8+C6+C8</f>
        <v>125.47</v>
      </c>
      <c r="E8" s="66">
        <v>11.03</v>
      </c>
      <c r="F8" s="203">
        <f t="shared" si="0"/>
        <v>136.5</v>
      </c>
      <c r="G8" s="66">
        <v>0</v>
      </c>
      <c r="H8" s="207">
        <f t="shared" si="1"/>
        <v>136.5</v>
      </c>
      <c r="I8" s="10"/>
      <c r="J8" s="10"/>
      <c r="K8" s="10"/>
      <c r="L8" s="10"/>
      <c r="M8" s="10"/>
      <c r="N8" s="10"/>
      <c r="O8" s="10"/>
      <c r="P8" s="10"/>
      <c r="Q8" s="10"/>
      <c r="R8" s="87"/>
      <c r="S8" s="87"/>
      <c r="T8" s="87"/>
      <c r="U8" s="35"/>
      <c r="V8" s="87"/>
      <c r="W8" s="10"/>
      <c r="Y8" s="10"/>
    </row>
    <row r="9" spans="1:25" ht="12.75">
      <c r="A9" s="55" t="s">
        <v>8</v>
      </c>
      <c r="B9" s="66">
        <f t="shared" si="2"/>
        <v>125.47</v>
      </c>
      <c r="C9" s="66">
        <v>0</v>
      </c>
      <c r="D9" s="203">
        <f>B9+C6+C7+C9</f>
        <v>125.47</v>
      </c>
      <c r="E9" s="66">
        <v>11.03</v>
      </c>
      <c r="F9" s="203">
        <f t="shared" si="0"/>
        <v>136.5</v>
      </c>
      <c r="G9" s="66">
        <v>0</v>
      </c>
      <c r="H9" s="207">
        <f t="shared" si="1"/>
        <v>136.5</v>
      </c>
      <c r="I9" s="10"/>
      <c r="J9" s="10"/>
      <c r="K9" s="10"/>
      <c r="L9" s="10"/>
      <c r="M9" s="10"/>
      <c r="N9" s="10"/>
      <c r="O9" s="10"/>
      <c r="P9" s="10"/>
      <c r="Q9" s="10"/>
      <c r="R9" s="87"/>
      <c r="S9" s="87"/>
      <c r="T9" s="87"/>
      <c r="U9" s="35"/>
      <c r="V9" s="35"/>
      <c r="W9" s="10"/>
      <c r="Y9" s="10"/>
    </row>
    <row r="10" spans="1:25" ht="12.75">
      <c r="A10" s="55" t="s">
        <v>42</v>
      </c>
      <c r="B10" s="66">
        <f t="shared" si="2"/>
        <v>125.47</v>
      </c>
      <c r="C10" s="66">
        <v>88.5</v>
      </c>
      <c r="D10" s="203">
        <f>B10+C6+C7+C9+C10</f>
        <v>213.97</v>
      </c>
      <c r="E10" s="66">
        <v>11.03</v>
      </c>
      <c r="F10" s="203">
        <f t="shared" si="0"/>
        <v>225</v>
      </c>
      <c r="G10" s="66">
        <v>0</v>
      </c>
      <c r="H10" s="207">
        <f t="shared" si="1"/>
        <v>225</v>
      </c>
      <c r="I10" s="10"/>
      <c r="J10" s="10"/>
      <c r="K10" s="10"/>
      <c r="L10" s="10"/>
      <c r="M10" s="10"/>
      <c r="N10" s="10"/>
      <c r="O10" s="10"/>
      <c r="P10" s="10"/>
      <c r="Q10" s="10"/>
      <c r="R10" s="87"/>
      <c r="S10" s="87"/>
      <c r="T10" s="87"/>
      <c r="U10" s="35"/>
      <c r="V10" s="35"/>
      <c r="W10" s="10"/>
      <c r="Y10" s="10"/>
    </row>
    <row r="11" spans="1:25" ht="12.75">
      <c r="A11" s="55" t="s">
        <v>43</v>
      </c>
      <c r="B11" s="66">
        <f t="shared" si="2"/>
        <v>125.47</v>
      </c>
      <c r="C11" s="66">
        <v>0</v>
      </c>
      <c r="D11" s="203">
        <f>B11+C6+C7+C11</f>
        <v>125.47</v>
      </c>
      <c r="E11" s="66">
        <v>11.03</v>
      </c>
      <c r="F11" s="203">
        <f t="shared" si="0"/>
        <v>136.5</v>
      </c>
      <c r="G11" s="66">
        <v>0</v>
      </c>
      <c r="H11" s="207">
        <f t="shared" si="1"/>
        <v>136.5</v>
      </c>
      <c r="I11" s="10"/>
      <c r="J11" s="10"/>
      <c r="K11" s="10"/>
      <c r="L11" s="10"/>
      <c r="M11" s="10"/>
      <c r="N11" s="10"/>
      <c r="O11" s="10"/>
      <c r="P11" s="10"/>
      <c r="Q11" s="10"/>
      <c r="R11" s="87"/>
      <c r="S11" s="87"/>
      <c r="T11" s="87"/>
      <c r="U11" s="35"/>
      <c r="V11" s="35"/>
      <c r="W11" s="10"/>
      <c r="Y11" s="10"/>
    </row>
    <row r="12" spans="1:25" ht="13.5" thickBot="1">
      <c r="A12" s="128" t="s">
        <v>15</v>
      </c>
      <c r="B12" s="114">
        <f t="shared" si="2"/>
        <v>125.47</v>
      </c>
      <c r="C12" s="129">
        <v>0</v>
      </c>
      <c r="D12" s="204">
        <f>B12+C6+C8+C12</f>
        <v>125.47</v>
      </c>
      <c r="E12" s="129">
        <v>11.03</v>
      </c>
      <c r="F12" s="204">
        <f t="shared" si="0"/>
        <v>136.5</v>
      </c>
      <c r="G12" s="129">
        <v>0</v>
      </c>
      <c r="H12" s="208">
        <f t="shared" si="1"/>
        <v>136.5</v>
      </c>
      <c r="I12" s="10"/>
      <c r="J12" s="10"/>
      <c r="K12" s="10"/>
      <c r="L12" s="10"/>
      <c r="M12" s="10"/>
      <c r="N12" s="10"/>
      <c r="O12" s="10"/>
      <c r="P12" s="10"/>
      <c r="Q12" s="10"/>
      <c r="R12" s="87"/>
      <c r="S12" s="87"/>
      <c r="T12" s="87"/>
      <c r="U12" s="87"/>
      <c r="V12" s="87"/>
      <c r="W12" s="10"/>
      <c r="Y12" s="10"/>
    </row>
    <row r="13" spans="1:25" ht="12.75">
      <c r="A13" s="12" t="s">
        <v>29</v>
      </c>
      <c r="B13" s="35"/>
      <c r="C13" s="35"/>
      <c r="D13" s="35"/>
      <c r="E13" s="36"/>
      <c r="F13" s="25"/>
      <c r="G13" s="25"/>
      <c r="H13" s="25"/>
      <c r="I13" s="74" t="s">
        <v>24</v>
      </c>
      <c r="J13" s="74"/>
      <c r="K13" s="74"/>
      <c r="L13" s="52" t="s">
        <v>24</v>
      </c>
      <c r="M13" s="10"/>
      <c r="N13" s="10"/>
      <c r="O13" s="10"/>
      <c r="P13" s="10"/>
      <c r="Q13" s="10"/>
      <c r="R13" s="52"/>
      <c r="S13" s="52"/>
      <c r="T13" s="52"/>
      <c r="U13" s="52"/>
      <c r="V13" s="52"/>
      <c r="W13" s="10"/>
      <c r="Y13" s="10" t="s">
        <v>24</v>
      </c>
    </row>
    <row r="14" spans="1:25" ht="12.75">
      <c r="A14" s="12"/>
      <c r="B14" s="35"/>
      <c r="C14" s="35"/>
      <c r="D14" s="35"/>
      <c r="E14" s="36"/>
      <c r="F14" s="25"/>
      <c r="G14" s="25"/>
      <c r="H14" s="25"/>
      <c r="I14" s="74"/>
      <c r="J14" s="74"/>
      <c r="K14" s="74"/>
      <c r="L14" s="52"/>
      <c r="R14" s="52"/>
      <c r="S14" s="52"/>
      <c r="T14" s="52"/>
      <c r="U14" s="52"/>
      <c r="V14" s="52"/>
      <c r="Y14" s="10"/>
    </row>
    <row r="15" spans="1:25" ht="15.75" thickBot="1">
      <c r="A15" s="96" t="s">
        <v>80</v>
      </c>
      <c r="B15" s="35"/>
      <c r="C15" s="35"/>
      <c r="D15" s="35"/>
      <c r="E15" s="36"/>
      <c r="F15" s="25"/>
      <c r="G15" s="25"/>
      <c r="H15" s="25"/>
      <c r="I15" s="74"/>
      <c r="J15" s="74"/>
      <c r="K15" s="74"/>
      <c r="L15" s="52"/>
      <c r="R15" s="52"/>
      <c r="S15" s="52"/>
      <c r="T15" s="52"/>
      <c r="U15" s="52"/>
      <c r="V15" s="52"/>
      <c r="Y15" s="10"/>
    </row>
    <row r="16" spans="1:25" ht="69" customHeight="1" thickBot="1">
      <c r="A16" s="195" t="s">
        <v>3</v>
      </c>
      <c r="B16" s="196" t="s">
        <v>175</v>
      </c>
      <c r="C16" s="196" t="s">
        <v>67</v>
      </c>
      <c r="D16" s="196" t="s">
        <v>65</v>
      </c>
      <c r="E16" s="196" t="s">
        <v>68</v>
      </c>
      <c r="F16" s="196" t="s">
        <v>176</v>
      </c>
      <c r="G16" s="196" t="s">
        <v>138</v>
      </c>
      <c r="H16" s="196" t="s">
        <v>139</v>
      </c>
      <c r="I16" s="197" t="s">
        <v>140</v>
      </c>
      <c r="J16" s="171"/>
      <c r="R16" s="52"/>
      <c r="S16" s="52"/>
      <c r="T16" s="52"/>
      <c r="U16" s="52"/>
      <c r="V16" s="52"/>
      <c r="Y16" s="10"/>
    </row>
    <row r="17" spans="1:25" ht="12.75">
      <c r="A17" s="115" t="s">
        <v>6</v>
      </c>
      <c r="B17" s="301">
        <v>12165.9</v>
      </c>
      <c r="C17" s="301">
        <v>1441</v>
      </c>
      <c r="D17" s="303">
        <v>136367.8</v>
      </c>
      <c r="E17" s="172">
        <f>B17+C17+D17</f>
        <v>149974.69999999998</v>
      </c>
      <c r="F17" s="173">
        <v>0</v>
      </c>
      <c r="G17" s="173">
        <v>0</v>
      </c>
      <c r="H17" s="173">
        <v>112.6</v>
      </c>
      <c r="I17" s="174">
        <f aca="true" t="shared" si="3" ref="I17:I24">F17+G17+H17</f>
        <v>112.6</v>
      </c>
      <c r="J17" s="10"/>
      <c r="K17" s="7"/>
      <c r="M17" s="210"/>
      <c r="R17" s="52"/>
      <c r="S17" s="52"/>
      <c r="T17" s="52"/>
      <c r="U17" s="52"/>
      <c r="V17" s="52"/>
      <c r="Y17" s="10"/>
    </row>
    <row r="18" spans="1:25" ht="12.75">
      <c r="A18" s="55" t="s">
        <v>30</v>
      </c>
      <c r="B18" s="63">
        <v>5920.7</v>
      </c>
      <c r="C18" s="63">
        <v>1076.8</v>
      </c>
      <c r="D18" s="304">
        <v>60178.5</v>
      </c>
      <c r="E18" s="72">
        <f aca="true" t="shared" si="4" ref="E18:E24">B18+C18+D18</f>
        <v>67176</v>
      </c>
      <c r="F18" s="45">
        <v>0</v>
      </c>
      <c r="G18" s="45">
        <v>0</v>
      </c>
      <c r="H18" s="45">
        <v>112.6</v>
      </c>
      <c r="I18" s="130">
        <f t="shared" si="3"/>
        <v>112.6</v>
      </c>
      <c r="J18" s="10"/>
      <c r="K18" s="7"/>
      <c r="M18" s="7"/>
      <c r="R18" s="52"/>
      <c r="S18" s="52"/>
      <c r="T18" s="52"/>
      <c r="U18" s="52"/>
      <c r="V18" s="52"/>
      <c r="Y18" s="10"/>
    </row>
    <row r="19" spans="1:25" ht="12.75">
      <c r="A19" s="55" t="s">
        <v>41</v>
      </c>
      <c r="B19" s="63">
        <v>2322.2</v>
      </c>
      <c r="C19" s="63">
        <v>442.8</v>
      </c>
      <c r="D19" s="304">
        <v>29789</v>
      </c>
      <c r="E19" s="72">
        <f t="shared" si="4"/>
        <v>32554</v>
      </c>
      <c r="F19" s="45">
        <v>0</v>
      </c>
      <c r="G19" s="45">
        <v>0</v>
      </c>
      <c r="H19" s="45">
        <v>112.6</v>
      </c>
      <c r="I19" s="130">
        <f t="shared" si="3"/>
        <v>112.6</v>
      </c>
      <c r="J19" s="10"/>
      <c r="K19" s="7"/>
      <c r="M19" s="211"/>
      <c r="R19" s="52"/>
      <c r="S19" s="52"/>
      <c r="T19" s="52"/>
      <c r="U19" s="52"/>
      <c r="V19" s="52"/>
      <c r="Y19" s="10"/>
    </row>
    <row r="20" spans="1:25" ht="12.75">
      <c r="A20" s="55" t="s">
        <v>5</v>
      </c>
      <c r="B20" s="63">
        <v>1852.2</v>
      </c>
      <c r="C20" s="63">
        <v>375.9</v>
      </c>
      <c r="D20" s="304">
        <v>8896</v>
      </c>
      <c r="E20" s="72">
        <f t="shared" si="4"/>
        <v>11124.1</v>
      </c>
      <c r="F20" s="73">
        <v>0</v>
      </c>
      <c r="G20" s="73">
        <v>0</v>
      </c>
      <c r="H20" s="73">
        <v>0</v>
      </c>
      <c r="I20" s="130">
        <f t="shared" si="3"/>
        <v>0</v>
      </c>
      <c r="J20" s="10"/>
      <c r="K20" s="7"/>
      <c r="R20" s="52"/>
      <c r="S20" s="52"/>
      <c r="T20" s="52"/>
      <c r="U20" s="52"/>
      <c r="V20" s="52"/>
      <c r="Y20" s="10"/>
    </row>
    <row r="21" spans="1:25" ht="12.75">
      <c r="A21" s="55" t="s">
        <v>8</v>
      </c>
      <c r="B21" s="63">
        <v>775.7</v>
      </c>
      <c r="C21" s="63">
        <v>142.6</v>
      </c>
      <c r="D21" s="304">
        <v>6664.7</v>
      </c>
      <c r="E21" s="72">
        <f t="shared" si="4"/>
        <v>7583</v>
      </c>
      <c r="F21" s="73">
        <v>0</v>
      </c>
      <c r="G21" s="73">
        <v>0</v>
      </c>
      <c r="H21" s="73">
        <v>0</v>
      </c>
      <c r="I21" s="130">
        <f t="shared" si="3"/>
        <v>0</v>
      </c>
      <c r="J21" s="10"/>
      <c r="K21" s="7"/>
      <c r="R21" s="52"/>
      <c r="S21" s="52"/>
      <c r="T21" s="52"/>
      <c r="U21" s="52"/>
      <c r="V21" s="52"/>
      <c r="Y21" s="10"/>
    </row>
    <row r="22" spans="1:25" ht="12.75">
      <c r="A22" s="55" t="s">
        <v>42</v>
      </c>
      <c r="B22" s="63">
        <v>340.7</v>
      </c>
      <c r="C22" s="63">
        <v>97.1</v>
      </c>
      <c r="D22" s="212">
        <v>3379.7</v>
      </c>
      <c r="E22" s="72">
        <f t="shared" si="4"/>
        <v>3817.5</v>
      </c>
      <c r="F22" s="73">
        <v>0</v>
      </c>
      <c r="G22" s="73">
        <v>0</v>
      </c>
      <c r="H22" s="73">
        <v>0</v>
      </c>
      <c r="I22" s="130">
        <f t="shared" si="3"/>
        <v>0</v>
      </c>
      <c r="J22" s="10"/>
      <c r="K22" s="7"/>
      <c r="R22" s="52"/>
      <c r="S22" s="52"/>
      <c r="T22" s="52"/>
      <c r="U22" s="52"/>
      <c r="V22" s="52"/>
      <c r="Y22" s="10"/>
    </row>
    <row r="23" spans="1:25" ht="12.75">
      <c r="A23" s="55" t="s">
        <v>43</v>
      </c>
      <c r="B23" s="63">
        <v>140.7</v>
      </c>
      <c r="C23" s="63">
        <v>78.9</v>
      </c>
      <c r="D23" s="212">
        <v>1219.6</v>
      </c>
      <c r="E23" s="72">
        <f t="shared" si="4"/>
        <v>1439.1999999999998</v>
      </c>
      <c r="F23" s="73">
        <v>0</v>
      </c>
      <c r="G23" s="73">
        <v>0</v>
      </c>
      <c r="H23" s="73">
        <v>112.6</v>
      </c>
      <c r="I23" s="130">
        <f t="shared" si="3"/>
        <v>112.6</v>
      </c>
      <c r="J23" s="10"/>
      <c r="K23" s="7"/>
      <c r="R23" s="52"/>
      <c r="S23" s="52"/>
      <c r="T23" s="52"/>
      <c r="U23" s="52"/>
      <c r="V23" s="52"/>
      <c r="Y23" s="10"/>
    </row>
    <row r="24" spans="1:25" ht="13.5" thickBot="1">
      <c r="A24" s="128" t="s">
        <v>15</v>
      </c>
      <c r="B24" s="214">
        <v>708.8</v>
      </c>
      <c r="C24" s="302">
        <v>182.3</v>
      </c>
      <c r="D24" s="214">
        <v>4723.5</v>
      </c>
      <c r="E24" s="131">
        <f t="shared" si="4"/>
        <v>5614.6</v>
      </c>
      <c r="F24" s="132">
        <v>0</v>
      </c>
      <c r="G24" s="132">
        <v>0</v>
      </c>
      <c r="H24" s="132">
        <v>0</v>
      </c>
      <c r="I24" s="133">
        <f t="shared" si="3"/>
        <v>0</v>
      </c>
      <c r="J24" s="10"/>
      <c r="K24" s="7"/>
      <c r="R24" s="52"/>
      <c r="S24" s="52"/>
      <c r="T24" s="52"/>
      <c r="U24" s="52"/>
      <c r="V24" s="52"/>
      <c r="Y24" s="10"/>
    </row>
    <row r="25" spans="1:25" ht="13.5" thickBot="1">
      <c r="A25" s="12"/>
      <c r="B25" s="35"/>
      <c r="C25" s="35"/>
      <c r="D25" s="35"/>
      <c r="E25" s="36"/>
      <c r="F25" s="25"/>
      <c r="G25" s="25"/>
      <c r="H25" s="25"/>
      <c r="I25" s="74"/>
      <c r="J25" s="74"/>
      <c r="K25" s="74"/>
      <c r="L25" s="52"/>
      <c r="R25" s="52"/>
      <c r="S25" s="52"/>
      <c r="T25" s="52"/>
      <c r="U25" s="52"/>
      <c r="V25" s="52"/>
      <c r="Y25" s="10"/>
    </row>
    <row r="26" spans="1:25" ht="15.75" thickBot="1">
      <c r="A26" s="134" t="s">
        <v>77</v>
      </c>
      <c r="B26" s="35"/>
      <c r="C26" s="35"/>
      <c r="D26" s="35"/>
      <c r="E26" s="36"/>
      <c r="F26" s="25"/>
      <c r="G26" s="25"/>
      <c r="H26" s="25"/>
      <c r="I26" s="74"/>
      <c r="J26" s="74"/>
      <c r="K26" s="74"/>
      <c r="L26" s="52"/>
      <c r="M26" s="52"/>
      <c r="N26" s="52"/>
      <c r="O26" s="52"/>
      <c r="P26" s="52"/>
      <c r="Q26" s="52"/>
      <c r="R26" s="52"/>
      <c r="Y26" s="10"/>
    </row>
    <row r="27" spans="1:25" ht="114" customHeight="1">
      <c r="A27" s="109" t="s">
        <v>3</v>
      </c>
      <c r="B27" s="110" t="s">
        <v>175</v>
      </c>
      <c r="C27" s="110" t="s">
        <v>67</v>
      </c>
      <c r="D27" s="110" t="s">
        <v>65</v>
      </c>
      <c r="E27" s="110" t="s">
        <v>68</v>
      </c>
      <c r="F27" s="111" t="s">
        <v>160</v>
      </c>
      <c r="G27" s="111" t="s">
        <v>164</v>
      </c>
      <c r="H27" s="111" t="s">
        <v>165</v>
      </c>
      <c r="I27" s="112" t="s">
        <v>76</v>
      </c>
      <c r="K27" s="171"/>
      <c r="L27" s="171"/>
      <c r="M27" s="171"/>
      <c r="N27" s="171"/>
      <c r="O27" s="171"/>
      <c r="P27" s="171"/>
      <c r="R27" s="52"/>
      <c r="Y27" s="10"/>
    </row>
    <row r="28" spans="1:25" ht="12.75">
      <c r="A28" s="55" t="s">
        <v>54</v>
      </c>
      <c r="B28" s="62">
        <f>B17-B18</f>
        <v>6245.2</v>
      </c>
      <c r="C28" s="62">
        <f>C17-C18</f>
        <v>364.20000000000005</v>
      </c>
      <c r="D28" s="62">
        <f>D17-D18</f>
        <v>76189.29999999999</v>
      </c>
      <c r="E28" s="53">
        <f aca="true" t="shared" si="5" ref="E28:E35">B28+C28+D28</f>
        <v>82798.69999999998</v>
      </c>
      <c r="F28" s="156">
        <f>B28*D5</f>
        <v>783585.244</v>
      </c>
      <c r="G28" s="156">
        <f>C28*F5</f>
        <v>45885.558000000005</v>
      </c>
      <c r="H28" s="156">
        <f>D28*H5</f>
        <v>9599089.906999998</v>
      </c>
      <c r="I28" s="135">
        <f>F28+G28+H28</f>
        <v>10428560.708999997</v>
      </c>
      <c r="K28" s="87"/>
      <c r="L28" s="87"/>
      <c r="M28" s="51"/>
      <c r="N28" s="51"/>
      <c r="O28" s="87"/>
      <c r="P28" s="51"/>
      <c r="R28" s="52"/>
      <c r="Y28" s="10"/>
    </row>
    <row r="29" spans="1:25" ht="12.75">
      <c r="A29" s="55" t="s">
        <v>57</v>
      </c>
      <c r="B29" s="62">
        <f>B18-B19-B20</f>
        <v>1746.3</v>
      </c>
      <c r="C29" s="62">
        <f>C18-C19-C20</f>
        <v>258.1</v>
      </c>
      <c r="D29" s="62">
        <f>D18-D19-D20</f>
        <v>21493.5</v>
      </c>
      <c r="E29" s="53">
        <f t="shared" si="5"/>
        <v>23497.9</v>
      </c>
      <c r="F29" s="156">
        <f aca="true" t="shared" si="6" ref="F29:F35">B29*D6</f>
        <v>219108.261</v>
      </c>
      <c r="G29" s="156">
        <f aca="true" t="shared" si="7" ref="G29:G35">C29*F6</f>
        <v>35230.65</v>
      </c>
      <c r="H29" s="156">
        <f aca="true" t="shared" si="8" ref="H29:H35">D29*H6</f>
        <v>2933862.75</v>
      </c>
      <c r="I29" s="135">
        <f aca="true" t="shared" si="9" ref="I29:I35">F29+G29+H29</f>
        <v>3188201.661</v>
      </c>
      <c r="K29" s="87"/>
      <c r="L29" s="87"/>
      <c r="M29" s="51"/>
      <c r="N29" s="51"/>
      <c r="O29" s="87"/>
      <c r="P29" s="51"/>
      <c r="R29" s="52"/>
      <c r="Y29" s="10"/>
    </row>
    <row r="30" spans="1:25" ht="12.75">
      <c r="A30" s="55" t="s">
        <v>56</v>
      </c>
      <c r="B30" s="62">
        <f>B19-B21-B23</f>
        <v>1405.7999999999997</v>
      </c>
      <c r="C30" s="62">
        <f>C19-C21-C23</f>
        <v>221.30000000000004</v>
      </c>
      <c r="D30" s="62">
        <f>D19-D21-D23</f>
        <v>21904.7</v>
      </c>
      <c r="E30" s="53">
        <f t="shared" si="5"/>
        <v>23531.8</v>
      </c>
      <c r="F30" s="156">
        <f t="shared" si="6"/>
        <v>176385.72599999997</v>
      </c>
      <c r="G30" s="156">
        <f t="shared" si="7"/>
        <v>30207.450000000004</v>
      </c>
      <c r="H30" s="156">
        <f t="shared" si="8"/>
        <v>2989991.5500000003</v>
      </c>
      <c r="I30" s="135">
        <f t="shared" si="9"/>
        <v>3196584.7260000003</v>
      </c>
      <c r="K30" s="87"/>
      <c r="L30" s="87"/>
      <c r="M30" s="51"/>
      <c r="N30" s="51"/>
      <c r="O30" s="87"/>
      <c r="P30" s="51"/>
      <c r="R30" s="52"/>
      <c r="Y30" s="10"/>
    </row>
    <row r="31" spans="1:25" ht="12.75">
      <c r="A31" s="55" t="s">
        <v>55</v>
      </c>
      <c r="B31" s="62">
        <f>B20-B24</f>
        <v>1143.4</v>
      </c>
      <c r="C31" s="62">
        <f>C20-C24</f>
        <v>193.59999999999997</v>
      </c>
      <c r="D31" s="62">
        <f>D20-D24</f>
        <v>4172.5</v>
      </c>
      <c r="E31" s="53">
        <f t="shared" si="5"/>
        <v>5509.5</v>
      </c>
      <c r="F31" s="156">
        <f t="shared" si="6"/>
        <v>143462.39800000002</v>
      </c>
      <c r="G31" s="156">
        <f t="shared" si="7"/>
        <v>26426.399999999994</v>
      </c>
      <c r="H31" s="156">
        <f t="shared" si="8"/>
        <v>569546.25</v>
      </c>
      <c r="I31" s="135">
        <f t="shared" si="9"/>
        <v>739435.048</v>
      </c>
      <c r="K31" s="87"/>
      <c r="L31" s="87"/>
      <c r="M31" s="51"/>
      <c r="N31" s="51"/>
      <c r="O31" s="87"/>
      <c r="P31" s="51"/>
      <c r="R31" s="52"/>
      <c r="Y31" s="10"/>
    </row>
    <row r="32" spans="1:25" ht="12.75">
      <c r="A32" s="55" t="s">
        <v>45</v>
      </c>
      <c r="B32" s="62">
        <f>B21-B22</f>
        <v>435.00000000000006</v>
      </c>
      <c r="C32" s="62">
        <f>C21-C22</f>
        <v>45.5</v>
      </c>
      <c r="D32" s="62">
        <f>D21-D22</f>
        <v>3285</v>
      </c>
      <c r="E32" s="53">
        <f t="shared" si="5"/>
        <v>3765.5</v>
      </c>
      <c r="F32" s="156">
        <f t="shared" si="6"/>
        <v>54579.450000000004</v>
      </c>
      <c r="G32" s="156">
        <f t="shared" si="7"/>
        <v>6210.75</v>
      </c>
      <c r="H32" s="156">
        <f t="shared" si="8"/>
        <v>448402.5</v>
      </c>
      <c r="I32" s="135">
        <f t="shared" si="9"/>
        <v>509192.7</v>
      </c>
      <c r="K32" s="87"/>
      <c r="L32" s="87"/>
      <c r="M32" s="51"/>
      <c r="N32" s="51"/>
      <c r="O32" s="87"/>
      <c r="P32" s="51"/>
      <c r="R32" s="52"/>
      <c r="Y32" s="10"/>
    </row>
    <row r="33" spans="1:25" ht="12.75">
      <c r="A33" s="55" t="s">
        <v>42</v>
      </c>
      <c r="B33" s="62">
        <f aca="true" t="shared" si="10" ref="B33:D35">B22</f>
        <v>340.7</v>
      </c>
      <c r="C33" s="62">
        <f t="shared" si="10"/>
        <v>97.1</v>
      </c>
      <c r="D33" s="62">
        <f t="shared" si="10"/>
        <v>3379.7</v>
      </c>
      <c r="E33" s="53">
        <f t="shared" si="5"/>
        <v>3817.5</v>
      </c>
      <c r="F33" s="156">
        <f t="shared" si="6"/>
        <v>72899.579</v>
      </c>
      <c r="G33" s="156">
        <f t="shared" si="7"/>
        <v>21847.5</v>
      </c>
      <c r="H33" s="156">
        <f t="shared" si="8"/>
        <v>760432.5</v>
      </c>
      <c r="I33" s="135">
        <f t="shared" si="9"/>
        <v>855179.579</v>
      </c>
      <c r="K33" s="87"/>
      <c r="L33" s="87"/>
      <c r="M33" s="51"/>
      <c r="N33" s="51"/>
      <c r="O33" s="87"/>
      <c r="P33" s="51"/>
      <c r="R33" s="52"/>
      <c r="Y33" s="10"/>
    </row>
    <row r="34" spans="1:25" ht="12.75">
      <c r="A34" s="55" t="s">
        <v>43</v>
      </c>
      <c r="B34" s="62">
        <f t="shared" si="10"/>
        <v>140.7</v>
      </c>
      <c r="C34" s="62">
        <f t="shared" si="10"/>
        <v>78.9</v>
      </c>
      <c r="D34" s="62">
        <f t="shared" si="10"/>
        <v>1219.6</v>
      </c>
      <c r="E34" s="53">
        <f t="shared" si="5"/>
        <v>1439.1999999999998</v>
      </c>
      <c r="F34" s="156">
        <f t="shared" si="6"/>
        <v>17653.628999999997</v>
      </c>
      <c r="G34" s="156">
        <f t="shared" si="7"/>
        <v>10769.85</v>
      </c>
      <c r="H34" s="156">
        <f t="shared" si="8"/>
        <v>166475.4</v>
      </c>
      <c r="I34" s="135">
        <f t="shared" si="9"/>
        <v>194898.879</v>
      </c>
      <c r="K34" s="87"/>
      <c r="L34" s="87"/>
      <c r="M34" s="51"/>
      <c r="N34" s="51"/>
      <c r="O34" s="87"/>
      <c r="P34" s="51"/>
      <c r="R34" s="52"/>
      <c r="Y34" s="10"/>
    </row>
    <row r="35" spans="1:25" ht="12.75">
      <c r="A35" s="55" t="s">
        <v>15</v>
      </c>
      <c r="B35" s="62">
        <f t="shared" si="10"/>
        <v>708.8</v>
      </c>
      <c r="C35" s="62">
        <f t="shared" si="10"/>
        <v>182.3</v>
      </c>
      <c r="D35" s="62">
        <f t="shared" si="10"/>
        <v>4723.5</v>
      </c>
      <c r="E35" s="53">
        <f t="shared" si="5"/>
        <v>5614.6</v>
      </c>
      <c r="F35" s="156">
        <f t="shared" si="6"/>
        <v>88933.136</v>
      </c>
      <c r="G35" s="156">
        <f t="shared" si="7"/>
        <v>24883.95</v>
      </c>
      <c r="H35" s="156">
        <f t="shared" si="8"/>
        <v>644757.75</v>
      </c>
      <c r="I35" s="135">
        <f t="shared" si="9"/>
        <v>758574.836</v>
      </c>
      <c r="K35" s="87"/>
      <c r="L35" s="87"/>
      <c r="M35" s="51"/>
      <c r="N35" s="51"/>
      <c r="O35" s="87"/>
      <c r="P35" s="51"/>
      <c r="R35" s="52"/>
      <c r="Y35" s="10"/>
    </row>
    <row r="36" spans="1:25" ht="13.5" thickBot="1">
      <c r="A36" s="56" t="s">
        <v>59</v>
      </c>
      <c r="B36" s="136">
        <f aca="true" t="shared" si="11" ref="B36:I36">SUM(B28:B35)</f>
        <v>12165.9</v>
      </c>
      <c r="C36" s="136">
        <f t="shared" si="11"/>
        <v>1441</v>
      </c>
      <c r="D36" s="136">
        <f t="shared" si="11"/>
        <v>136367.8</v>
      </c>
      <c r="E36" s="75">
        <f t="shared" si="11"/>
        <v>149974.69999999998</v>
      </c>
      <c r="F36" s="157">
        <f t="shared" si="11"/>
        <v>1556607.4229999997</v>
      </c>
      <c r="G36" s="157">
        <f t="shared" si="11"/>
        <v>201462.10800000004</v>
      </c>
      <c r="H36" s="157">
        <f t="shared" si="11"/>
        <v>18112558.606999997</v>
      </c>
      <c r="I36" s="137">
        <f t="shared" si="11"/>
        <v>19870628.137999997</v>
      </c>
      <c r="K36" s="87"/>
      <c r="L36" s="87"/>
      <c r="M36" s="51"/>
      <c r="N36" s="51"/>
      <c r="O36" s="87"/>
      <c r="P36" s="51"/>
      <c r="R36" s="52"/>
      <c r="Y36" s="10"/>
    </row>
    <row r="37" spans="1:25" ht="13.5" thickBot="1">
      <c r="A37" s="10"/>
      <c r="B37" s="18"/>
      <c r="C37" s="18"/>
      <c r="D37" s="18"/>
      <c r="E37" s="80"/>
      <c r="F37" s="35"/>
      <c r="G37" s="35"/>
      <c r="H37" s="35"/>
      <c r="I37" s="9"/>
      <c r="J37" s="18"/>
      <c r="K37" s="35"/>
      <c r="L37" s="18"/>
      <c r="M37" s="18"/>
      <c r="N37" s="18"/>
      <c r="O37" s="15"/>
      <c r="P37" s="15"/>
      <c r="Q37" s="15"/>
      <c r="R37" s="52"/>
      <c r="Y37" s="10"/>
    </row>
    <row r="38" spans="1:25" ht="15.75" thickBot="1">
      <c r="A38" s="138" t="s">
        <v>136</v>
      </c>
      <c r="B38" s="18"/>
      <c r="C38" s="18"/>
      <c r="D38" s="18"/>
      <c r="E38" s="80"/>
      <c r="F38" s="35"/>
      <c r="G38" s="35"/>
      <c r="H38" s="35"/>
      <c r="I38" s="9"/>
      <c r="J38" s="18"/>
      <c r="K38" s="35"/>
      <c r="L38" s="18"/>
      <c r="M38" s="18"/>
      <c r="N38" s="18"/>
      <c r="O38" s="15"/>
      <c r="P38" s="15"/>
      <c r="Q38" s="15"/>
      <c r="R38" s="52"/>
      <c r="Y38" s="10"/>
    </row>
    <row r="39" spans="1:25" ht="76.5">
      <c r="A39" s="195" t="s">
        <v>3</v>
      </c>
      <c r="B39" s="196" t="s">
        <v>177</v>
      </c>
      <c r="C39" s="196" t="s">
        <v>141</v>
      </c>
      <c r="D39" s="198" t="s">
        <v>142</v>
      </c>
      <c r="E39" s="198" t="s">
        <v>140</v>
      </c>
      <c r="F39" s="198" t="s">
        <v>88</v>
      </c>
      <c r="G39" s="198" t="s">
        <v>87</v>
      </c>
      <c r="H39" s="198" t="s">
        <v>86</v>
      </c>
      <c r="I39" s="199" t="s">
        <v>144</v>
      </c>
      <c r="J39" s="200" t="s">
        <v>137</v>
      </c>
      <c r="K39" s="35"/>
      <c r="L39" s="18"/>
      <c r="M39" s="18"/>
      <c r="N39" s="18"/>
      <c r="O39" s="15"/>
      <c r="P39" s="15"/>
      <c r="Q39" s="15"/>
      <c r="R39" s="52"/>
      <c r="Y39" s="10"/>
    </row>
    <row r="40" spans="1:25" ht="12.75">
      <c r="A40" s="55" t="s">
        <v>54</v>
      </c>
      <c r="B40" s="62">
        <f>F17-F18</f>
        <v>0</v>
      </c>
      <c r="C40" s="62">
        <f>G17-G18</f>
        <v>0</v>
      </c>
      <c r="D40" s="62">
        <f>H17-H18</f>
        <v>0</v>
      </c>
      <c r="E40" s="53">
        <f aca="true" t="shared" si="12" ref="E40:E48">B40+C40+D40</f>
        <v>0</v>
      </c>
      <c r="F40" s="46">
        <f>B40*D5</f>
        <v>0</v>
      </c>
      <c r="G40" s="46">
        <f>C40*F5</f>
        <v>0</v>
      </c>
      <c r="H40" s="46">
        <f>D40*H5</f>
        <v>0</v>
      </c>
      <c r="I40" s="46">
        <v>0</v>
      </c>
      <c r="J40" s="135">
        <f>F40+G40+H40+I40</f>
        <v>0</v>
      </c>
      <c r="K40" s="35"/>
      <c r="L40" s="18"/>
      <c r="M40" s="18"/>
      <c r="N40" s="18"/>
      <c r="O40" s="15"/>
      <c r="P40" s="15"/>
      <c r="Q40" s="15"/>
      <c r="R40" s="52"/>
      <c r="Y40" s="10"/>
    </row>
    <row r="41" spans="1:25" ht="12.75">
      <c r="A41" s="55" t="s">
        <v>57</v>
      </c>
      <c r="B41" s="62">
        <f>F18-F19-F20</f>
        <v>0</v>
      </c>
      <c r="C41" s="62">
        <f>G18-G19-G20</f>
        <v>0</v>
      </c>
      <c r="D41" s="62">
        <f>H18-H19-H20</f>
        <v>0</v>
      </c>
      <c r="E41" s="53">
        <f t="shared" si="12"/>
        <v>0</v>
      </c>
      <c r="F41" s="46">
        <f aca="true" t="shared" si="13" ref="F41:F47">B41*D6</f>
        <v>0</v>
      </c>
      <c r="G41" s="46">
        <f aca="true" t="shared" si="14" ref="G41:G47">C41*F6</f>
        <v>0</v>
      </c>
      <c r="H41" s="46">
        <f aca="true" t="shared" si="15" ref="H41:H47">D41*H6</f>
        <v>0</v>
      </c>
      <c r="I41" s="46">
        <v>0</v>
      </c>
      <c r="J41" s="135">
        <f aca="true" t="shared" si="16" ref="J41:J47">F41+G41+H41+I41</f>
        <v>0</v>
      </c>
      <c r="K41" s="35"/>
      <c r="L41" s="18"/>
      <c r="M41" s="18"/>
      <c r="N41" s="18"/>
      <c r="O41" s="15"/>
      <c r="P41" s="15"/>
      <c r="Q41" s="15"/>
      <c r="R41" s="52"/>
      <c r="Y41" s="10"/>
    </row>
    <row r="42" spans="1:25" ht="12.75">
      <c r="A42" s="55" t="s">
        <v>56</v>
      </c>
      <c r="B42" s="62">
        <f>F19-F21-F23</f>
        <v>0</v>
      </c>
      <c r="C42" s="62">
        <f>G19-G21-G23</f>
        <v>0</v>
      </c>
      <c r="D42" s="62">
        <f>H19-H21-H23</f>
        <v>0</v>
      </c>
      <c r="E42" s="53">
        <f t="shared" si="12"/>
        <v>0</v>
      </c>
      <c r="F42" s="46">
        <f t="shared" si="13"/>
        <v>0</v>
      </c>
      <c r="G42" s="46">
        <f t="shared" si="14"/>
        <v>0</v>
      </c>
      <c r="H42" s="46">
        <f t="shared" si="15"/>
        <v>0</v>
      </c>
      <c r="I42" s="46">
        <v>0</v>
      </c>
      <c r="J42" s="135">
        <f t="shared" si="16"/>
        <v>0</v>
      </c>
      <c r="K42" s="35"/>
      <c r="L42" s="18"/>
      <c r="M42" s="18"/>
      <c r="N42" s="18"/>
      <c r="O42" s="15"/>
      <c r="P42" s="15"/>
      <c r="Q42" s="15"/>
      <c r="R42" s="52"/>
      <c r="Y42" s="10"/>
    </row>
    <row r="43" spans="1:25" ht="12.75">
      <c r="A43" s="55" t="s">
        <v>55</v>
      </c>
      <c r="B43" s="62">
        <f>F20-F24</f>
        <v>0</v>
      </c>
      <c r="C43" s="62">
        <f>G20-G24</f>
        <v>0</v>
      </c>
      <c r="D43" s="62">
        <f>H20-H24</f>
        <v>0</v>
      </c>
      <c r="E43" s="53">
        <f t="shared" si="12"/>
        <v>0</v>
      </c>
      <c r="F43" s="46">
        <f t="shared" si="13"/>
        <v>0</v>
      </c>
      <c r="G43" s="46">
        <f t="shared" si="14"/>
        <v>0</v>
      </c>
      <c r="H43" s="46">
        <f t="shared" si="15"/>
        <v>0</v>
      </c>
      <c r="I43" s="46">
        <v>0</v>
      </c>
      <c r="J43" s="135">
        <f t="shared" si="16"/>
        <v>0</v>
      </c>
      <c r="K43" s="35"/>
      <c r="L43" s="18"/>
      <c r="M43" s="18"/>
      <c r="N43" s="18"/>
      <c r="O43" s="15"/>
      <c r="P43" s="15"/>
      <c r="Q43" s="15"/>
      <c r="R43" s="52"/>
      <c r="Y43" s="10"/>
    </row>
    <row r="44" spans="1:25" ht="12.75">
      <c r="A44" s="55" t="s">
        <v>45</v>
      </c>
      <c r="B44" s="62">
        <f>F21-F22</f>
        <v>0</v>
      </c>
      <c r="C44" s="62">
        <f>G21-G22</f>
        <v>0</v>
      </c>
      <c r="D44" s="62">
        <f>H21-H22</f>
        <v>0</v>
      </c>
      <c r="E44" s="53">
        <f t="shared" si="12"/>
        <v>0</v>
      </c>
      <c r="F44" s="46">
        <f t="shared" si="13"/>
        <v>0</v>
      </c>
      <c r="G44" s="46">
        <f t="shared" si="14"/>
        <v>0</v>
      </c>
      <c r="H44" s="46">
        <f t="shared" si="15"/>
        <v>0</v>
      </c>
      <c r="I44" s="46">
        <v>0</v>
      </c>
      <c r="J44" s="135">
        <f t="shared" si="16"/>
        <v>0</v>
      </c>
      <c r="K44" s="35"/>
      <c r="L44" s="18"/>
      <c r="M44" s="18"/>
      <c r="N44" s="18"/>
      <c r="O44" s="15"/>
      <c r="P44" s="15"/>
      <c r="Q44" s="15"/>
      <c r="R44" s="52"/>
      <c r="Y44" s="10"/>
    </row>
    <row r="45" spans="1:25" ht="12.75">
      <c r="A45" s="55" t="s">
        <v>42</v>
      </c>
      <c r="B45" s="62">
        <f>F22</f>
        <v>0</v>
      </c>
      <c r="C45" s="62">
        <f aca="true" t="shared" si="17" ref="C45:D47">G22</f>
        <v>0</v>
      </c>
      <c r="D45" s="62">
        <f t="shared" si="17"/>
        <v>0</v>
      </c>
      <c r="E45" s="53">
        <f t="shared" si="12"/>
        <v>0</v>
      </c>
      <c r="F45" s="46">
        <f t="shared" si="13"/>
        <v>0</v>
      </c>
      <c r="G45" s="46">
        <f t="shared" si="14"/>
        <v>0</v>
      </c>
      <c r="H45" s="46">
        <f t="shared" si="15"/>
        <v>0</v>
      </c>
      <c r="I45" s="46">
        <v>0</v>
      </c>
      <c r="J45" s="135">
        <f t="shared" si="16"/>
        <v>0</v>
      </c>
      <c r="K45" s="35"/>
      <c r="L45" s="18"/>
      <c r="M45" s="18"/>
      <c r="N45" s="18"/>
      <c r="O45" s="15"/>
      <c r="P45" s="15"/>
      <c r="Q45" s="15"/>
      <c r="R45" s="52"/>
      <c r="Y45" s="10"/>
    </row>
    <row r="46" spans="1:25" ht="12.75">
      <c r="A46" s="55" t="s">
        <v>43</v>
      </c>
      <c r="B46" s="62">
        <f>F23</f>
        <v>0</v>
      </c>
      <c r="C46" s="62">
        <f t="shared" si="17"/>
        <v>0</v>
      </c>
      <c r="D46" s="62">
        <f t="shared" si="17"/>
        <v>112.6</v>
      </c>
      <c r="E46" s="53">
        <f t="shared" si="12"/>
        <v>112.6</v>
      </c>
      <c r="F46" s="46">
        <f t="shared" si="13"/>
        <v>0</v>
      </c>
      <c r="G46" s="46">
        <f t="shared" si="14"/>
        <v>0</v>
      </c>
      <c r="H46" s="46">
        <f t="shared" si="15"/>
        <v>15369.9</v>
      </c>
      <c r="I46" s="46">
        <v>20323.2</v>
      </c>
      <c r="J46" s="135">
        <f t="shared" si="16"/>
        <v>35693.1</v>
      </c>
      <c r="K46" s="35"/>
      <c r="L46" s="18"/>
      <c r="M46" s="18"/>
      <c r="N46" s="18"/>
      <c r="O46" s="15"/>
      <c r="P46" s="15"/>
      <c r="Q46" s="15"/>
      <c r="R46" s="52"/>
      <c r="Y46" s="10"/>
    </row>
    <row r="47" spans="1:25" ht="12.75">
      <c r="A47" s="55" t="s">
        <v>15</v>
      </c>
      <c r="B47" s="62">
        <f>F24</f>
        <v>0</v>
      </c>
      <c r="C47" s="62">
        <f t="shared" si="17"/>
        <v>0</v>
      </c>
      <c r="D47" s="62">
        <f t="shared" si="17"/>
        <v>0</v>
      </c>
      <c r="E47" s="53">
        <f t="shared" si="12"/>
        <v>0</v>
      </c>
      <c r="F47" s="46">
        <f t="shared" si="13"/>
        <v>0</v>
      </c>
      <c r="G47" s="46">
        <f t="shared" si="14"/>
        <v>0</v>
      </c>
      <c r="H47" s="46">
        <f t="shared" si="15"/>
        <v>0</v>
      </c>
      <c r="I47" s="46">
        <v>0</v>
      </c>
      <c r="J47" s="135">
        <f t="shared" si="16"/>
        <v>0</v>
      </c>
      <c r="K47" s="35"/>
      <c r="L47" s="18"/>
      <c r="M47" s="18"/>
      <c r="N47" s="18"/>
      <c r="O47" s="15"/>
      <c r="P47" s="15"/>
      <c r="Q47" s="15"/>
      <c r="R47" s="52"/>
      <c r="Y47" s="10"/>
    </row>
    <row r="48" spans="1:25" ht="13.5" thickBot="1">
      <c r="A48" s="56" t="s">
        <v>59</v>
      </c>
      <c r="B48" s="136">
        <f>SUM(B40:B47)</f>
        <v>0</v>
      </c>
      <c r="C48" s="136">
        <f>SUM(C40:C47)</f>
        <v>0</v>
      </c>
      <c r="D48" s="136">
        <f>SUM(D40:D47)</f>
        <v>112.6</v>
      </c>
      <c r="E48" s="75">
        <f t="shared" si="12"/>
        <v>112.6</v>
      </c>
      <c r="F48" s="233">
        <f>SUM(F40:F47)</f>
        <v>0</v>
      </c>
      <c r="G48" s="233">
        <f>SUM(G40:G47)</f>
        <v>0</v>
      </c>
      <c r="H48" s="233">
        <f>SUM(H40:H47)</f>
        <v>15369.9</v>
      </c>
      <c r="I48" s="233">
        <v>0</v>
      </c>
      <c r="J48" s="137">
        <f>SUM(J40:J47)</f>
        <v>35693.1</v>
      </c>
      <c r="K48" s="35"/>
      <c r="L48" s="18"/>
      <c r="M48" s="18"/>
      <c r="N48" s="18"/>
      <c r="O48" s="15"/>
      <c r="P48" s="15"/>
      <c r="Q48" s="15"/>
      <c r="R48" s="52"/>
      <c r="Y48" s="10"/>
    </row>
    <row r="49" spans="1:25" ht="13.5" thickBot="1">
      <c r="A49" s="10"/>
      <c r="B49" s="18"/>
      <c r="C49" s="18"/>
      <c r="D49" s="18"/>
      <c r="E49" s="80"/>
      <c r="F49" s="35"/>
      <c r="G49" s="35"/>
      <c r="H49" s="35"/>
      <c r="I49" s="9"/>
      <c r="J49" s="18"/>
      <c r="K49" s="35"/>
      <c r="L49" s="18"/>
      <c r="M49" s="18"/>
      <c r="N49" s="18"/>
      <c r="O49" s="15"/>
      <c r="P49" s="15"/>
      <c r="Q49" s="15"/>
      <c r="R49" s="52"/>
      <c r="Y49" s="10"/>
    </row>
    <row r="50" ht="15.75" thickBot="1">
      <c r="A50" s="170" t="s">
        <v>100</v>
      </c>
    </row>
    <row r="51" spans="1:4" ht="79.5" customHeight="1">
      <c r="A51" s="109" t="s">
        <v>101</v>
      </c>
      <c r="B51" s="111" t="s">
        <v>102</v>
      </c>
      <c r="C51" s="111" t="s">
        <v>183</v>
      </c>
      <c r="D51" s="112" t="s">
        <v>103</v>
      </c>
    </row>
    <row r="52" spans="1:4" ht="12.75">
      <c r="A52" s="55" t="s">
        <v>30</v>
      </c>
      <c r="B52" s="45">
        <v>0</v>
      </c>
      <c r="C52" s="156">
        <f>C6</f>
        <v>0</v>
      </c>
      <c r="D52" s="135">
        <f aca="true" t="shared" si="18" ref="D52:D58">B52*C52</f>
        <v>0</v>
      </c>
    </row>
    <row r="53" spans="1:4" ht="12.75">
      <c r="A53" s="55" t="s">
        <v>41</v>
      </c>
      <c r="B53" s="45">
        <v>0</v>
      </c>
      <c r="C53" s="156">
        <f aca="true" t="shared" si="19" ref="C53:C58">C7</f>
        <v>0</v>
      </c>
      <c r="D53" s="135">
        <f t="shared" si="18"/>
        <v>0</v>
      </c>
    </row>
    <row r="54" spans="1:4" ht="12.75">
      <c r="A54" s="55" t="s">
        <v>5</v>
      </c>
      <c r="B54" s="45">
        <v>0</v>
      </c>
      <c r="C54" s="156">
        <f t="shared" si="19"/>
        <v>0</v>
      </c>
      <c r="D54" s="135">
        <f t="shared" si="18"/>
        <v>0</v>
      </c>
    </row>
    <row r="55" spans="1:4" ht="12.75">
      <c r="A55" s="55" t="s">
        <v>8</v>
      </c>
      <c r="B55" s="45">
        <v>0</v>
      </c>
      <c r="C55" s="156">
        <f t="shared" si="19"/>
        <v>0</v>
      </c>
      <c r="D55" s="135">
        <f t="shared" si="18"/>
        <v>0</v>
      </c>
    </row>
    <row r="56" spans="1:4" ht="12.75">
      <c r="A56" s="55" t="s">
        <v>42</v>
      </c>
      <c r="B56" s="45">
        <v>0</v>
      </c>
      <c r="C56" s="156">
        <f t="shared" si="19"/>
        <v>88.5</v>
      </c>
      <c r="D56" s="135">
        <f t="shared" si="18"/>
        <v>0</v>
      </c>
    </row>
    <row r="57" spans="1:4" ht="12.75">
      <c r="A57" s="55" t="s">
        <v>43</v>
      </c>
      <c r="B57" s="45">
        <v>0</v>
      </c>
      <c r="C57" s="156">
        <f t="shared" si="19"/>
        <v>0</v>
      </c>
      <c r="D57" s="135">
        <f t="shared" si="18"/>
        <v>0</v>
      </c>
    </row>
    <row r="58" spans="1:4" ht="12.75">
      <c r="A58" s="168" t="s">
        <v>15</v>
      </c>
      <c r="B58" s="45">
        <v>0</v>
      </c>
      <c r="C58" s="156">
        <f t="shared" si="19"/>
        <v>0</v>
      </c>
      <c r="D58" s="135">
        <f t="shared" si="18"/>
        <v>0</v>
      </c>
    </row>
    <row r="59" spans="1:4" ht="13.5" thickBot="1">
      <c r="A59" s="128" t="s">
        <v>59</v>
      </c>
      <c r="B59" s="169" t="s">
        <v>24</v>
      </c>
      <c r="C59" s="169"/>
      <c r="D59" s="137">
        <f>SUM(D52:D58)</f>
        <v>0</v>
      </c>
    </row>
    <row r="60" ht="12.75">
      <c r="A60" s="12" t="s">
        <v>184</v>
      </c>
    </row>
    <row r="61" ht="12.75">
      <c r="B61" s="6" t="s">
        <v>24</v>
      </c>
    </row>
    <row r="62" ht="12.75">
      <c r="B62" s="6" t="s">
        <v>24</v>
      </c>
    </row>
    <row r="63" ht="12.75">
      <c r="B63" s="6" t="s">
        <v>24</v>
      </c>
    </row>
  </sheetData>
  <sheetProtection/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45.8515625" style="6" customWidth="1"/>
    <col min="2" max="2" width="15.28125" style="6" bestFit="1" customWidth="1"/>
    <col min="3" max="3" width="15.7109375" style="6" customWidth="1"/>
    <col min="4" max="4" width="16.421875" style="6" customWidth="1"/>
    <col min="5" max="5" width="20.00390625" style="6" customWidth="1"/>
    <col min="6" max="6" width="18.7109375" style="6" customWidth="1"/>
    <col min="7" max="7" width="20.00390625" style="6" customWidth="1"/>
    <col min="8" max="8" width="18.421875" style="6" bestFit="1" customWidth="1"/>
    <col min="9" max="9" width="18.140625" style="6" customWidth="1"/>
    <col min="10" max="10" width="18.421875" style="6" customWidth="1"/>
    <col min="11" max="11" width="20.00390625" style="6" customWidth="1"/>
    <col min="12" max="13" width="15.7109375" style="6" customWidth="1"/>
    <col min="14" max="14" width="17.00390625" style="6" customWidth="1"/>
    <col min="15" max="15" width="18.421875" style="6" customWidth="1"/>
    <col min="16" max="16" width="9.140625" style="6" customWidth="1"/>
    <col min="17" max="17" width="9.28125" style="6" customWidth="1"/>
    <col min="18" max="16384" width="9.140625" style="6" customWidth="1"/>
  </cols>
  <sheetData>
    <row r="1" spans="1:7" ht="18.75">
      <c r="A1" s="3" t="s">
        <v>84</v>
      </c>
      <c r="E1" s="57" t="s">
        <v>24</v>
      </c>
      <c r="F1" s="57" t="s">
        <v>24</v>
      </c>
      <c r="G1" s="57" t="s">
        <v>24</v>
      </c>
    </row>
    <row r="2" ht="13.5" thickBot="1">
      <c r="A2" s="125"/>
    </row>
    <row r="3" spans="1:4" ht="19.5" thickBot="1">
      <c r="A3" s="124" t="s">
        <v>0</v>
      </c>
      <c r="D3" s="1" t="s">
        <v>24</v>
      </c>
    </row>
    <row r="4" spans="1:13" ht="12.75" customHeight="1">
      <c r="A4" s="115" t="s">
        <v>1</v>
      </c>
      <c r="B4" s="116">
        <v>0.153</v>
      </c>
      <c r="D4" s="21" t="s">
        <v>24</v>
      </c>
      <c r="E4" s="23" t="s">
        <v>24</v>
      </c>
      <c r="F4" s="23" t="s">
        <v>24</v>
      </c>
      <c r="G4" s="23" t="s">
        <v>24</v>
      </c>
      <c r="H4" s="23" t="s">
        <v>24</v>
      </c>
      <c r="I4" s="23" t="s">
        <v>24</v>
      </c>
      <c r="J4" s="23" t="s">
        <v>24</v>
      </c>
      <c r="L4" s="23" t="s">
        <v>24</v>
      </c>
      <c r="M4" s="23"/>
    </row>
    <row r="5" spans="1:13" ht="12.75" customHeight="1">
      <c r="A5" s="117" t="s">
        <v>2</v>
      </c>
      <c r="B5" s="118">
        <v>0.0625</v>
      </c>
      <c r="D5" s="10" t="s">
        <v>24</v>
      </c>
      <c r="E5" s="14" t="s">
        <v>24</v>
      </c>
      <c r="F5" s="30" t="s">
        <v>24</v>
      </c>
      <c r="G5" s="30" t="s">
        <v>24</v>
      </c>
      <c r="H5" s="30" t="s">
        <v>24</v>
      </c>
      <c r="I5" s="30" t="s">
        <v>24</v>
      </c>
      <c r="J5" s="23" t="s">
        <v>24</v>
      </c>
      <c r="K5" s="23" t="s">
        <v>24</v>
      </c>
      <c r="L5" s="14" t="s">
        <v>24</v>
      </c>
      <c r="M5" s="14"/>
    </row>
    <row r="6" spans="1:13" ht="12.75" customHeight="1">
      <c r="A6" s="55" t="s">
        <v>4</v>
      </c>
      <c r="B6" s="119">
        <v>1.0809</v>
      </c>
      <c r="D6" s="10" t="s">
        <v>24</v>
      </c>
      <c r="E6" s="38" t="s">
        <v>24</v>
      </c>
      <c r="F6" s="15" t="s">
        <v>24</v>
      </c>
      <c r="G6" s="31" t="s">
        <v>24</v>
      </c>
      <c r="H6" s="20" t="s">
        <v>24</v>
      </c>
      <c r="I6" s="20" t="s">
        <v>24</v>
      </c>
      <c r="J6" s="20" t="s">
        <v>24</v>
      </c>
      <c r="K6" s="33" t="s">
        <v>24</v>
      </c>
      <c r="L6" s="16" t="s">
        <v>24</v>
      </c>
      <c r="M6" s="16"/>
    </row>
    <row r="7" spans="1:13" ht="12.75" customHeight="1">
      <c r="A7" s="55" t="s">
        <v>38</v>
      </c>
      <c r="B7" s="120">
        <v>148323.1</v>
      </c>
      <c r="D7" s="10" t="s">
        <v>24</v>
      </c>
      <c r="E7" s="14" t="s">
        <v>24</v>
      </c>
      <c r="F7" s="37" t="s">
        <v>24</v>
      </c>
      <c r="G7" s="15" t="s">
        <v>24</v>
      </c>
      <c r="H7" s="15" t="s">
        <v>24</v>
      </c>
      <c r="I7" s="15" t="s">
        <v>24</v>
      </c>
      <c r="J7" s="31" t="s">
        <v>24</v>
      </c>
      <c r="K7" s="20"/>
      <c r="L7" s="14" t="s">
        <v>24</v>
      </c>
      <c r="M7" s="14"/>
    </row>
    <row r="8" spans="1:13" ht="12.75" customHeight="1">
      <c r="A8" s="55" t="s">
        <v>39</v>
      </c>
      <c r="B8" s="121">
        <v>0.025</v>
      </c>
      <c r="D8" s="10" t="s">
        <v>24</v>
      </c>
      <c r="E8" s="14" t="s">
        <v>24</v>
      </c>
      <c r="F8" s="15" t="s">
        <v>24</v>
      </c>
      <c r="G8" s="31" t="s">
        <v>24</v>
      </c>
      <c r="H8" s="31" t="s">
        <v>24</v>
      </c>
      <c r="I8" s="31" t="s">
        <v>24</v>
      </c>
      <c r="J8" s="20" t="s">
        <v>24</v>
      </c>
      <c r="K8" s="20"/>
      <c r="L8" s="14" t="s">
        <v>35</v>
      </c>
      <c r="M8" s="14"/>
    </row>
    <row r="9" spans="1:13" ht="12.75" customHeight="1">
      <c r="A9" s="55" t="s">
        <v>40</v>
      </c>
      <c r="B9" s="122">
        <f>ROUND(B7*B8,1)</f>
        <v>3708.1</v>
      </c>
      <c r="D9" s="10" t="s">
        <v>24</v>
      </c>
      <c r="E9" s="16" t="s">
        <v>24</v>
      </c>
      <c r="F9" s="15" t="s">
        <v>24</v>
      </c>
      <c r="G9" s="31" t="s">
        <v>24</v>
      </c>
      <c r="H9" s="31" t="s">
        <v>24</v>
      </c>
      <c r="I9" s="31" t="s">
        <v>24</v>
      </c>
      <c r="J9" s="20" t="s">
        <v>24</v>
      </c>
      <c r="K9" s="20"/>
      <c r="L9" s="16" t="s">
        <v>24</v>
      </c>
      <c r="M9" s="16"/>
    </row>
    <row r="10" spans="1:13" ht="12.75" customHeight="1" thickBot="1">
      <c r="A10" s="56" t="s">
        <v>23</v>
      </c>
      <c r="B10" s="123">
        <f>'BRA Resource Clearing Results'!E17/('BRA Load Pricing Results'!G53*'BRA Load Pricing Results'!B6)</f>
        <v>1.0111355134711932</v>
      </c>
      <c r="C10" s="10"/>
      <c r="D10" s="10" t="s">
        <v>24</v>
      </c>
      <c r="E10" s="14" t="s">
        <v>24</v>
      </c>
      <c r="F10" s="37" t="s">
        <v>24</v>
      </c>
      <c r="G10" s="31" t="s">
        <v>24</v>
      </c>
      <c r="H10" s="31" t="s">
        <v>24</v>
      </c>
      <c r="I10" s="31" t="s">
        <v>24</v>
      </c>
      <c r="J10" s="31" t="s">
        <v>24</v>
      </c>
      <c r="K10" s="20" t="s">
        <v>24</v>
      </c>
      <c r="L10" s="14" t="s">
        <v>24</v>
      </c>
      <c r="M10" s="14"/>
    </row>
    <row r="11" spans="4:12" ht="12.75">
      <c r="D11" s="12" t="s">
        <v>24</v>
      </c>
      <c r="E11" s="7"/>
      <c r="F11" s="4"/>
      <c r="G11" s="7"/>
      <c r="H11" s="28" t="s">
        <v>24</v>
      </c>
      <c r="L11" s="6" t="s">
        <v>24</v>
      </c>
    </row>
    <row r="12" spans="1:13" ht="13.5" thickBot="1">
      <c r="A12" s="12"/>
      <c r="B12" s="35"/>
      <c r="C12" s="35"/>
      <c r="D12" s="35"/>
      <c r="E12" s="36"/>
      <c r="F12" s="25"/>
      <c r="G12" s="25"/>
      <c r="H12" s="25"/>
      <c r="I12" s="74"/>
      <c r="J12" s="74"/>
      <c r="K12" s="74"/>
      <c r="L12" s="52"/>
      <c r="M12" s="52"/>
    </row>
    <row r="13" spans="1:13" ht="15.75" thickBot="1">
      <c r="A13" s="108" t="s">
        <v>78</v>
      </c>
      <c r="B13" s="35"/>
      <c r="C13" s="35"/>
      <c r="D13" s="35"/>
      <c r="E13" s="36"/>
      <c r="F13" s="25"/>
      <c r="G13" s="25"/>
      <c r="H13" s="25"/>
      <c r="I13" s="74"/>
      <c r="J13" s="74"/>
      <c r="K13" s="74"/>
      <c r="L13" s="52"/>
      <c r="M13" s="52"/>
    </row>
    <row r="14" spans="1:13" ht="88.5" customHeight="1">
      <c r="A14" s="109" t="s">
        <v>3</v>
      </c>
      <c r="B14" s="111" t="s">
        <v>82</v>
      </c>
      <c r="C14" s="111" t="s">
        <v>83</v>
      </c>
      <c r="D14" s="111" t="s">
        <v>143</v>
      </c>
      <c r="E14" s="111" t="s">
        <v>178</v>
      </c>
      <c r="F14" s="111" t="s">
        <v>157</v>
      </c>
      <c r="G14" s="111" t="s">
        <v>179</v>
      </c>
      <c r="H14" s="111" t="s">
        <v>168</v>
      </c>
      <c r="I14" s="111" t="s">
        <v>169</v>
      </c>
      <c r="J14" s="112" t="s">
        <v>158</v>
      </c>
      <c r="K14" s="81"/>
      <c r="L14" s="82"/>
      <c r="M14" s="83"/>
    </row>
    <row r="15" spans="1:13" ht="12.75">
      <c r="A15" s="55" t="s">
        <v>6</v>
      </c>
      <c r="B15" s="212">
        <f>K53</f>
        <v>153682.80000000002</v>
      </c>
      <c r="C15" s="230">
        <f>'BRA Resource Clearing Results'!B5</f>
        <v>125.47</v>
      </c>
      <c r="D15" s="230">
        <f>'BRA Resource Clearing Results'!C5</f>
        <v>0</v>
      </c>
      <c r="E15" s="213">
        <f>('BRA Resource Clearing Results'!C17+'BRA Resource Clearing Results'!D17)*'BRA Resource Clearing Results'!E5</f>
        <v>71660.576</v>
      </c>
      <c r="F15" s="230">
        <f>E15/B15</f>
        <v>0.4662888495003995</v>
      </c>
      <c r="G15" s="213">
        <f>'BRA Resource Clearing Results'!D17*'BRA Resource Clearing Results'!G5</f>
        <v>0</v>
      </c>
      <c r="H15" s="230">
        <f>G15/B15</f>
        <v>0</v>
      </c>
      <c r="I15" s="231">
        <f>'BRA Resource Clearing Results'!J40/'BRA Load Pricing Results'!B15</f>
        <v>0</v>
      </c>
      <c r="J15" s="232">
        <f>C15+D15+F15+H15+I15</f>
        <v>125.9362888495004</v>
      </c>
      <c r="K15" s="35"/>
      <c r="L15" s="18"/>
      <c r="M15" s="18"/>
    </row>
    <row r="16" spans="1:13" ht="12.75">
      <c r="A16" s="55" t="s">
        <v>30</v>
      </c>
      <c r="B16" s="212">
        <f>K34+K38+(SUM(K44:K52))</f>
        <v>69101.47339653231</v>
      </c>
      <c r="C16" s="230">
        <f>'BRA Resource Clearing Results'!B6</f>
        <v>125.47</v>
      </c>
      <c r="D16" s="230">
        <f>'BRA Resource Clearing Results'!C6</f>
        <v>0</v>
      </c>
      <c r="E16" s="213">
        <f>('BRA Resource Clearing Results'!C18+'BRA Resource Clearing Results'!D18)*('BRA Resource Clearing Results'!E6-'BRA Resource Clearing Results'!E5)</f>
        <v>643793.203</v>
      </c>
      <c r="F16" s="230">
        <f>F15+(E16/B16)</f>
        <v>9.782923811907832</v>
      </c>
      <c r="G16" s="213">
        <f>'BRA Resource Clearing Results'!D18*('BRA Resource Clearing Results'!G6-'BRA Resource Clearing Results'!G5)</f>
        <v>0</v>
      </c>
      <c r="H16" s="230">
        <f>H15+(G16/B16)</f>
        <v>0</v>
      </c>
      <c r="I16" s="231">
        <f>I15+'BRA Resource Clearing Results'!J41/'BRA Load Pricing Results'!B16</f>
        <v>0</v>
      </c>
      <c r="J16" s="232">
        <f>C16+D16+F16+H16+I16</f>
        <v>135.25292381190783</v>
      </c>
      <c r="K16" s="35"/>
      <c r="L16" s="18"/>
      <c r="M16" s="18"/>
    </row>
    <row r="17" spans="1:13" ht="12.75">
      <c r="A17" s="55" t="s">
        <v>41</v>
      </c>
      <c r="B17" s="212">
        <f>K34+K44+K45+K47+K51+K52</f>
        <v>37717.98089219473</v>
      </c>
      <c r="C17" s="230">
        <f>'BRA Resource Clearing Results'!B7</f>
        <v>125.47</v>
      </c>
      <c r="D17" s="230">
        <f>'BRA Resource Clearing Results'!C6+'BRA Resource Clearing Results'!C7</f>
        <v>0</v>
      </c>
      <c r="E17" s="213">
        <f>('BRA Resource Clearing Results'!C19+'BRA Resource Clearing Results'!D19)*('BRA Resource Clearing Results'!E7-'BRA Resource Clearing Results'!E6)</f>
        <v>0</v>
      </c>
      <c r="F17" s="230">
        <f>F16+(E17/B17)</f>
        <v>9.782923811907832</v>
      </c>
      <c r="G17" s="213">
        <f>'BRA Resource Clearing Results'!D19*('BRA Resource Clearing Results'!G7-'BRA Resource Clearing Results'!G6)</f>
        <v>0</v>
      </c>
      <c r="H17" s="230">
        <f>H16+(G17/B17)</f>
        <v>0</v>
      </c>
      <c r="I17" s="231">
        <f>I16+('BRA Resource Clearing Results'!J42/'BRA Load Pricing Results'!B17)</f>
        <v>0</v>
      </c>
      <c r="J17" s="232">
        <f>C17+D17+F17+H17+I17</f>
        <v>135.25292381190783</v>
      </c>
      <c r="K17" s="35"/>
      <c r="L17" s="18"/>
      <c r="M17" s="18"/>
    </row>
    <row r="18" spans="1:13" ht="12.75">
      <c r="A18" s="55" t="s">
        <v>5</v>
      </c>
      <c r="B18" s="212">
        <f>K38+K49</f>
        <v>16128.530281741685</v>
      </c>
      <c r="C18" s="230">
        <f>'BRA Resource Clearing Results'!B8</f>
        <v>125.47</v>
      </c>
      <c r="D18" s="230">
        <f>'BRA Resource Clearing Results'!C6+'BRA Resource Clearing Results'!C8</f>
        <v>0</v>
      </c>
      <c r="E18" s="213">
        <f>('BRA Resource Clearing Results'!C20+'BRA Resource Clearing Results'!D20)*('BRA Resource Clearing Results'!E8-'BRA Resource Clearing Results'!E6)</f>
        <v>0</v>
      </c>
      <c r="F18" s="230">
        <f>F16+(E18/B18)</f>
        <v>9.782923811907832</v>
      </c>
      <c r="G18" s="213">
        <f>'BRA Resource Clearing Results'!D20*('BRA Resource Clearing Results'!G8-'BRA Resource Clearing Results'!G6)</f>
        <v>0</v>
      </c>
      <c r="H18" s="230">
        <f>H16+(G18/B18)</f>
        <v>0</v>
      </c>
      <c r="I18" s="231">
        <f>I16+('BRA Resource Clearing Results'!J43/'BRA Load Pricing Results'!B18)</f>
        <v>0</v>
      </c>
      <c r="J18" s="232">
        <f>C18+D18+F18+H18+I18</f>
        <v>135.25292381190783</v>
      </c>
      <c r="K18" s="35"/>
      <c r="L18" s="18"/>
      <c r="M18" s="18"/>
    </row>
    <row r="19" spans="1:13" ht="13.5" thickBot="1">
      <c r="A19" s="56" t="s">
        <v>15</v>
      </c>
      <c r="B19" s="214">
        <f>K49</f>
        <v>7835.2335151076195</v>
      </c>
      <c r="C19" s="230">
        <f>'BRA Resource Clearing Results'!B12</f>
        <v>125.47</v>
      </c>
      <c r="D19" s="230">
        <f>'BRA Resource Clearing Results'!C6+'BRA Resource Clearing Results'!C8+'BRA Resource Clearing Results'!C12</f>
        <v>0</v>
      </c>
      <c r="E19" s="129">
        <f>('BRA Resource Clearing Results'!C24+'BRA Resource Clearing Results'!D24)*('BRA Resource Clearing Results'!E12-'BRA Resource Clearing Results'!E8)</f>
        <v>0</v>
      </c>
      <c r="F19" s="230">
        <f>F18+(E19/B19)</f>
        <v>9.782923811907832</v>
      </c>
      <c r="G19" s="129">
        <f>'BRA Resource Clearing Results'!D24*('BRA Resource Clearing Results'!G12-'BRA Resource Clearing Results'!G8)</f>
        <v>0</v>
      </c>
      <c r="H19" s="230">
        <f>H18+(G19/B19)</f>
        <v>0</v>
      </c>
      <c r="I19" s="231">
        <f>I18+('BRA Resource Clearing Results'!J47/'BRA Load Pricing Results'!B19)</f>
        <v>0</v>
      </c>
      <c r="J19" s="232">
        <f>C19+D19+F19+H19+I19</f>
        <v>135.25292381190783</v>
      </c>
      <c r="K19" s="35"/>
      <c r="L19" s="18"/>
      <c r="M19" s="18"/>
    </row>
    <row r="20" spans="1:13" s="10" customFormat="1" ht="12.75">
      <c r="A20" s="201" t="s">
        <v>159</v>
      </c>
      <c r="B20" s="35"/>
      <c r="C20" s="18"/>
      <c r="D20" s="18"/>
      <c r="E20" s="18"/>
      <c r="F20" s="80"/>
      <c r="H20" s="35"/>
      <c r="I20" s="35"/>
      <c r="J20" s="18"/>
      <c r="K20" s="35"/>
      <c r="L20" s="15"/>
      <c r="M20" s="15"/>
    </row>
    <row r="21" spans="1:13" s="10" customFormat="1" ht="12.75">
      <c r="A21" s="202"/>
      <c r="B21" s="35"/>
      <c r="C21" s="18"/>
      <c r="D21" s="18"/>
      <c r="E21" s="18"/>
      <c r="F21" s="80"/>
      <c r="H21" s="35"/>
      <c r="I21" s="35"/>
      <c r="J21" s="18"/>
      <c r="K21" s="35"/>
      <c r="L21" s="15"/>
      <c r="M21" s="15"/>
    </row>
    <row r="22" spans="1:24" ht="30.75" thickBot="1">
      <c r="A22" s="216" t="s">
        <v>127</v>
      </c>
      <c r="E22" s="4" t="s">
        <v>24</v>
      </c>
      <c r="J22" s="39" t="s">
        <v>24</v>
      </c>
      <c r="K22" s="59" t="s">
        <v>24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09.5" customHeight="1">
      <c r="A23" s="217" t="s">
        <v>81</v>
      </c>
      <c r="B23" s="111" t="s">
        <v>163</v>
      </c>
      <c r="C23" s="110" t="s">
        <v>128</v>
      </c>
      <c r="D23" s="110" t="s">
        <v>135</v>
      </c>
      <c r="E23" s="111" t="s">
        <v>166</v>
      </c>
      <c r="F23" s="111" t="s">
        <v>161</v>
      </c>
      <c r="G23" s="111" t="s">
        <v>167</v>
      </c>
      <c r="H23" s="111" t="s">
        <v>162</v>
      </c>
      <c r="I23" s="110" t="s">
        <v>156</v>
      </c>
      <c r="J23" s="110" t="s">
        <v>170</v>
      </c>
      <c r="K23" s="127" t="s">
        <v>34</v>
      </c>
      <c r="N23" s="171"/>
      <c r="O23" s="23"/>
      <c r="P23" s="10"/>
      <c r="Q23" s="10"/>
      <c r="R23" s="10"/>
      <c r="S23" s="10"/>
      <c r="T23" s="171"/>
      <c r="U23" s="10"/>
      <c r="V23" s="10"/>
      <c r="W23" s="23"/>
      <c r="X23" s="10"/>
    </row>
    <row r="24" spans="1:24" ht="12.75">
      <c r="A24" s="55" t="s">
        <v>45</v>
      </c>
      <c r="B24" s="45"/>
      <c r="C24" s="63">
        <f>'BRA Resource Clearing Results'!E32</f>
        <v>3765.5</v>
      </c>
      <c r="D24" s="66">
        <f>'BRA Resource Clearing Results'!C9</f>
        <v>0</v>
      </c>
      <c r="E24" s="66">
        <f>('BRA Resource Clearing Results'!C21+'BRA Resource Clearing Results'!D21)*('BRA Resource Clearing Results'!E9-'BRA Resource Clearing Results'!E7)</f>
        <v>0</v>
      </c>
      <c r="F24" s="45"/>
      <c r="G24" s="66">
        <f>'BRA Resource Clearing Results'!D21*('BRA Resource Clearing Results'!G9-'BRA Resource Clearing Results'!G7)</f>
        <v>0</v>
      </c>
      <c r="H24" s="45"/>
      <c r="I24" s="95">
        <f>'BRA Resource Clearing Results'!J44</f>
        <v>0</v>
      </c>
      <c r="J24" s="45"/>
      <c r="K24" s="130"/>
      <c r="N24" s="10"/>
      <c r="O24" s="220"/>
      <c r="P24" s="10"/>
      <c r="Q24" s="10"/>
      <c r="R24" s="10"/>
      <c r="S24" s="10"/>
      <c r="T24" s="10"/>
      <c r="U24" s="10"/>
      <c r="V24" s="10"/>
      <c r="W24" s="221"/>
      <c r="X24" s="10"/>
    </row>
    <row r="25" spans="1:24" ht="12.75">
      <c r="A25" s="55" t="s">
        <v>42</v>
      </c>
      <c r="B25" s="45"/>
      <c r="C25" s="62">
        <f>'BRA Resource Clearing Results'!E22</f>
        <v>3817.5</v>
      </c>
      <c r="D25" s="66">
        <f>'BRA Resource Clearing Results'!C9+'BRA Resource Clearing Results'!C10</f>
        <v>88.5</v>
      </c>
      <c r="E25" s="66">
        <f>('BRA Resource Clearing Results'!C22+'BRA Resource Clearing Results'!D22)*('BRA Resource Clearing Results'!E10-'BRA Resource Clearing Results'!E9)</f>
        <v>0</v>
      </c>
      <c r="F25" s="45"/>
      <c r="G25" s="66">
        <f>'BRA Resource Clearing Results'!D22*('BRA Resource Clearing Results'!G10-'BRA Resource Clearing Results'!G9)</f>
        <v>0</v>
      </c>
      <c r="H25" s="45"/>
      <c r="I25" s="95">
        <f>'BRA Resource Clearing Results'!J45</f>
        <v>0</v>
      </c>
      <c r="J25" s="45"/>
      <c r="K25" s="130"/>
      <c r="N25" s="10"/>
      <c r="O25" s="220"/>
      <c r="P25" s="10"/>
      <c r="Q25" s="10"/>
      <c r="R25" s="10"/>
      <c r="S25" s="10"/>
      <c r="T25" s="10"/>
      <c r="U25" s="10"/>
      <c r="V25" s="10"/>
      <c r="W25" s="221"/>
      <c r="X25" s="10"/>
    </row>
    <row r="26" spans="1:24" ht="12.75">
      <c r="A26" s="218" t="s">
        <v>8</v>
      </c>
      <c r="B26" s="234">
        <f>J17</f>
        <v>135.25292381190783</v>
      </c>
      <c r="C26" s="62">
        <f>C25+C24</f>
        <v>7583</v>
      </c>
      <c r="D26" s="235">
        <f>(C25*D25+C24*D24)/C26</f>
        <v>44.553441909534484</v>
      </c>
      <c r="E26" s="156">
        <f>SUM(E24:E25)</f>
        <v>0</v>
      </c>
      <c r="F26" s="234">
        <f>E26/K51</f>
        <v>0</v>
      </c>
      <c r="G26" s="156">
        <f>SUM(G24:G25)</f>
        <v>0</v>
      </c>
      <c r="H26" s="234">
        <f>G26/K51</f>
        <v>0</v>
      </c>
      <c r="I26" s="95">
        <f>I24+I25</f>
        <v>0</v>
      </c>
      <c r="J26" s="236">
        <f>I26/K51</f>
        <v>0</v>
      </c>
      <c r="K26" s="228">
        <f>B26+D26+F26+H26+J26</f>
        <v>179.80636572144232</v>
      </c>
      <c r="N26" s="61"/>
      <c r="O26" s="222"/>
      <c r="P26" s="10"/>
      <c r="Q26" s="10"/>
      <c r="R26" s="10"/>
      <c r="S26" s="10"/>
      <c r="T26" s="61"/>
      <c r="U26" s="10"/>
      <c r="V26" s="10"/>
      <c r="W26" s="222"/>
      <c r="X26" s="10"/>
    </row>
    <row r="27" spans="1:24" ht="12.75">
      <c r="A27" s="55" t="s">
        <v>44</v>
      </c>
      <c r="B27" s="45"/>
      <c r="C27" s="62">
        <v>2858.5</v>
      </c>
      <c r="D27" s="66">
        <v>0</v>
      </c>
      <c r="E27" s="156">
        <v>0</v>
      </c>
      <c r="F27" s="156"/>
      <c r="G27" s="66">
        <v>0</v>
      </c>
      <c r="H27" s="215"/>
      <c r="I27" s="95">
        <v>0</v>
      </c>
      <c r="J27" s="45"/>
      <c r="K27" s="130"/>
      <c r="N27" s="10"/>
      <c r="O27" s="225"/>
      <c r="P27" s="10"/>
      <c r="Q27" s="10"/>
      <c r="R27" s="10"/>
      <c r="S27" s="10"/>
      <c r="T27" s="10"/>
      <c r="U27" s="10"/>
      <c r="V27" s="10"/>
      <c r="W27" s="221"/>
      <c r="X27" s="10"/>
    </row>
    <row r="28" spans="1:24" ht="12.75">
      <c r="A28" s="55" t="s">
        <v>43</v>
      </c>
      <c r="B28" s="45"/>
      <c r="C28" s="62">
        <f>'BRA Resource Clearing Results'!E23</f>
        <v>1439.1999999999998</v>
      </c>
      <c r="D28" s="94">
        <f>'BRA Resource Clearing Results'!C11</f>
        <v>0</v>
      </c>
      <c r="E28" s="156">
        <f>('BRA Resource Clearing Results'!C23+'BRA Resource Clearing Results'!D23)*('BRA Resource Clearing Results'!E11-'BRA Resource Clearing Results'!E7)</f>
        <v>0</v>
      </c>
      <c r="F28" s="45"/>
      <c r="G28" s="66">
        <f>'BRA Resource Clearing Results'!D23*('BRA Resource Clearing Results'!G11-'BRA Resource Clearing Results'!G7)</f>
        <v>0</v>
      </c>
      <c r="H28" s="45"/>
      <c r="I28" s="95">
        <f>'BRA Resource Clearing Results'!J46</f>
        <v>35693.1</v>
      </c>
      <c r="J28" s="45"/>
      <c r="K28" s="130"/>
      <c r="N28" s="10"/>
      <c r="O28" s="223"/>
      <c r="P28" s="10"/>
      <c r="Q28" s="10"/>
      <c r="R28" s="10"/>
      <c r="S28" s="10"/>
      <c r="T28" s="10"/>
      <c r="U28" s="10"/>
      <c r="V28" s="10"/>
      <c r="W28" s="224"/>
      <c r="X28" s="10"/>
    </row>
    <row r="29" spans="1:24" ht="13.5" thickBot="1">
      <c r="A29" s="219" t="s">
        <v>17</v>
      </c>
      <c r="B29" s="237">
        <f>J17</f>
        <v>135.25292381190783</v>
      </c>
      <c r="C29" s="131">
        <f>C27+C28</f>
        <v>4297.7</v>
      </c>
      <c r="D29" s="238">
        <f>(C28*D28+C27*D27)/C29</f>
        <v>0</v>
      </c>
      <c r="E29" s="157">
        <f>SUM(E27:E28)</f>
        <v>0</v>
      </c>
      <c r="F29" s="237">
        <f>E29/K44</f>
        <v>0</v>
      </c>
      <c r="G29" s="157">
        <f>SUM(G27:G28)</f>
        <v>0</v>
      </c>
      <c r="H29" s="237">
        <f>G29/K44</f>
        <v>0</v>
      </c>
      <c r="I29" s="239">
        <f>I27+I28</f>
        <v>35693.1</v>
      </c>
      <c r="J29" s="240">
        <f>I29/K44</f>
        <v>7.7335609142043795</v>
      </c>
      <c r="K29" s="229">
        <f>B29+D29+F29+H29+J29</f>
        <v>142.98648472611222</v>
      </c>
      <c r="N29" s="61"/>
      <c r="O29" s="74"/>
      <c r="P29" s="10"/>
      <c r="Q29" s="10"/>
      <c r="R29" s="10"/>
      <c r="S29" s="10"/>
      <c r="T29" s="61"/>
      <c r="U29" s="10"/>
      <c r="V29" s="10"/>
      <c r="W29" s="222"/>
      <c r="X29" s="10"/>
    </row>
    <row r="30" spans="1:24" ht="12.75">
      <c r="A30" s="268"/>
      <c r="B30" s="268"/>
      <c r="C30" s="268"/>
      <c r="D30" s="268"/>
      <c r="E30" s="268"/>
      <c r="F30" s="268"/>
      <c r="G30" s="268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13" ht="13.5" thickBot="1">
      <c r="A31" s="10"/>
      <c r="B31" s="9"/>
      <c r="C31" s="9"/>
      <c r="D31" s="9"/>
      <c r="E31" s="71"/>
      <c r="F31" s="44" t="s">
        <v>24</v>
      </c>
      <c r="G31" s="5"/>
      <c r="H31" s="5"/>
      <c r="I31" s="5"/>
      <c r="J31" s="5"/>
      <c r="K31" s="5"/>
      <c r="L31" s="13"/>
      <c r="M31" s="13"/>
    </row>
    <row r="32" spans="1:13" s="2" customFormat="1" ht="19.5" thickBot="1">
      <c r="A32" s="107" t="s">
        <v>49</v>
      </c>
      <c r="B32" s="3"/>
      <c r="E32" s="85"/>
      <c r="F32" s="85"/>
      <c r="G32" s="85"/>
      <c r="H32" s="85"/>
      <c r="I32" s="85"/>
      <c r="J32" s="85"/>
      <c r="K32" s="85"/>
      <c r="L32" s="43"/>
      <c r="M32" s="34"/>
    </row>
    <row r="33" spans="1:13" ht="54.75" customHeight="1">
      <c r="A33" s="100" t="s">
        <v>7</v>
      </c>
      <c r="B33" s="101" t="s">
        <v>28</v>
      </c>
      <c r="C33" s="101" t="s">
        <v>27</v>
      </c>
      <c r="D33" s="101" t="s">
        <v>36</v>
      </c>
      <c r="E33" s="101" t="s">
        <v>70</v>
      </c>
      <c r="F33" s="101" t="s">
        <v>22</v>
      </c>
      <c r="G33" s="101" t="s">
        <v>72</v>
      </c>
      <c r="H33" s="101" t="s">
        <v>31</v>
      </c>
      <c r="I33" s="102" t="s">
        <v>23</v>
      </c>
      <c r="J33" s="102" t="s">
        <v>25</v>
      </c>
      <c r="K33" s="102" t="s">
        <v>26</v>
      </c>
      <c r="L33" s="209" t="s">
        <v>37</v>
      </c>
      <c r="M33" s="84"/>
    </row>
    <row r="34" spans="1:17" ht="12.75">
      <c r="A34" s="55" t="s">
        <v>16</v>
      </c>
      <c r="B34" s="97" t="s">
        <v>30</v>
      </c>
      <c r="C34" s="97" t="s">
        <v>41</v>
      </c>
      <c r="D34" s="97"/>
      <c r="E34" s="98">
        <v>2550</v>
      </c>
      <c r="F34" s="90">
        <v>1.0874509803921568</v>
      </c>
      <c r="G34" s="91">
        <f>E34*F34</f>
        <v>2773</v>
      </c>
      <c r="H34" s="92">
        <f aca="true" t="shared" si="0" ref="H34:H52">$B$9*G34/$G$53</f>
        <v>74.9338741032612</v>
      </c>
      <c r="I34" s="93">
        <f>$B$10</f>
        <v>1.0111355134711932</v>
      </c>
      <c r="J34" s="93">
        <f>I34*F34</f>
        <v>1.099560305433576</v>
      </c>
      <c r="K34" s="91">
        <f>E34*J34*$B$6+H34</f>
        <v>3105.6464461683</v>
      </c>
      <c r="L34" s="226">
        <f>J17</f>
        <v>135.25292381190783</v>
      </c>
      <c r="M34" s="10"/>
      <c r="Q34" s="11"/>
    </row>
    <row r="35" spans="1:17" ht="12.75">
      <c r="A35" s="55" t="s">
        <v>60</v>
      </c>
      <c r="B35" s="97"/>
      <c r="C35" s="97"/>
      <c r="D35" s="97"/>
      <c r="E35" s="98">
        <v>2128.4</v>
      </c>
      <c r="F35" s="90">
        <v>1.0807212822796082</v>
      </c>
      <c r="G35" s="91">
        <f aca="true" t="shared" si="1" ref="G35:G52">E35*F35</f>
        <v>2300.207177203918</v>
      </c>
      <c r="H35" s="92">
        <f t="shared" si="0"/>
        <v>62.15774793653669</v>
      </c>
      <c r="I35" s="93">
        <f aca="true" t="shared" si="2" ref="I35:I41">$B$10</f>
        <v>1.0111355134711932</v>
      </c>
      <c r="J35" s="93">
        <f aca="true" t="shared" si="3" ref="J35:J52">I35*F35</f>
        <v>1.0927556686770379</v>
      </c>
      <c r="K35" s="91">
        <f aca="true" t="shared" si="4" ref="K35:K52">E35*J35*$B$6+H35</f>
        <v>2576.137845414412</v>
      </c>
      <c r="L35" s="226">
        <f>J15</f>
        <v>125.9362888495004</v>
      </c>
      <c r="M35" s="10"/>
      <c r="Q35" s="11"/>
    </row>
    <row r="36" spans="1:17" ht="12.75">
      <c r="A36" s="55" t="s">
        <v>19</v>
      </c>
      <c r="B36" s="97" t="s">
        <v>24</v>
      </c>
      <c r="C36" s="97"/>
      <c r="D36" s="97"/>
      <c r="E36" s="98">
        <v>8280</v>
      </c>
      <c r="F36" s="90">
        <v>1.0433574879227052</v>
      </c>
      <c r="G36" s="91">
        <f t="shared" si="1"/>
        <v>8639</v>
      </c>
      <c r="H36" s="92">
        <f t="shared" si="0"/>
        <v>233.44887788607053</v>
      </c>
      <c r="I36" s="93">
        <f t="shared" si="2"/>
        <v>1.0111355134711932</v>
      </c>
      <c r="J36" s="93">
        <f t="shared" si="3"/>
        <v>1.0549758092847388</v>
      </c>
      <c r="K36" s="91">
        <f t="shared" si="4"/>
        <v>9675.326234564709</v>
      </c>
      <c r="L36" s="226">
        <f>J15</f>
        <v>125.9362888495004</v>
      </c>
      <c r="M36" s="10"/>
      <c r="Q36" s="11"/>
    </row>
    <row r="37" spans="1:17" ht="12.75">
      <c r="A37" s="55" t="s">
        <v>53</v>
      </c>
      <c r="B37" s="97"/>
      <c r="C37" s="97"/>
      <c r="D37" s="97"/>
      <c r="E37" s="98">
        <v>12600</v>
      </c>
      <c r="F37" s="90">
        <v>1.0747619047619048</v>
      </c>
      <c r="G37" s="91">
        <f t="shared" si="1"/>
        <v>13542</v>
      </c>
      <c r="H37" s="92">
        <f t="shared" si="0"/>
        <v>365.94104691899145</v>
      </c>
      <c r="I37" s="93">
        <f t="shared" si="2"/>
        <v>1.0111355134711932</v>
      </c>
      <c r="J37" s="93">
        <f t="shared" si="3"/>
        <v>1.0867299304307063</v>
      </c>
      <c r="K37" s="91">
        <f t="shared" si="4"/>
        <v>15166.485457631126</v>
      </c>
      <c r="L37" s="226">
        <f>J15</f>
        <v>125.9362888495004</v>
      </c>
      <c r="M37" s="10"/>
      <c r="Q37" s="11"/>
    </row>
    <row r="38" spans="1:17" ht="12.75">
      <c r="A38" s="55" t="s">
        <v>11</v>
      </c>
      <c r="B38" s="97" t="s">
        <v>30</v>
      </c>
      <c r="C38" s="97" t="s">
        <v>5</v>
      </c>
      <c r="D38" s="97"/>
      <c r="E38" s="98">
        <v>7080</v>
      </c>
      <c r="F38" s="90">
        <v>1.04590395480226</v>
      </c>
      <c r="G38" s="91">
        <f t="shared" si="1"/>
        <v>7405</v>
      </c>
      <c r="H38" s="92">
        <f t="shared" si="0"/>
        <v>200.10289857001416</v>
      </c>
      <c r="I38" s="93">
        <f t="shared" si="2"/>
        <v>1.0111355134711932</v>
      </c>
      <c r="J38" s="93">
        <f t="shared" si="3"/>
        <v>1.0575506323805348</v>
      </c>
      <c r="K38" s="91">
        <f t="shared" si="4"/>
        <v>8293.296766634065</v>
      </c>
      <c r="L38" s="226">
        <f>J18</f>
        <v>135.25292381190783</v>
      </c>
      <c r="M38" s="10"/>
      <c r="Q38" s="11"/>
    </row>
    <row r="39" spans="1:17" ht="12.75">
      <c r="A39" s="55" t="s">
        <v>20</v>
      </c>
      <c r="B39" s="97"/>
      <c r="C39" s="97"/>
      <c r="D39" s="97"/>
      <c r="E39" s="98">
        <v>21580</v>
      </c>
      <c r="F39" s="90">
        <v>1.0958758109360518</v>
      </c>
      <c r="G39" s="91">
        <f t="shared" si="1"/>
        <v>23648.999999999996</v>
      </c>
      <c r="H39" s="92">
        <f t="shared" si="0"/>
        <v>639.0592097612781</v>
      </c>
      <c r="I39" s="93">
        <f t="shared" si="2"/>
        <v>1.0111355134711932</v>
      </c>
      <c r="J39" s="93">
        <f t="shared" si="3"/>
        <v>1.108078950791485</v>
      </c>
      <c r="K39" s="91">
        <f t="shared" si="4"/>
        <v>26485.911577870214</v>
      </c>
      <c r="L39" s="226">
        <f>J15</f>
        <v>125.9362888495004</v>
      </c>
      <c r="M39" s="10"/>
      <c r="Q39" s="11"/>
    </row>
    <row r="40" spans="1:17" ht="12.75">
      <c r="A40" s="55" t="s">
        <v>21</v>
      </c>
      <c r="B40" s="97"/>
      <c r="C40" s="97"/>
      <c r="D40" s="97"/>
      <c r="E40" s="98">
        <v>3340</v>
      </c>
      <c r="F40" s="90">
        <v>1.067065868263473</v>
      </c>
      <c r="G40" s="91">
        <f t="shared" si="1"/>
        <v>3564</v>
      </c>
      <c r="H40" s="92">
        <f t="shared" si="0"/>
        <v>96.3088089808954</v>
      </c>
      <c r="I40" s="93">
        <f t="shared" si="2"/>
        <v>1.0111355134711932</v>
      </c>
      <c r="J40" s="93">
        <f>I40*F40</f>
        <v>1.0789481946141715</v>
      </c>
      <c r="K40" s="91">
        <f t="shared" si="4"/>
        <v>3991.5340548661443</v>
      </c>
      <c r="L40" s="226">
        <f>J15</f>
        <v>125.9362888495004</v>
      </c>
      <c r="M40" s="10"/>
      <c r="Q40" s="11"/>
    </row>
    <row r="41" spans="1:17" ht="12.75">
      <c r="A41" s="55" t="s">
        <v>69</v>
      </c>
      <c r="B41" s="97"/>
      <c r="C41" s="97"/>
      <c r="D41" s="97"/>
      <c r="E41" s="98">
        <v>225.3</v>
      </c>
      <c r="F41" s="90">
        <v>1.103398519081071</v>
      </c>
      <c r="G41" s="91">
        <f t="shared" si="1"/>
        <v>248.59568634896527</v>
      </c>
      <c r="H41" s="92">
        <f t="shared" si="0"/>
        <v>6.7177201094436265</v>
      </c>
      <c r="I41" s="93">
        <f t="shared" si="2"/>
        <v>1.0111355134711932</v>
      </c>
      <c r="J41" s="93">
        <f>I41*F41</f>
        <v>1.1156854281543929</v>
      </c>
      <c r="K41" s="91">
        <f t="shared" si="4"/>
        <v>278.41698876395</v>
      </c>
      <c r="L41" s="226">
        <f>J15</f>
        <v>125.9362888495004</v>
      </c>
      <c r="M41" s="10"/>
      <c r="Q41" s="11"/>
    </row>
    <row r="42" spans="1:17" ht="12.75">
      <c r="A42" s="55" t="s">
        <v>52</v>
      </c>
      <c r="B42" s="97"/>
      <c r="C42" s="97"/>
      <c r="D42" s="97"/>
      <c r="E42" s="98">
        <v>2800</v>
      </c>
      <c r="F42" s="90">
        <v>1.0575</v>
      </c>
      <c r="G42" s="91">
        <f t="shared" si="1"/>
        <v>2961.0000000000005</v>
      </c>
      <c r="H42" s="92">
        <f t="shared" si="0"/>
        <v>80.01413675432978</v>
      </c>
      <c r="I42" s="93">
        <f aca="true" t="shared" si="5" ref="I42:I52">$B$10</f>
        <v>1.0111355134711932</v>
      </c>
      <c r="J42" s="93">
        <f>I42*F42</f>
        <v>1.069275805495787</v>
      </c>
      <c r="K42" s="91">
        <f t="shared" si="4"/>
        <v>3316.1987476034387</v>
      </c>
      <c r="L42" s="226">
        <f>J15</f>
        <v>125.9362888495004</v>
      </c>
      <c r="M42" s="10"/>
      <c r="Q42" s="11"/>
    </row>
    <row r="43" spans="1:17" ht="12.75">
      <c r="A43" s="55" t="s">
        <v>33</v>
      </c>
      <c r="B43" s="97"/>
      <c r="C43" s="97"/>
      <c r="D43" s="97"/>
      <c r="E43" s="98">
        <v>18960</v>
      </c>
      <c r="F43" s="90">
        <v>1.0874472573839662</v>
      </c>
      <c r="G43" s="91">
        <f t="shared" si="1"/>
        <v>20618</v>
      </c>
      <c r="H43" s="92">
        <f t="shared" si="0"/>
        <v>557.1534858496357</v>
      </c>
      <c r="I43" s="93">
        <f t="shared" si="5"/>
        <v>1.0111355134711932</v>
      </c>
      <c r="J43" s="93">
        <f t="shared" si="3"/>
        <v>1.0995565409677774</v>
      </c>
      <c r="K43" s="91">
        <f t="shared" si="4"/>
        <v>23091.315696753692</v>
      </c>
      <c r="L43" s="226">
        <f>J15</f>
        <v>125.9362888495004</v>
      </c>
      <c r="M43" s="10"/>
      <c r="Q43" s="11"/>
    </row>
    <row r="44" spans="1:17" ht="12.75">
      <c r="A44" s="55" t="s">
        <v>17</v>
      </c>
      <c r="B44" s="97" t="s">
        <v>30</v>
      </c>
      <c r="C44" s="97" t="s">
        <v>41</v>
      </c>
      <c r="D44" s="97" t="s">
        <v>17</v>
      </c>
      <c r="E44" s="98">
        <v>3900</v>
      </c>
      <c r="F44" s="90">
        <v>1.0566666666666666</v>
      </c>
      <c r="G44" s="91">
        <f t="shared" si="1"/>
        <v>4121</v>
      </c>
      <c r="H44" s="92">
        <f t="shared" si="0"/>
        <v>111.3604382183698</v>
      </c>
      <c r="I44" s="93">
        <f t="shared" si="5"/>
        <v>1.0111355134711932</v>
      </c>
      <c r="J44" s="93">
        <f t="shared" si="3"/>
        <v>1.0684331925678943</v>
      </c>
      <c r="K44" s="91">
        <f t="shared" si="4"/>
        <v>4615.351245820253</v>
      </c>
      <c r="L44" s="226">
        <f>K29</f>
        <v>142.98648472611222</v>
      </c>
      <c r="M44" s="10"/>
      <c r="Q44" s="11"/>
    </row>
    <row r="45" spans="1:17" ht="12.75">
      <c r="A45" s="55" t="s">
        <v>12</v>
      </c>
      <c r="B45" s="97" t="s">
        <v>30</v>
      </c>
      <c r="C45" s="97" t="s">
        <v>41</v>
      </c>
      <c r="D45" s="97"/>
      <c r="E45" s="98">
        <v>6080</v>
      </c>
      <c r="F45" s="90">
        <v>1.0754934210526317</v>
      </c>
      <c r="G45" s="91">
        <f t="shared" si="1"/>
        <v>6539.000000000001</v>
      </c>
      <c r="H45" s="92">
        <f t="shared" si="0"/>
        <v>176.70126316668774</v>
      </c>
      <c r="I45" s="93">
        <f t="shared" si="5"/>
        <v>1.0111355134711932</v>
      </c>
      <c r="J45" s="93">
        <f t="shared" si="3"/>
        <v>1.087469592530943</v>
      </c>
      <c r="K45" s="91">
        <f t="shared" si="4"/>
        <v>7323.4122291722015</v>
      </c>
      <c r="L45" s="226">
        <f>J17</f>
        <v>135.25292381190783</v>
      </c>
      <c r="M45" s="10"/>
      <c r="Q45" s="11"/>
    </row>
    <row r="46" spans="1:17" ht="12.75">
      <c r="A46" s="55" t="s">
        <v>13</v>
      </c>
      <c r="B46" s="97" t="s">
        <v>30</v>
      </c>
      <c r="C46" s="97"/>
      <c r="D46" s="97"/>
      <c r="E46" s="98">
        <v>2720</v>
      </c>
      <c r="F46" s="90">
        <v>1.1216911764705881</v>
      </c>
      <c r="G46" s="91">
        <f t="shared" si="1"/>
        <v>3050.9999999999995</v>
      </c>
      <c r="H46" s="92">
        <f t="shared" si="0"/>
        <v>82.44617738516044</v>
      </c>
      <c r="I46" s="93">
        <f t="shared" si="5"/>
        <v>1.0111355134711932</v>
      </c>
      <c r="J46" s="93">
        <f t="shared" si="3"/>
        <v>1.134181783676695</v>
      </c>
      <c r="K46" s="91">
        <f t="shared" si="4"/>
        <v>3416.99506212026</v>
      </c>
      <c r="L46" s="226">
        <f>J16</f>
        <v>135.25292381190783</v>
      </c>
      <c r="M46" s="10"/>
      <c r="Q46" s="11"/>
    </row>
    <row r="47" spans="1:17" ht="12.75">
      <c r="A47" s="55" t="s">
        <v>9</v>
      </c>
      <c r="B47" s="97" t="s">
        <v>30</v>
      </c>
      <c r="C47" s="97" t="s">
        <v>41</v>
      </c>
      <c r="D47" s="97"/>
      <c r="E47" s="98">
        <v>8270</v>
      </c>
      <c r="F47" s="90">
        <v>1.0775090689238211</v>
      </c>
      <c r="G47" s="91">
        <f t="shared" si="1"/>
        <v>8911</v>
      </c>
      <c r="H47" s="92">
        <f t="shared" si="0"/>
        <v>240.7990451259144</v>
      </c>
      <c r="I47" s="93">
        <f t="shared" si="5"/>
        <v>1.0111355134711932</v>
      </c>
      <c r="J47" s="93">
        <f t="shared" si="3"/>
        <v>1.0895076856761552</v>
      </c>
      <c r="K47" s="91">
        <f t="shared" si="4"/>
        <v>9979.95509621555</v>
      </c>
      <c r="L47" s="226">
        <f>J17</f>
        <v>135.25292381190783</v>
      </c>
      <c r="M47" s="10"/>
      <c r="Q47" s="11"/>
    </row>
    <row r="48" spans="1:17" ht="12.75">
      <c r="A48" s="55" t="s">
        <v>14</v>
      </c>
      <c r="B48" s="97" t="s">
        <v>30</v>
      </c>
      <c r="C48" s="97"/>
      <c r="D48" s="97"/>
      <c r="E48" s="98">
        <v>2630</v>
      </c>
      <c r="F48" s="90">
        <v>1.135361216730038</v>
      </c>
      <c r="G48" s="91">
        <f t="shared" si="1"/>
        <v>2986</v>
      </c>
      <c r="H48" s="92">
        <f t="shared" si="0"/>
        <v>80.68970359622718</v>
      </c>
      <c r="I48" s="93">
        <f t="shared" si="5"/>
        <v>1.0111355134711932</v>
      </c>
      <c r="J48" s="93">
        <f t="shared" si="3"/>
        <v>1.1480040468536057</v>
      </c>
      <c r="K48" s="91">
        <f t="shared" si="4"/>
        <v>3344.1977238581107</v>
      </c>
      <c r="L48" s="226">
        <f>J16</f>
        <v>135.25292381190783</v>
      </c>
      <c r="M48" s="10"/>
      <c r="Q48" s="11"/>
    </row>
    <row r="49" spans="1:17" ht="12.75">
      <c r="A49" s="55" t="s">
        <v>15</v>
      </c>
      <c r="B49" s="97" t="s">
        <v>30</v>
      </c>
      <c r="C49" s="97" t="s">
        <v>5</v>
      </c>
      <c r="D49" s="97" t="s">
        <v>15</v>
      </c>
      <c r="E49" s="98">
        <v>6730</v>
      </c>
      <c r="F49" s="90">
        <v>1.0395245170876672</v>
      </c>
      <c r="G49" s="91">
        <f t="shared" si="1"/>
        <v>6996.000000000001</v>
      </c>
      <c r="H49" s="92">
        <f t="shared" si="0"/>
        <v>189.05062503657248</v>
      </c>
      <c r="I49" s="93">
        <f t="shared" si="5"/>
        <v>1.0111355134711932</v>
      </c>
      <c r="J49" s="93">
        <f t="shared" si="3"/>
        <v>1.0511001563513327</v>
      </c>
      <c r="K49" s="91">
        <f t="shared" si="4"/>
        <v>7835.2335151076195</v>
      </c>
      <c r="L49" s="226">
        <f>J19</f>
        <v>135.25292381190783</v>
      </c>
      <c r="M49" s="10"/>
      <c r="Q49" s="11"/>
    </row>
    <row r="50" spans="1:17" ht="12.75">
      <c r="A50" s="55" t="s">
        <v>10</v>
      </c>
      <c r="B50" s="97" t="s">
        <v>30</v>
      </c>
      <c r="C50" s="97"/>
      <c r="D50" s="97"/>
      <c r="E50" s="98">
        <v>6950</v>
      </c>
      <c r="F50" s="90">
        <v>1.0912230215827339</v>
      </c>
      <c r="G50" s="91">
        <f t="shared" si="1"/>
        <v>7584</v>
      </c>
      <c r="H50" s="92">
        <f t="shared" si="0"/>
        <v>204.93995715799963</v>
      </c>
      <c r="I50" s="93">
        <f t="shared" si="5"/>
        <v>1.0111355134711932</v>
      </c>
      <c r="J50" s="93">
        <f t="shared" si="3"/>
        <v>1.1033743502396447</v>
      </c>
      <c r="K50" s="91">
        <f t="shared" si="4"/>
        <v>8493.769436617522</v>
      </c>
      <c r="L50" s="226">
        <f>J16</f>
        <v>135.25292381190783</v>
      </c>
      <c r="M50" s="10"/>
      <c r="Q50" s="11"/>
    </row>
    <row r="51" spans="1:17" ht="12.75">
      <c r="A51" s="55" t="s">
        <v>8</v>
      </c>
      <c r="B51" s="97" t="s">
        <v>30</v>
      </c>
      <c r="C51" s="97" t="s">
        <v>41</v>
      </c>
      <c r="D51" s="97" t="s">
        <v>8</v>
      </c>
      <c r="E51" s="98">
        <v>10340</v>
      </c>
      <c r="F51" s="90">
        <v>1.054255319148936</v>
      </c>
      <c r="G51" s="91">
        <f t="shared" si="1"/>
        <v>10901</v>
      </c>
      <c r="H51" s="92">
        <f t="shared" si="0"/>
        <v>294.5741657409486</v>
      </c>
      <c r="I51" s="93">
        <f t="shared" si="5"/>
        <v>1.0111355134711932</v>
      </c>
      <c r="J51" s="93">
        <f t="shared" si="3"/>
        <v>1.0659949934573962</v>
      </c>
      <c r="K51" s="91">
        <f t="shared" si="4"/>
        <v>12208.673606087497</v>
      </c>
      <c r="L51" s="226">
        <f>K26</f>
        <v>179.80636572144232</v>
      </c>
      <c r="M51" s="10"/>
      <c r="Q51" s="11"/>
    </row>
    <row r="52" spans="1:17" ht="13.5" thickBot="1">
      <c r="A52" s="56" t="s">
        <v>18</v>
      </c>
      <c r="B52" s="103" t="s">
        <v>30</v>
      </c>
      <c r="C52" s="103" t="s">
        <v>41</v>
      </c>
      <c r="D52" s="103"/>
      <c r="E52" s="104">
        <v>410</v>
      </c>
      <c r="F52" s="90">
        <v>1.0560975609756098</v>
      </c>
      <c r="G52" s="91">
        <f t="shared" si="1"/>
        <v>433</v>
      </c>
      <c r="H52" s="105">
        <f t="shared" si="0"/>
        <v>11.700817701663219</v>
      </c>
      <c r="I52" s="106">
        <f t="shared" si="5"/>
        <v>1.0111355134711932</v>
      </c>
      <c r="J52" s="106">
        <f t="shared" si="3"/>
        <v>1.067857749592748</v>
      </c>
      <c r="K52" s="91">
        <f t="shared" si="4"/>
        <v>484.9422687309317</v>
      </c>
      <c r="L52" s="227">
        <f>J17</f>
        <v>135.25292381190783</v>
      </c>
      <c r="M52" s="10"/>
      <c r="Q52" s="11"/>
    </row>
    <row r="53" spans="1:13" ht="13.5" thickBot="1">
      <c r="A53" s="192" t="s">
        <v>110</v>
      </c>
      <c r="B53" s="12"/>
      <c r="E53" s="99">
        <f>SUM(E34:E52)</f>
        <v>127573.70000000001</v>
      </c>
      <c r="F53" s="58"/>
      <c r="G53" s="88">
        <f>SUM(G34:G52)</f>
        <v>137221.80286355288</v>
      </c>
      <c r="H53" s="88">
        <f>SUM(H34:H52)</f>
        <v>3708.1</v>
      </c>
      <c r="I53" s="4"/>
      <c r="J53" s="4"/>
      <c r="K53" s="89">
        <f>SUM(K34:K52)</f>
        <v>153682.80000000002</v>
      </c>
      <c r="L53" s="27"/>
      <c r="M53" s="27"/>
    </row>
    <row r="54" ht="12.75">
      <c r="A54" s="192" t="s">
        <v>61</v>
      </c>
    </row>
    <row r="55" spans="1:12" ht="30.75" customHeight="1">
      <c r="A55" s="269" t="s">
        <v>123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</row>
    <row r="56" spans="1:10" ht="12.75">
      <c r="A56" s="12"/>
      <c r="C56" s="7"/>
      <c r="D56" s="7"/>
      <c r="E56" s="11"/>
      <c r="F56" s="7"/>
      <c r="G56" s="7"/>
      <c r="I56" s="7"/>
      <c r="J56" s="7"/>
    </row>
    <row r="57" spans="1:10" ht="12.75">
      <c r="A57" s="12"/>
      <c r="C57" s="7"/>
      <c r="D57" s="7"/>
      <c r="E57" s="11"/>
      <c r="F57" s="7"/>
      <c r="G57" s="7"/>
      <c r="I57" s="7"/>
      <c r="J57" s="7"/>
    </row>
    <row r="59" ht="15">
      <c r="A59" s="76"/>
    </row>
    <row r="70" ht="12.75">
      <c r="B70" s="6" t="s">
        <v>24</v>
      </c>
    </row>
    <row r="71" ht="12.75">
      <c r="B71" s="6" t="s">
        <v>24</v>
      </c>
    </row>
    <row r="72" spans="2:4" ht="12.75">
      <c r="B72" s="6" t="s">
        <v>24</v>
      </c>
      <c r="C72" s="6" t="s">
        <v>24</v>
      </c>
      <c r="D72" s="6" t="s">
        <v>24</v>
      </c>
    </row>
    <row r="73" ht="12.75">
      <c r="B73" s="6" t="s">
        <v>24</v>
      </c>
    </row>
    <row r="74" ht="12.75">
      <c r="B74" s="6" t="s">
        <v>24</v>
      </c>
    </row>
    <row r="75" ht="12.75">
      <c r="B75" s="6" t="s">
        <v>24</v>
      </c>
    </row>
  </sheetData>
  <sheetProtection/>
  <mergeCells count="2">
    <mergeCell ref="A30:G30"/>
    <mergeCell ref="A55:L55"/>
  </mergeCells>
  <printOptions gridLines="1" horizontalCentered="1" verticalCentered="1"/>
  <pageMargins left="0.45" right="0.45" top="0.5" bottom="0.5" header="0.3" footer="0.3"/>
  <pageSetup fitToHeight="1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18" width="15.7109375" style="0" customWidth="1"/>
    <col min="19" max="19" width="17.28125" style="0" customWidth="1"/>
    <col min="20" max="20" width="15.7109375" style="0" customWidth="1"/>
  </cols>
  <sheetData>
    <row r="1" spans="1:17" ht="18.75">
      <c r="A1" s="24" t="s">
        <v>94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9.5" thickBot="1">
      <c r="A2" s="1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9.5" thickBot="1">
      <c r="A3" s="124" t="s">
        <v>104</v>
      </c>
      <c r="B3" s="1"/>
      <c r="C3" s="1"/>
      <c r="D3" s="1"/>
      <c r="E3" s="77"/>
      <c r="F3" s="6"/>
      <c r="G3" s="6"/>
      <c r="H3" s="19" t="s">
        <v>24</v>
      </c>
      <c r="I3" s="78"/>
      <c r="J3" s="19"/>
      <c r="K3" s="19"/>
      <c r="L3" s="19"/>
      <c r="Q3" s="19"/>
    </row>
    <row r="4" spans="1:14" ht="96" customHeight="1">
      <c r="A4" s="177" t="s">
        <v>3</v>
      </c>
      <c r="B4" s="111" t="s">
        <v>105</v>
      </c>
      <c r="C4" s="111" t="s">
        <v>106</v>
      </c>
      <c r="D4" s="111" t="s">
        <v>31</v>
      </c>
      <c r="E4" s="111" t="s">
        <v>107</v>
      </c>
      <c r="F4" s="110" t="s">
        <v>108</v>
      </c>
      <c r="G4" s="110" t="s">
        <v>129</v>
      </c>
      <c r="H4" s="110" t="s">
        <v>118</v>
      </c>
      <c r="I4" s="110" t="s">
        <v>180</v>
      </c>
      <c r="J4" s="127" t="s">
        <v>46</v>
      </c>
      <c r="K4" s="23"/>
      <c r="N4" s="23"/>
    </row>
    <row r="5" spans="1:14" ht="12.75">
      <c r="A5" s="178" t="s">
        <v>30</v>
      </c>
      <c r="B5" s="193">
        <f>'BRA Load Pricing Results'!B16</f>
        <v>69101.47339653231</v>
      </c>
      <c r="C5" s="193">
        <f>'BRA Resource Clearing Results'!E18</f>
        <v>67176</v>
      </c>
      <c r="D5" s="62">
        <f>'BRA Load Pricing Results'!H34+'BRA Load Pricing Results'!H38+'BRA Load Pricing Results'!H44+'BRA Load Pricing Results'!H45+'BRA Load Pricing Results'!H46+'BRA Load Pricing Results'!H47+'BRA Load Pricing Results'!H48+'BRA Load Pricing Results'!H49+'BRA Load Pricing Results'!H50+'BRA Load Pricing Results'!H51+'BRA Load Pricing Results'!H52</f>
        <v>1667.2989658028187</v>
      </c>
      <c r="E5" s="175">
        <f>B5-C5-D5</f>
        <v>258.17443072949163</v>
      </c>
      <c r="F5" s="62">
        <f>'BRA Resource Clearing Results'!B52</f>
        <v>0</v>
      </c>
      <c r="G5" s="62">
        <f>E5-F5</f>
        <v>258.17443072949163</v>
      </c>
      <c r="H5" s="62">
        <f>'BRA ICTRs'!C15</f>
        <v>93.08329815417045</v>
      </c>
      <c r="I5" s="62">
        <f>'BRA ICTRs'!C9+'BRA ICTRs'!C12</f>
        <v>165.09113257532118</v>
      </c>
      <c r="J5" s="62">
        <f>G5-H5-I5</f>
        <v>0</v>
      </c>
      <c r="K5" s="176"/>
      <c r="N5" s="9"/>
    </row>
    <row r="6" spans="1:14" ht="12.75">
      <c r="A6" s="178" t="s">
        <v>41</v>
      </c>
      <c r="B6" s="193">
        <f>'BRA Load Pricing Results'!B17</f>
        <v>37717.98089219473</v>
      </c>
      <c r="C6" s="193">
        <f>'BRA Resource Clearing Results'!E19</f>
        <v>32554</v>
      </c>
      <c r="D6" s="62">
        <f>'BRA Load Pricing Results'!H34+'BRA Load Pricing Results'!H44+'BRA Load Pricing Results'!H45+'BRA Load Pricing Results'!H47+'BRA Load Pricing Results'!H51+'BRA Load Pricing Results'!H52</f>
        <v>910.069604056845</v>
      </c>
      <c r="E6" s="175">
        <f>B6-C6-D6</f>
        <v>4253.911288137888</v>
      </c>
      <c r="F6" s="62">
        <f>'BRA Resource Clearing Results'!B53</f>
        <v>0</v>
      </c>
      <c r="G6" s="62">
        <f>E6-F6</f>
        <v>4253.911288137888</v>
      </c>
      <c r="H6" s="62">
        <v>0</v>
      </c>
      <c r="I6" s="62">
        <v>0</v>
      </c>
      <c r="J6" s="179">
        <f aca="true" t="shared" si="0" ref="J5:J10">G6-H6-I6</f>
        <v>4253.911288137888</v>
      </c>
      <c r="K6" s="176"/>
      <c r="N6" s="9" t="s">
        <v>24</v>
      </c>
    </row>
    <row r="7" spans="1:14" ht="12.75">
      <c r="A7" s="178" t="s">
        <v>5</v>
      </c>
      <c r="B7" s="193">
        <f>'BRA Load Pricing Results'!B18</f>
        <v>16128.530281741685</v>
      </c>
      <c r="C7" s="193">
        <f>'BRA Resource Clearing Results'!E20</f>
        <v>11124.1</v>
      </c>
      <c r="D7" s="62">
        <f>'BRA Load Pricing Results'!H38+'BRA Load Pricing Results'!H49</f>
        <v>389.15352360658665</v>
      </c>
      <c r="E7" s="175">
        <f>B7-C7-D7</f>
        <v>4615.276758135098</v>
      </c>
      <c r="F7" s="62">
        <f>'BRA Resource Clearing Results'!B54</f>
        <v>0</v>
      </c>
      <c r="G7" s="62">
        <f>E7-F7</f>
        <v>4615.276758135098</v>
      </c>
      <c r="H7" s="62">
        <f>'BRA ICTRs'!D15</f>
        <v>0</v>
      </c>
      <c r="I7" s="62">
        <f>('BRA ICTRs'!D9+'BRA ICTRs'!D12)</f>
        <v>237</v>
      </c>
      <c r="J7" s="179">
        <f t="shared" si="0"/>
        <v>4378.276758135098</v>
      </c>
      <c r="K7" s="176"/>
      <c r="N7" s="9"/>
    </row>
    <row r="8" spans="1:14" ht="12.75">
      <c r="A8" s="178" t="s">
        <v>50</v>
      </c>
      <c r="B8" s="193">
        <f>'BRA Load Pricing Results'!K51</f>
        <v>12208.673606087497</v>
      </c>
      <c r="C8" s="193">
        <f>'BRA Load Pricing Results'!C26</f>
        <v>7583</v>
      </c>
      <c r="D8" s="62">
        <f>'BRA Load Pricing Results'!H51</f>
        <v>294.5741657409486</v>
      </c>
      <c r="E8" s="175">
        <f>B8-C8-D8</f>
        <v>4331.099440346548</v>
      </c>
      <c r="F8" s="62">
        <f>IF('BRA Resource Clearing Results'!D55+'BRA Resource Clearing Results'!D56=0,0,('BRA Resource Clearing Results'!D55+'BRA Resource Clearing Results'!D56/'BRA Load Pricing Results'!D26))</f>
        <v>0</v>
      </c>
      <c r="G8" s="62">
        <f>E8-F8</f>
        <v>4331.099440346548</v>
      </c>
      <c r="H8" s="62">
        <v>0</v>
      </c>
      <c r="I8" s="62">
        <v>0</v>
      </c>
      <c r="J8" s="179">
        <f t="shared" si="0"/>
        <v>4331.099440346548</v>
      </c>
      <c r="K8" s="176"/>
      <c r="N8" s="9"/>
    </row>
    <row r="9" spans="1:14" ht="12.75">
      <c r="A9" s="178" t="s">
        <v>48</v>
      </c>
      <c r="B9" s="193">
        <f>'BRA Load Pricing Results'!K44</f>
        <v>4615.351245820253</v>
      </c>
      <c r="C9" s="193">
        <f>'BRA Load Pricing Results'!C29</f>
        <v>4297.7</v>
      </c>
      <c r="D9" s="62">
        <f>'BRA Load Pricing Results'!H44</f>
        <v>111.3604382183698</v>
      </c>
      <c r="E9" s="175">
        <f>B9-C9-D9</f>
        <v>206.2908076018835</v>
      </c>
      <c r="F9" s="62">
        <f>IF('BRA Load Pricing Results'!D29=0,0,('BRA Resource Clearing Results'!D57/'BRA Load Pricing Results'!D29))</f>
        <v>0</v>
      </c>
      <c r="G9" s="62">
        <f>E9-F9</f>
        <v>206.2908076018835</v>
      </c>
      <c r="H9" s="62">
        <v>0</v>
      </c>
      <c r="I9" s="62">
        <v>0</v>
      </c>
      <c r="J9" s="179">
        <f t="shared" si="0"/>
        <v>206.2908076018835</v>
      </c>
      <c r="K9" s="176"/>
      <c r="N9" s="9"/>
    </row>
    <row r="10" spans="1:14" ht="13.5" thickBot="1">
      <c r="A10" s="153" t="s">
        <v>15</v>
      </c>
      <c r="B10" s="194">
        <f>'BRA Load Pricing Results'!B19</f>
        <v>7835.2335151076195</v>
      </c>
      <c r="C10" s="194">
        <f>'BRA Resource Clearing Results'!E24</f>
        <v>5614.6</v>
      </c>
      <c r="D10" s="136">
        <f>'BRA Load Pricing Results'!H49</f>
        <v>189.05062503657248</v>
      </c>
      <c r="E10" s="180">
        <f>B10-C10-D10</f>
        <v>2031.5828900710467</v>
      </c>
      <c r="F10" s="62">
        <f>'BRA Resource Clearing Results'!B58</f>
        <v>0</v>
      </c>
      <c r="G10" s="136">
        <f>E10-F10</f>
        <v>2031.5828900710467</v>
      </c>
      <c r="H10" s="136">
        <v>0</v>
      </c>
      <c r="I10" s="136">
        <v>0</v>
      </c>
      <c r="J10" s="181">
        <f t="shared" si="0"/>
        <v>2031.5828900710467</v>
      </c>
      <c r="K10" s="176"/>
      <c r="N10" s="9"/>
    </row>
    <row r="11" spans="1:14" ht="12.75">
      <c r="A11" s="32" t="s">
        <v>24</v>
      </c>
      <c r="B11" s="42"/>
      <c r="C11" s="42"/>
      <c r="D11" s="18"/>
      <c r="E11" s="42"/>
      <c r="F11" s="18"/>
      <c r="G11" s="26"/>
      <c r="H11" s="20"/>
      <c r="I11" s="26"/>
      <c r="J11" s="25"/>
      <c r="K11" s="61"/>
      <c r="N11" s="9"/>
    </row>
    <row r="12" spans="1:14" ht="10.5" customHeight="1" thickBot="1">
      <c r="A12" s="32"/>
      <c r="B12" s="42"/>
      <c r="C12" s="42"/>
      <c r="D12" s="18"/>
      <c r="E12" s="42"/>
      <c r="F12" s="18"/>
      <c r="G12" s="26"/>
      <c r="H12" s="20"/>
      <c r="I12" s="26"/>
      <c r="J12" s="25"/>
      <c r="K12" s="61"/>
      <c r="N12" s="9"/>
    </row>
    <row r="13" spans="1:17" ht="25.5" customHeight="1">
      <c r="A13" s="271" t="s">
        <v>153</v>
      </c>
      <c r="B13" s="272"/>
      <c r="C13" s="272"/>
      <c r="D13" s="273"/>
      <c r="E13" s="60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9" ht="15">
      <c r="A14" s="274"/>
      <c r="B14" s="275"/>
      <c r="C14" s="275"/>
      <c r="D14" s="276"/>
      <c r="E14" s="283" t="s">
        <v>30</v>
      </c>
      <c r="F14" s="270"/>
      <c r="G14" s="270" t="s">
        <v>41</v>
      </c>
      <c r="H14" s="270"/>
      <c r="I14" s="270" t="s">
        <v>5</v>
      </c>
      <c r="J14" s="270"/>
      <c r="K14" s="270" t="s">
        <v>50</v>
      </c>
      <c r="L14" s="270"/>
      <c r="M14" s="270" t="s">
        <v>48</v>
      </c>
      <c r="N14" s="270"/>
      <c r="O14" s="270" t="s">
        <v>15</v>
      </c>
      <c r="P14" s="270"/>
      <c r="Q14" s="22"/>
      <c r="R14" s="22"/>
      <c r="S14" s="22"/>
    </row>
    <row r="15" spans="1:19" ht="30.75" customHeight="1" thickBot="1">
      <c r="A15" s="277"/>
      <c r="B15" s="278"/>
      <c r="C15" s="278"/>
      <c r="D15" s="279"/>
      <c r="E15" s="182" t="s">
        <v>51</v>
      </c>
      <c r="F15" s="47">
        <f>'BRA Resource Clearing Results'!C6</f>
        <v>0</v>
      </c>
      <c r="G15" s="49" t="s">
        <v>51</v>
      </c>
      <c r="H15" s="47">
        <f>'BRA Resource Clearing Results'!C7</f>
        <v>0</v>
      </c>
      <c r="I15" s="49" t="s">
        <v>51</v>
      </c>
      <c r="J15" s="46">
        <f>'BRA Resource Clearing Results'!C8</f>
        <v>0</v>
      </c>
      <c r="K15" s="49" t="s">
        <v>51</v>
      </c>
      <c r="L15" s="47">
        <f>'BRA Load Pricing Results'!D26</f>
        <v>44.553441909534484</v>
      </c>
      <c r="M15" s="49" t="s">
        <v>51</v>
      </c>
      <c r="N15" s="48">
        <f>'BRA Load Pricing Results'!D29</f>
        <v>0</v>
      </c>
      <c r="O15" s="49" t="s">
        <v>51</v>
      </c>
      <c r="P15" s="48">
        <f>'BRA Resource Clearing Results'!C12</f>
        <v>0</v>
      </c>
      <c r="Q15" s="22"/>
      <c r="R15" s="22"/>
      <c r="S15" s="22"/>
    </row>
    <row r="16" spans="1:21" ht="111.75" customHeight="1">
      <c r="A16" s="183" t="s">
        <v>7</v>
      </c>
      <c r="B16" s="184" t="s">
        <v>28</v>
      </c>
      <c r="C16" s="184" t="s">
        <v>27</v>
      </c>
      <c r="D16" s="184" t="s">
        <v>36</v>
      </c>
      <c r="E16" s="185" t="s">
        <v>130</v>
      </c>
      <c r="F16" s="185" t="s">
        <v>154</v>
      </c>
      <c r="G16" s="185" t="s">
        <v>131</v>
      </c>
      <c r="H16" s="185" t="s">
        <v>154</v>
      </c>
      <c r="I16" s="185" t="s">
        <v>130</v>
      </c>
      <c r="J16" s="185" t="s">
        <v>154</v>
      </c>
      <c r="K16" s="185" t="s">
        <v>132</v>
      </c>
      <c r="L16" s="185" t="s">
        <v>154</v>
      </c>
      <c r="M16" s="185" t="s">
        <v>133</v>
      </c>
      <c r="N16" s="185" t="s">
        <v>154</v>
      </c>
      <c r="O16" s="185" t="s">
        <v>130</v>
      </c>
      <c r="P16" s="185" t="s">
        <v>154</v>
      </c>
      <c r="Q16" s="185" t="s">
        <v>145</v>
      </c>
      <c r="R16" s="185" t="s">
        <v>155</v>
      </c>
      <c r="S16" s="185" t="s">
        <v>62</v>
      </c>
      <c r="T16" s="185" t="s">
        <v>146</v>
      </c>
      <c r="U16" s="17"/>
    </row>
    <row r="17" spans="1:21" ht="12.75">
      <c r="A17" s="73" t="s">
        <v>16</v>
      </c>
      <c r="B17" s="97" t="s">
        <v>30</v>
      </c>
      <c r="C17" s="97" t="s">
        <v>41</v>
      </c>
      <c r="D17" s="97"/>
      <c r="E17" s="64">
        <f>IF(B17="MAAC",$J$5*'BRA Load Pricing Results'!K34/'BRA Load Pricing Results'!$B$16,0)</f>
        <v>0</v>
      </c>
      <c r="F17" s="65">
        <f>E17*$F$15</f>
        <v>0</v>
      </c>
      <c r="G17" s="64">
        <f>IF(C17="EMAAC",$J$6*'BRA Load Pricing Results'!K34/'BRA Load Pricing Results'!$B$17,0)</f>
        <v>350.2611794645277</v>
      </c>
      <c r="H17" s="65">
        <f>G17*$H$15</f>
        <v>0</v>
      </c>
      <c r="I17" s="64">
        <f>IF(C17="SWMAAC",$J$7*'BRA Load Pricing Results'!K34/'BRA Load Pricing Results'!$B$18,0)</f>
        <v>0</v>
      </c>
      <c r="J17" s="65">
        <f>I17*$J$15</f>
        <v>0</v>
      </c>
      <c r="K17" s="64">
        <f>IF(D17="PS",$J$8*'BRA Load Pricing Results'!K34/'BRA Load Pricing Results'!$K$51,0)</f>
        <v>0</v>
      </c>
      <c r="L17" s="65">
        <f>K17*$L$15</f>
        <v>0</v>
      </c>
      <c r="M17" s="64">
        <f>IF(D17="DPL",$J$9*'BRA Load Pricing Results'!K34/'BRA Load Pricing Results'!$K$44,0)</f>
        <v>0</v>
      </c>
      <c r="N17" s="65">
        <f>M17*$N$15</f>
        <v>0</v>
      </c>
      <c r="O17" s="64">
        <f>IF(D17="PEPCO",$J$10*'BRA Load Pricing Results'!K34/'BRA Load Pricing Results'!$K$49,0)</f>
        <v>0</v>
      </c>
      <c r="P17" s="65">
        <f>O17*$P$15</f>
        <v>0</v>
      </c>
      <c r="Q17" s="62">
        <f>MAX(E17,G17,I17,K17,M17,O17)</f>
        <v>350.2611794645277</v>
      </c>
      <c r="R17" s="66">
        <f>F17+H17+J17+L17+N17+P17</f>
        <v>0</v>
      </c>
      <c r="S17" s="66">
        <f>R17/'BRA Load Pricing Results'!K34</f>
        <v>0</v>
      </c>
      <c r="T17" s="66">
        <f>IF(Q17=0,0,R17/Q17)</f>
        <v>0</v>
      </c>
      <c r="U17" s="15"/>
    </row>
    <row r="18" spans="1:21" ht="12.75">
      <c r="A18" s="73" t="s">
        <v>32</v>
      </c>
      <c r="B18" s="97"/>
      <c r="C18" s="97"/>
      <c r="D18" s="97"/>
      <c r="E18" s="64">
        <f>IF(B18="MAAC",$J$5*'BRA Load Pricing Results'!K35/'BRA Load Pricing Results'!$B$16,0)</f>
        <v>0</v>
      </c>
      <c r="F18" s="65">
        <f aca="true" t="shared" si="1" ref="F17:F26">E18*$F$15</f>
        <v>0</v>
      </c>
      <c r="G18" s="64">
        <f>IF(C18="EMAAC",$J$6*'BRA Load Pricing Results'!K35/'BRA Load Pricing Results'!$B$17,0)</f>
        <v>0</v>
      </c>
      <c r="H18" s="65">
        <f>G18*$H$15</f>
        <v>0</v>
      </c>
      <c r="I18" s="64">
        <f>IF(C18="SWMAAC",$J$7*'BRA Load Pricing Results'!K35/'BRA Load Pricing Results'!$B$18,0)</f>
        <v>0</v>
      </c>
      <c r="J18" s="65">
        <f>I18*$J$15</f>
        <v>0</v>
      </c>
      <c r="K18" s="64">
        <f>IF(D18="PS",$J$8*'BRA Load Pricing Results'!K35/'BRA Load Pricing Results'!$K$51,0)</f>
        <v>0</v>
      </c>
      <c r="L18" s="65">
        <f>K18*$L$15</f>
        <v>0</v>
      </c>
      <c r="M18" s="64">
        <f>IF(D18="DPL",$J$9*'BRA Load Pricing Results'!K35/'BRA Load Pricing Results'!$K$44,0)</f>
        <v>0</v>
      </c>
      <c r="N18" s="65">
        <f aca="true" t="shared" si="2" ref="N18:N31">M18*$N$15</f>
        <v>0</v>
      </c>
      <c r="O18" s="64">
        <f>IF(D18="PEPCO",$J$10*'BRA Load Pricing Results'!K35/'BRA Load Pricing Results'!$K$49,0)</f>
        <v>0</v>
      </c>
      <c r="P18" s="65">
        <f>O18*$P$15</f>
        <v>0</v>
      </c>
      <c r="Q18" s="62">
        <f aca="true" t="shared" si="3" ref="Q18:Q35">MAX(E18,G18,I18,K18,M18,O18)</f>
        <v>0</v>
      </c>
      <c r="R18" s="66">
        <f aca="true" t="shared" si="4" ref="R18:R35">F18+H18+J18+L18+N18+P18</f>
        <v>0</v>
      </c>
      <c r="S18" s="66">
        <f>R18/'BRA Load Pricing Results'!K35</f>
        <v>0</v>
      </c>
      <c r="T18" s="66">
        <f aca="true" t="shared" si="5" ref="T18:T35">IF(Q18=0,0,R18/Q18)</f>
        <v>0</v>
      </c>
      <c r="U18" s="15"/>
    </row>
    <row r="19" spans="1:21" ht="12.75">
      <c r="A19" s="73" t="s">
        <v>19</v>
      </c>
      <c r="B19" s="97" t="s">
        <v>24</v>
      </c>
      <c r="C19" s="97"/>
      <c r="D19" s="97"/>
      <c r="E19" s="64">
        <f>IF(B19="MAAC",$J$5*'BRA Load Pricing Results'!K36/'BRA Load Pricing Results'!$B$16,0)</f>
        <v>0</v>
      </c>
      <c r="F19" s="65">
        <f t="shared" si="1"/>
        <v>0</v>
      </c>
      <c r="G19" s="64">
        <f>IF(C19="EMAAC",$J$6*'BRA Load Pricing Results'!K36/'BRA Load Pricing Results'!$B$17,0)</f>
        <v>0</v>
      </c>
      <c r="H19" s="65">
        <f aca="true" t="shared" si="6" ref="H19:H33">G19*$H$15</f>
        <v>0</v>
      </c>
      <c r="I19" s="64">
        <f>IF(C19="SWMAAC",$J$7*'BRA Load Pricing Results'!K36/'BRA Load Pricing Results'!$B$18,0)</f>
        <v>0</v>
      </c>
      <c r="J19" s="65">
        <f aca="true" t="shared" si="7" ref="J19:J35">I19*$J$15</f>
        <v>0</v>
      </c>
      <c r="K19" s="64">
        <f>IF(D19="PS",$J$8*'BRA Load Pricing Results'!K36/'BRA Load Pricing Results'!$K$51,0)</f>
        <v>0</v>
      </c>
      <c r="L19" s="65">
        <f>K19*$L$15</f>
        <v>0</v>
      </c>
      <c r="M19" s="64">
        <f>IF(D19="DPL",$J$9*'BRA Load Pricing Results'!K36/'BRA Load Pricing Results'!$K$44,0)</f>
        <v>0</v>
      </c>
      <c r="N19" s="65">
        <f t="shared" si="2"/>
        <v>0</v>
      </c>
      <c r="O19" s="64">
        <f>IF(D19="PEPCO",$J$10*'BRA Load Pricing Results'!K36/'BRA Load Pricing Results'!$K$49,0)</f>
        <v>0</v>
      </c>
      <c r="P19" s="65">
        <f>O19*$P$15</f>
        <v>0</v>
      </c>
      <c r="Q19" s="62">
        <f t="shared" si="3"/>
        <v>0</v>
      </c>
      <c r="R19" s="66">
        <f t="shared" si="4"/>
        <v>0</v>
      </c>
      <c r="S19" s="66">
        <f>R19/'BRA Load Pricing Results'!K36</f>
        <v>0</v>
      </c>
      <c r="T19" s="66">
        <f t="shared" si="5"/>
        <v>0</v>
      </c>
      <c r="U19" s="15"/>
    </row>
    <row r="20" spans="1:21" ht="12.75">
      <c r="A20" s="73" t="s">
        <v>53</v>
      </c>
      <c r="B20" s="97"/>
      <c r="C20" s="97"/>
      <c r="D20" s="97"/>
      <c r="E20" s="64">
        <f>IF(B20="MAAC",$J$5*'BRA Load Pricing Results'!K37/'BRA Load Pricing Results'!$B$16,0)</f>
        <v>0</v>
      </c>
      <c r="F20" s="65">
        <f t="shared" si="1"/>
        <v>0</v>
      </c>
      <c r="G20" s="64">
        <f>IF(C20="EMAAC",$J$6*'BRA Load Pricing Results'!K37/'BRA Load Pricing Results'!$B$17,0)</f>
        <v>0</v>
      </c>
      <c r="H20" s="65">
        <f>G20*$H$15</f>
        <v>0</v>
      </c>
      <c r="I20" s="64">
        <f>IF(C20="SWMAAC",$J$7*'BRA Load Pricing Results'!K37/'BRA Load Pricing Results'!$B$18,0)</f>
        <v>0</v>
      </c>
      <c r="J20" s="65">
        <f t="shared" si="7"/>
        <v>0</v>
      </c>
      <c r="K20" s="64">
        <f>IF(D20="PS",$J$8*'BRA Load Pricing Results'!K37/'BRA Load Pricing Results'!$K$51,0)</f>
        <v>0</v>
      </c>
      <c r="L20" s="65">
        <f aca="true" t="shared" si="8" ref="L20:L35">K20*$L$15</f>
        <v>0</v>
      </c>
      <c r="M20" s="64">
        <f>IF(D20="DPL",$J$9*'BRA Load Pricing Results'!K37/'BRA Load Pricing Results'!$K$44,0)</f>
        <v>0</v>
      </c>
      <c r="N20" s="65">
        <f t="shared" si="2"/>
        <v>0</v>
      </c>
      <c r="O20" s="64">
        <f>IF(D20="PEPCO",$J$10*'BRA Load Pricing Results'!K37/'BRA Load Pricing Results'!$K$49,0)</f>
        <v>0</v>
      </c>
      <c r="P20" s="65">
        <f aca="true" t="shared" si="9" ref="P20:P31">O20*$P$15</f>
        <v>0</v>
      </c>
      <c r="Q20" s="62">
        <f t="shared" si="3"/>
        <v>0</v>
      </c>
      <c r="R20" s="66">
        <f t="shared" si="4"/>
        <v>0</v>
      </c>
      <c r="S20" s="66">
        <f>R20/'BRA Load Pricing Results'!K37</f>
        <v>0</v>
      </c>
      <c r="T20" s="66">
        <f t="shared" si="5"/>
        <v>0</v>
      </c>
      <c r="U20" s="15"/>
    </row>
    <row r="21" spans="1:21" ht="12.75">
      <c r="A21" s="73" t="s">
        <v>11</v>
      </c>
      <c r="B21" s="97" t="s">
        <v>30</v>
      </c>
      <c r="C21" s="97" t="s">
        <v>5</v>
      </c>
      <c r="D21" s="97"/>
      <c r="E21" s="64">
        <f>IF(B21="MAAC",$J$5*'BRA Load Pricing Results'!K38/'BRA Load Pricing Results'!$B$16,0)</f>
        <v>0</v>
      </c>
      <c r="F21" s="65">
        <f t="shared" si="1"/>
        <v>0</v>
      </c>
      <c r="G21" s="64">
        <f>IF(C21="EMAAC",$J$6*'BRA Load Pricing Results'!K38/'BRA Load Pricing Results'!$B$17,0)</f>
        <v>0</v>
      </c>
      <c r="H21" s="65">
        <f t="shared" si="6"/>
        <v>0</v>
      </c>
      <c r="I21" s="64">
        <f>IF(C21="SWMAAC",$J$7*'BRA Load Pricing Results'!K38/'BRA Load Pricing Results'!$B$18,0)</f>
        <v>2251.3116723831954</v>
      </c>
      <c r="J21" s="65">
        <f>I21*$J$15</f>
        <v>0</v>
      </c>
      <c r="K21" s="64">
        <f>IF(D21="PS",$J$8*'BRA Load Pricing Results'!K38/'BRA Load Pricing Results'!$K$51,0)</f>
        <v>0</v>
      </c>
      <c r="L21" s="65">
        <f t="shared" si="8"/>
        <v>0</v>
      </c>
      <c r="M21" s="64">
        <f>IF(D21="DPL",$J$9*'BRA Load Pricing Results'!K38/'BRA Load Pricing Results'!$K$44,0)</f>
        <v>0</v>
      </c>
      <c r="N21" s="65">
        <f t="shared" si="2"/>
        <v>0</v>
      </c>
      <c r="O21" s="64">
        <f>IF(D21="PEPCO",$J$10*'BRA Load Pricing Results'!K38/'BRA Load Pricing Results'!$K$49,0)</f>
        <v>0</v>
      </c>
      <c r="P21" s="65">
        <f t="shared" si="9"/>
        <v>0</v>
      </c>
      <c r="Q21" s="62">
        <f t="shared" si="3"/>
        <v>2251.3116723831954</v>
      </c>
      <c r="R21" s="66">
        <f t="shared" si="4"/>
        <v>0</v>
      </c>
      <c r="S21" s="66">
        <f>R21/'BRA Load Pricing Results'!K38</f>
        <v>0</v>
      </c>
      <c r="T21" s="66">
        <f t="shared" si="5"/>
        <v>0</v>
      </c>
      <c r="U21" s="15"/>
    </row>
    <row r="22" spans="1:21" ht="12.75">
      <c r="A22" s="73" t="s">
        <v>20</v>
      </c>
      <c r="B22" s="97"/>
      <c r="C22" s="97"/>
      <c r="D22" s="97"/>
      <c r="E22" s="64">
        <f>IF(B22="MAAC",$J$5*'BRA Load Pricing Results'!K39/'BRA Load Pricing Results'!$B$16,0)</f>
        <v>0</v>
      </c>
      <c r="F22" s="65">
        <f t="shared" si="1"/>
        <v>0</v>
      </c>
      <c r="G22" s="64">
        <f>IF(C22="EMAAC",$J$6*'BRA Load Pricing Results'!K39/'BRA Load Pricing Results'!$B$17,0)</f>
        <v>0</v>
      </c>
      <c r="H22" s="65">
        <f t="shared" si="6"/>
        <v>0</v>
      </c>
      <c r="I22" s="64">
        <f>IF(C22="SWMAAC",$J$7*'BRA Load Pricing Results'!K39/'BRA Load Pricing Results'!$B$18,0)</f>
        <v>0</v>
      </c>
      <c r="J22" s="65">
        <f t="shared" si="7"/>
        <v>0</v>
      </c>
      <c r="K22" s="64">
        <f>IF(D22="PS",$J$8*'BRA Load Pricing Results'!K39/'BRA Load Pricing Results'!$K$51,0)</f>
        <v>0</v>
      </c>
      <c r="L22" s="65">
        <f t="shared" si="8"/>
        <v>0</v>
      </c>
      <c r="M22" s="64">
        <f>IF(D22="DPL",$J$9*'BRA Load Pricing Results'!K39/'BRA Load Pricing Results'!$K$44,0)</f>
        <v>0</v>
      </c>
      <c r="N22" s="65">
        <f t="shared" si="2"/>
        <v>0</v>
      </c>
      <c r="O22" s="64">
        <f>IF(D22="PEPCO",$J$10*'BRA Load Pricing Results'!K39/'BRA Load Pricing Results'!$K$49,0)</f>
        <v>0</v>
      </c>
      <c r="P22" s="65">
        <f t="shared" si="9"/>
        <v>0</v>
      </c>
      <c r="Q22" s="62">
        <f t="shared" si="3"/>
        <v>0</v>
      </c>
      <c r="R22" s="66">
        <f t="shared" si="4"/>
        <v>0</v>
      </c>
      <c r="S22" s="66">
        <f>R22/'BRA Load Pricing Results'!K39</f>
        <v>0</v>
      </c>
      <c r="T22" s="66">
        <f t="shared" si="5"/>
        <v>0</v>
      </c>
      <c r="U22" s="15"/>
    </row>
    <row r="23" spans="1:21" ht="12.75">
      <c r="A23" s="73" t="s">
        <v>21</v>
      </c>
      <c r="B23" s="97"/>
      <c r="C23" s="97"/>
      <c r="D23" s="97"/>
      <c r="E23" s="64">
        <f>IF(B23="MAAC",$J$5*'BRA Load Pricing Results'!K40/'BRA Load Pricing Results'!$B$16,0)</f>
        <v>0</v>
      </c>
      <c r="F23" s="65">
        <f t="shared" si="1"/>
        <v>0</v>
      </c>
      <c r="G23" s="64">
        <f>IF(C23="EMAAC",$J$6*'BRA Load Pricing Results'!K40/'BRA Load Pricing Results'!$B$17,0)</f>
        <v>0</v>
      </c>
      <c r="H23" s="65">
        <f>G23*$H$15</f>
        <v>0</v>
      </c>
      <c r="I23" s="64">
        <f>IF(C23="SWMAAC",$J$7*'BRA Load Pricing Results'!K40/'BRA Load Pricing Results'!$B$18,0)</f>
        <v>0</v>
      </c>
      <c r="J23" s="65">
        <f>I23*$J$15</f>
        <v>0</v>
      </c>
      <c r="K23" s="64">
        <f>IF(D23="PS",$J$8*'BRA Load Pricing Results'!K40/'BRA Load Pricing Results'!$K$51,0)</f>
        <v>0</v>
      </c>
      <c r="L23" s="65">
        <f t="shared" si="8"/>
        <v>0</v>
      </c>
      <c r="M23" s="64">
        <f>IF(D23="DPL",$J$9*'BRA Load Pricing Results'!K40/'BRA Load Pricing Results'!$K$44,0)</f>
        <v>0</v>
      </c>
      <c r="N23" s="65">
        <f t="shared" si="2"/>
        <v>0</v>
      </c>
      <c r="O23" s="64">
        <f>IF(D23="PEPCO",$J$10*'BRA Load Pricing Results'!K40/'BRA Load Pricing Results'!$K$49,0)</f>
        <v>0</v>
      </c>
      <c r="P23" s="65">
        <f t="shared" si="9"/>
        <v>0</v>
      </c>
      <c r="Q23" s="62">
        <f t="shared" si="3"/>
        <v>0</v>
      </c>
      <c r="R23" s="66">
        <f t="shared" si="4"/>
        <v>0</v>
      </c>
      <c r="S23" s="66">
        <f>R23/'BRA Load Pricing Results'!K40</f>
        <v>0</v>
      </c>
      <c r="T23" s="66">
        <f t="shared" si="5"/>
        <v>0</v>
      </c>
      <c r="U23" s="15"/>
    </row>
    <row r="24" spans="1:21" ht="12.75">
      <c r="A24" s="73" t="s">
        <v>71</v>
      </c>
      <c r="B24" s="97"/>
      <c r="C24" s="97"/>
      <c r="D24" s="97"/>
      <c r="E24" s="64">
        <f>IF(B24="MAAC",$J$5*'BRA Load Pricing Results'!K41/'BRA Load Pricing Results'!$B$16,0)</f>
        <v>0</v>
      </c>
      <c r="F24" s="65">
        <f t="shared" si="1"/>
        <v>0</v>
      </c>
      <c r="G24" s="64">
        <f>IF(C24="EMAAC",$J$6*'BRA Load Pricing Results'!K41/'BRA Load Pricing Results'!$B$17,0)</f>
        <v>0</v>
      </c>
      <c r="H24" s="65">
        <f>G24*$H$15</f>
        <v>0</v>
      </c>
      <c r="I24" s="64">
        <f>IF(C24="SWMAAC",$J$7*'BRA Load Pricing Results'!K41/'BRA Load Pricing Results'!$B$18,0)</f>
        <v>0</v>
      </c>
      <c r="J24" s="65">
        <f>I24*$J$15</f>
        <v>0</v>
      </c>
      <c r="K24" s="64">
        <f>IF(D24="PS",$J$8*'BRA Load Pricing Results'!K41/'BRA Load Pricing Results'!$K$51,0)</f>
        <v>0</v>
      </c>
      <c r="L24" s="65">
        <f>K24*$L$15</f>
        <v>0</v>
      </c>
      <c r="M24" s="64">
        <f>IF(D24="DPL",$J$9*'BRA Load Pricing Results'!K41/'BRA Load Pricing Results'!$K$44,0)</f>
        <v>0</v>
      </c>
      <c r="N24" s="65">
        <f>M24*$N$15</f>
        <v>0</v>
      </c>
      <c r="O24" s="64">
        <f>IF(D24="PEPCO",$J$10*'BRA Load Pricing Results'!K41/'BRA Load Pricing Results'!$K$49,0)</f>
        <v>0</v>
      </c>
      <c r="P24" s="65">
        <f>O24*$P$15</f>
        <v>0</v>
      </c>
      <c r="Q24" s="62">
        <f>MAX(E24,G24,I24,K24,M24,O24)</f>
        <v>0</v>
      </c>
      <c r="R24" s="66">
        <f>F24+H24+J24+L24+N24+P24</f>
        <v>0</v>
      </c>
      <c r="S24" s="66">
        <f>R24/'BRA Load Pricing Results'!K41</f>
        <v>0</v>
      </c>
      <c r="T24" s="66">
        <f t="shared" si="5"/>
        <v>0</v>
      </c>
      <c r="U24" s="15"/>
    </row>
    <row r="25" spans="1:21" ht="12.75">
      <c r="A25" s="73" t="s">
        <v>52</v>
      </c>
      <c r="B25" s="97"/>
      <c r="C25" s="97"/>
      <c r="D25" s="97"/>
      <c r="E25" s="64">
        <f>IF(B25="MAAC",$J$5*'BRA Load Pricing Results'!K42/'BRA Load Pricing Results'!$B$16,0)</f>
        <v>0</v>
      </c>
      <c r="F25" s="65">
        <f t="shared" si="1"/>
        <v>0</v>
      </c>
      <c r="G25" s="64">
        <f>IF(C25="EMAAC",$J$6*'BRA Load Pricing Results'!K42/'BRA Load Pricing Results'!$B$17,0)</f>
        <v>0</v>
      </c>
      <c r="H25" s="65">
        <f>G25*$H$15</f>
        <v>0</v>
      </c>
      <c r="I25" s="64">
        <f>IF(C25="SWMAAC",$J$7*'BRA Load Pricing Results'!K42/'BRA Load Pricing Results'!$B$18,0)</f>
        <v>0</v>
      </c>
      <c r="J25" s="65">
        <f>I25*$J$15</f>
        <v>0</v>
      </c>
      <c r="K25" s="64">
        <f>IF(D25="PS",$J$8*'BRA Load Pricing Results'!K42/'BRA Load Pricing Results'!$K$51,0)</f>
        <v>0</v>
      </c>
      <c r="L25" s="65">
        <f>K25*$L$15</f>
        <v>0</v>
      </c>
      <c r="M25" s="64">
        <f>IF(D25="DPL",$J$9*'BRA Load Pricing Results'!K42/'BRA Load Pricing Results'!$K$44,0)</f>
        <v>0</v>
      </c>
      <c r="N25" s="65">
        <f>M25*$N$15</f>
        <v>0</v>
      </c>
      <c r="O25" s="64">
        <f>IF(D25="PEPCO",$J$10*'BRA Load Pricing Results'!#REF!/'BRA Load Pricing Results'!$K$49,0)</f>
        <v>0</v>
      </c>
      <c r="P25" s="65">
        <f>O25*$P$15</f>
        <v>0</v>
      </c>
      <c r="Q25" s="62">
        <f>MAX(E25,G25,I25,K25,M25,O25)</f>
        <v>0</v>
      </c>
      <c r="R25" s="66">
        <f>F25+H25+J25+L25+N25+P25</f>
        <v>0</v>
      </c>
      <c r="S25" s="66">
        <f>R25/'BRA Load Pricing Results'!K42</f>
        <v>0</v>
      </c>
      <c r="T25" s="66">
        <f t="shared" si="5"/>
        <v>0</v>
      </c>
      <c r="U25" s="15"/>
    </row>
    <row r="26" spans="1:21" ht="12.75">
      <c r="A26" s="73" t="s">
        <v>33</v>
      </c>
      <c r="B26" s="97"/>
      <c r="C26" s="97"/>
      <c r="D26" s="97"/>
      <c r="E26" s="64">
        <f>IF(B26="MAAC",$J$5*'BRA Load Pricing Results'!K43/'BRA Load Pricing Results'!$B$16,0)</f>
        <v>0</v>
      </c>
      <c r="F26" s="65">
        <f t="shared" si="1"/>
        <v>0</v>
      </c>
      <c r="G26" s="64">
        <f>IF(C26="EMAAC",$J$6*'BRA Load Pricing Results'!K43/'BRA Load Pricing Results'!$B$17,0)</f>
        <v>0</v>
      </c>
      <c r="H26" s="65">
        <f t="shared" si="6"/>
        <v>0</v>
      </c>
      <c r="I26" s="64">
        <f>IF(C26="SWMAAC",$J$7*'BRA Load Pricing Results'!K43/'BRA Load Pricing Results'!$B$18,0)</f>
        <v>0</v>
      </c>
      <c r="J26" s="65">
        <f t="shared" si="7"/>
        <v>0</v>
      </c>
      <c r="K26" s="64">
        <f>IF(D26="PS",$J$8*'BRA Load Pricing Results'!K43/'BRA Load Pricing Results'!$K$51,0)</f>
        <v>0</v>
      </c>
      <c r="L26" s="65">
        <f t="shared" si="8"/>
        <v>0</v>
      </c>
      <c r="M26" s="64">
        <f>IF(D26="DPL",$J$9*'BRA Load Pricing Results'!K43/'BRA Load Pricing Results'!$K$44,0)</f>
        <v>0</v>
      </c>
      <c r="N26" s="65">
        <f t="shared" si="2"/>
        <v>0</v>
      </c>
      <c r="O26" s="64">
        <f>IF(D26="PEPCO",$J$10*'BRA Load Pricing Results'!K43/'BRA Load Pricing Results'!$K$49,0)</f>
        <v>0</v>
      </c>
      <c r="P26" s="65">
        <f t="shared" si="9"/>
        <v>0</v>
      </c>
      <c r="Q26" s="62">
        <f t="shared" si="3"/>
        <v>0</v>
      </c>
      <c r="R26" s="66">
        <f t="shared" si="4"/>
        <v>0</v>
      </c>
      <c r="S26" s="66">
        <f>R26/'BRA Load Pricing Results'!K43</f>
        <v>0</v>
      </c>
      <c r="T26" s="66">
        <f t="shared" si="5"/>
        <v>0</v>
      </c>
      <c r="U26" s="15"/>
    </row>
    <row r="27" spans="1:21" ht="12.75">
      <c r="A27" s="73" t="s">
        <v>17</v>
      </c>
      <c r="B27" s="97" t="s">
        <v>30</v>
      </c>
      <c r="C27" s="97" t="s">
        <v>41</v>
      </c>
      <c r="D27" s="97" t="s">
        <v>17</v>
      </c>
      <c r="E27" s="64">
        <f>IF(B27="MAAC",$J$5*'BRA Load Pricing Results'!K44/'BRA Load Pricing Results'!$B$16,0)</f>
        <v>0</v>
      </c>
      <c r="F27" s="65">
        <f aca="true" t="shared" si="10" ref="F27:F35">E27*$F$15</f>
        <v>0</v>
      </c>
      <c r="G27" s="64">
        <f>IF(C27="EMAAC",$J$6*'BRA Load Pricing Results'!K44/'BRA Load Pricing Results'!$B$17,0)</f>
        <v>520.528784916451</v>
      </c>
      <c r="H27" s="65">
        <f>G27*$H$15</f>
        <v>0</v>
      </c>
      <c r="I27" s="64">
        <f>IF(C27="SWMAAC",$J$7*'BRA Load Pricing Results'!K44/'BRA Load Pricing Results'!$B$18,0)</f>
        <v>0</v>
      </c>
      <c r="J27" s="65">
        <f t="shared" si="7"/>
        <v>0</v>
      </c>
      <c r="K27" s="64">
        <f>IF(D27="PS",$J$8*'BRA Load Pricing Results'!K44/'BRA Load Pricing Results'!$K$51,0)</f>
        <v>0</v>
      </c>
      <c r="L27" s="65">
        <f t="shared" si="8"/>
        <v>0</v>
      </c>
      <c r="M27" s="64">
        <f>IF(D27="DPL",$J$9*'BRA Load Pricing Results'!K44/'BRA Load Pricing Results'!$K$44,0)</f>
        <v>206.2908076018835</v>
      </c>
      <c r="N27" s="65">
        <f t="shared" si="2"/>
        <v>0</v>
      </c>
      <c r="O27" s="64">
        <f>IF(D27="PEPCO",$J$10*'BRA Load Pricing Results'!K44/'BRA Load Pricing Results'!$K$49,0)</f>
        <v>0</v>
      </c>
      <c r="P27" s="65">
        <f t="shared" si="9"/>
        <v>0</v>
      </c>
      <c r="Q27" s="62">
        <f t="shared" si="3"/>
        <v>520.528784916451</v>
      </c>
      <c r="R27" s="66">
        <f t="shared" si="4"/>
        <v>0</v>
      </c>
      <c r="S27" s="66">
        <f>R27/'BRA Load Pricing Results'!K44</f>
        <v>0</v>
      </c>
      <c r="T27" s="66">
        <f t="shared" si="5"/>
        <v>0</v>
      </c>
      <c r="U27" s="15"/>
    </row>
    <row r="28" spans="1:21" ht="12.75">
      <c r="A28" s="73" t="s">
        <v>12</v>
      </c>
      <c r="B28" s="97" t="s">
        <v>30</v>
      </c>
      <c r="C28" s="97" t="s">
        <v>41</v>
      </c>
      <c r="D28" s="97"/>
      <c r="E28" s="64">
        <f>IF(B28="MAAC",$J$5*'BRA Load Pricing Results'!K45/'BRA Load Pricing Results'!$B$16,0)</f>
        <v>0</v>
      </c>
      <c r="F28" s="65">
        <f t="shared" si="10"/>
        <v>0</v>
      </c>
      <c r="G28" s="64">
        <f>IF(C28="EMAAC",$J$6*'BRA Load Pricing Results'!K45/'BRA Load Pricing Results'!$B$17,0)</f>
        <v>825.9494599778387</v>
      </c>
      <c r="H28" s="65">
        <f>G28*$H$15</f>
        <v>0</v>
      </c>
      <c r="I28" s="64">
        <f>IF(C28="SWMAAC",$J$7*'BRA Load Pricing Results'!K45/'BRA Load Pricing Results'!$B$18,0)</f>
        <v>0</v>
      </c>
      <c r="J28" s="65">
        <f t="shared" si="7"/>
        <v>0</v>
      </c>
      <c r="K28" s="64">
        <f>IF(D28="PS",$J$8*'BRA Load Pricing Results'!K45/'BRA Load Pricing Results'!$K$51,0)</f>
        <v>0</v>
      </c>
      <c r="L28" s="65">
        <f t="shared" si="8"/>
        <v>0</v>
      </c>
      <c r="M28" s="64">
        <f>IF(D28="DPL",$J$9*'BRA Load Pricing Results'!K45/'BRA Load Pricing Results'!$K$44,0)</f>
        <v>0</v>
      </c>
      <c r="N28" s="65">
        <f t="shared" si="2"/>
        <v>0</v>
      </c>
      <c r="O28" s="64">
        <f>IF(D28="PEPCO",$J$10*'BRA Load Pricing Results'!K45/'BRA Load Pricing Results'!$K$49,0)</f>
        <v>0</v>
      </c>
      <c r="P28" s="65">
        <f t="shared" si="9"/>
        <v>0</v>
      </c>
      <c r="Q28" s="62">
        <f t="shared" si="3"/>
        <v>825.9494599778387</v>
      </c>
      <c r="R28" s="66">
        <f t="shared" si="4"/>
        <v>0</v>
      </c>
      <c r="S28" s="66">
        <f>R28/'BRA Load Pricing Results'!K45</f>
        <v>0</v>
      </c>
      <c r="T28" s="66">
        <f t="shared" si="5"/>
        <v>0</v>
      </c>
      <c r="U28" s="15"/>
    </row>
    <row r="29" spans="1:21" ht="12.75">
      <c r="A29" s="73" t="s">
        <v>13</v>
      </c>
      <c r="B29" s="97" t="s">
        <v>30</v>
      </c>
      <c r="C29" s="97"/>
      <c r="D29" s="97"/>
      <c r="E29" s="64">
        <f>IF(B29="MAAC",$J$5*'BRA Load Pricing Results'!K46/'BRA Load Pricing Results'!$B$16,0)</f>
        <v>0</v>
      </c>
      <c r="F29" s="65">
        <f t="shared" si="10"/>
        <v>0</v>
      </c>
      <c r="G29" s="64">
        <f>IF(C29="EMAAC",$J$6*'BRA Load Pricing Results'!K46/'BRA Load Pricing Results'!$B$17,0)</f>
        <v>0</v>
      </c>
      <c r="H29" s="65">
        <f t="shared" si="6"/>
        <v>0</v>
      </c>
      <c r="I29" s="64">
        <f>IF(C29="SWMAAC",$J$7*'BRA Load Pricing Results'!K46/'BRA Load Pricing Results'!$B$18,0)</f>
        <v>0</v>
      </c>
      <c r="J29" s="65">
        <f t="shared" si="7"/>
        <v>0</v>
      </c>
      <c r="K29" s="64">
        <f>IF(D29="PS",$J$8*'BRA Load Pricing Results'!K46/'BRA Load Pricing Results'!$K$51,0)</f>
        <v>0</v>
      </c>
      <c r="L29" s="65">
        <f t="shared" si="8"/>
        <v>0</v>
      </c>
      <c r="M29" s="64">
        <f>IF(D29="DPL",$J$9*'BRA Load Pricing Results'!K46/'BRA Load Pricing Results'!$K$44,0)</f>
        <v>0</v>
      </c>
      <c r="N29" s="65">
        <f t="shared" si="2"/>
        <v>0</v>
      </c>
      <c r="O29" s="64">
        <f>IF(D29="PEPCO",$J$10*'BRA Load Pricing Results'!K46/'BRA Load Pricing Results'!$K$49,0)</f>
        <v>0</v>
      </c>
      <c r="P29" s="65">
        <f t="shared" si="9"/>
        <v>0</v>
      </c>
      <c r="Q29" s="62">
        <f t="shared" si="3"/>
        <v>0</v>
      </c>
      <c r="R29" s="66">
        <f t="shared" si="4"/>
        <v>0</v>
      </c>
      <c r="S29" s="66">
        <f>R29/'BRA Load Pricing Results'!K46</f>
        <v>0</v>
      </c>
      <c r="T29" s="66">
        <f t="shared" si="5"/>
        <v>0</v>
      </c>
      <c r="U29" s="15"/>
    </row>
    <row r="30" spans="1:21" ht="12.75">
      <c r="A30" s="73" t="s">
        <v>9</v>
      </c>
      <c r="B30" s="97" t="s">
        <v>30</v>
      </c>
      <c r="C30" s="97" t="s">
        <v>41</v>
      </c>
      <c r="D30" s="97"/>
      <c r="E30" s="64">
        <f>IF(B30="MAAC",$J$5*'BRA Load Pricing Results'!K47/'BRA Load Pricing Results'!$B$16,0)</f>
        <v>0</v>
      </c>
      <c r="F30" s="65">
        <f t="shared" si="10"/>
        <v>0</v>
      </c>
      <c r="G30" s="64">
        <f>IF(C30="EMAAC",$J$6*'BRA Load Pricing Results'!K47/'BRA Load Pricing Results'!$B$17,0)</f>
        <v>1125.5598161588196</v>
      </c>
      <c r="H30" s="65">
        <f>G30*$H$15</f>
        <v>0</v>
      </c>
      <c r="I30" s="64">
        <f>IF(C30="SWMAAC",$J$7*'BRA Load Pricing Results'!K47/'BRA Load Pricing Results'!$B$18,0)</f>
        <v>0</v>
      </c>
      <c r="J30" s="65">
        <f t="shared" si="7"/>
        <v>0</v>
      </c>
      <c r="K30" s="64">
        <f>IF(D30="PS",$J$8*'BRA Load Pricing Results'!K47/'BRA Load Pricing Results'!$K$51,0)</f>
        <v>0</v>
      </c>
      <c r="L30" s="65">
        <f t="shared" si="8"/>
        <v>0</v>
      </c>
      <c r="M30" s="64">
        <f>IF(D30="DPL",$J$9*'BRA Load Pricing Results'!K47/'BRA Load Pricing Results'!$K$44,0)</f>
        <v>0</v>
      </c>
      <c r="N30" s="65">
        <f t="shared" si="2"/>
        <v>0</v>
      </c>
      <c r="O30" s="64">
        <f>IF(D30="PEPCO",$J$10*'BRA Load Pricing Results'!K47/'BRA Load Pricing Results'!$K$49,0)</f>
        <v>0</v>
      </c>
      <c r="P30" s="65">
        <f t="shared" si="9"/>
        <v>0</v>
      </c>
      <c r="Q30" s="62">
        <f t="shared" si="3"/>
        <v>1125.5598161588196</v>
      </c>
      <c r="R30" s="66">
        <f t="shared" si="4"/>
        <v>0</v>
      </c>
      <c r="S30" s="66">
        <f>R30/'BRA Load Pricing Results'!K47</f>
        <v>0</v>
      </c>
      <c r="T30" s="66">
        <f t="shared" si="5"/>
        <v>0</v>
      </c>
      <c r="U30" s="15"/>
    </row>
    <row r="31" spans="1:21" ht="12.75">
      <c r="A31" s="73" t="s">
        <v>14</v>
      </c>
      <c r="B31" s="97" t="s">
        <v>30</v>
      </c>
      <c r="C31" s="97"/>
      <c r="D31" s="97"/>
      <c r="E31" s="64">
        <f>IF(B31="MAAC",$J$5*'BRA Load Pricing Results'!K48/'BRA Load Pricing Results'!$B$16,0)</f>
        <v>0</v>
      </c>
      <c r="F31" s="65">
        <f t="shared" si="10"/>
        <v>0</v>
      </c>
      <c r="G31" s="64">
        <f>IF(C31="EMAAC",$J$6*'BRA Load Pricing Results'!K48/'BRA Load Pricing Results'!$B$17,0)</f>
        <v>0</v>
      </c>
      <c r="H31" s="65">
        <f t="shared" si="6"/>
        <v>0</v>
      </c>
      <c r="I31" s="64">
        <f>IF(C31="SWMAAC",$J$7*'BRA Load Pricing Results'!K48/'BRA Load Pricing Results'!$B$18,0)</f>
        <v>0</v>
      </c>
      <c r="J31" s="65">
        <f t="shared" si="7"/>
        <v>0</v>
      </c>
      <c r="K31" s="64">
        <f>IF(D31="PS",$J$8*'BRA Load Pricing Results'!K48/'BRA Load Pricing Results'!$K$51,0)</f>
        <v>0</v>
      </c>
      <c r="L31" s="65">
        <f t="shared" si="8"/>
        <v>0</v>
      </c>
      <c r="M31" s="64">
        <f>IF(D31="DPL",$J$9*'BRA Load Pricing Results'!K48/'BRA Load Pricing Results'!$K$44,0)</f>
        <v>0</v>
      </c>
      <c r="N31" s="65">
        <f t="shared" si="2"/>
        <v>0</v>
      </c>
      <c r="O31" s="64">
        <f>IF(D31="PEPCO",$J$10*'BRA Load Pricing Results'!K48/'BRA Load Pricing Results'!$K$49,0)</f>
        <v>0</v>
      </c>
      <c r="P31" s="65">
        <f t="shared" si="9"/>
        <v>0</v>
      </c>
      <c r="Q31" s="62">
        <f t="shared" si="3"/>
        <v>0</v>
      </c>
      <c r="R31" s="66">
        <f t="shared" si="4"/>
        <v>0</v>
      </c>
      <c r="S31" s="66">
        <f>R31/'BRA Load Pricing Results'!K48</f>
        <v>0</v>
      </c>
      <c r="T31" s="66">
        <f t="shared" si="5"/>
        <v>0</v>
      </c>
      <c r="U31" s="15"/>
    </row>
    <row r="32" spans="1:21" ht="12.75">
      <c r="A32" s="73" t="s">
        <v>15</v>
      </c>
      <c r="B32" s="97" t="s">
        <v>30</v>
      </c>
      <c r="C32" s="97" t="s">
        <v>5</v>
      </c>
      <c r="D32" s="97" t="s">
        <v>15</v>
      </c>
      <c r="E32" s="64">
        <f>IF(B32="MAAC",$J$5*'BRA Load Pricing Results'!K49/'BRA Load Pricing Results'!$B$16,0)</f>
        <v>0</v>
      </c>
      <c r="F32" s="65">
        <f t="shared" si="10"/>
        <v>0</v>
      </c>
      <c r="G32" s="64">
        <f>IF(C32="EMAAC",$J$6*'BRA Load Pricing Results'!K49/'BRA Load Pricing Results'!$B$17,0)</f>
        <v>0</v>
      </c>
      <c r="H32" s="65">
        <f t="shared" si="6"/>
        <v>0</v>
      </c>
      <c r="I32" s="64">
        <f>IF(C32="SWMAAC",$J$7*'BRA Load Pricing Results'!K49/'BRA Load Pricing Results'!$B$18,0)</f>
        <v>2126.9650857519023</v>
      </c>
      <c r="J32" s="65">
        <f t="shared" si="7"/>
        <v>0</v>
      </c>
      <c r="K32" s="64">
        <f>IF(D32="PS",$J$8*'BRA Load Pricing Results'!K49/'BRA Load Pricing Results'!$K$51,0)</f>
        <v>0</v>
      </c>
      <c r="L32" s="65">
        <f t="shared" si="8"/>
        <v>0</v>
      </c>
      <c r="M32" s="64">
        <f>IF(D32="DPL",$J$9*'BRA Load Pricing Results'!K49/'BRA Load Pricing Results'!$K$44,0)</f>
        <v>0</v>
      </c>
      <c r="N32" s="65">
        <f>M32*N15</f>
        <v>0</v>
      </c>
      <c r="O32" s="64">
        <f>IF(D32="PEPCO",$J$10*'BRA Load Pricing Results'!K49/'BRA Load Pricing Results'!$K$49,0)</f>
        <v>2031.5828900710467</v>
      </c>
      <c r="P32" s="65">
        <f>O32*$P$15</f>
        <v>0</v>
      </c>
      <c r="Q32" s="62">
        <f t="shared" si="3"/>
        <v>2126.9650857519023</v>
      </c>
      <c r="R32" s="66">
        <f t="shared" si="4"/>
        <v>0</v>
      </c>
      <c r="S32" s="66">
        <f>R32/'BRA Load Pricing Results'!K49</f>
        <v>0</v>
      </c>
      <c r="T32" s="66">
        <f t="shared" si="5"/>
        <v>0</v>
      </c>
      <c r="U32" s="15"/>
    </row>
    <row r="33" spans="1:21" ht="12.75">
      <c r="A33" s="73" t="s">
        <v>10</v>
      </c>
      <c r="B33" s="97" t="s">
        <v>30</v>
      </c>
      <c r="C33" s="97"/>
      <c r="D33" s="97"/>
      <c r="E33" s="64">
        <f>IF(B33="MAAC",$J$5*'BRA Load Pricing Results'!K50/'BRA Load Pricing Results'!$B$16,0)</f>
        <v>0</v>
      </c>
      <c r="F33" s="65">
        <f t="shared" si="10"/>
        <v>0</v>
      </c>
      <c r="G33" s="64">
        <f>IF(C33="EMAAC",$J$6*'BRA Load Pricing Results'!K50/'BRA Load Pricing Results'!$B$17,0)</f>
        <v>0</v>
      </c>
      <c r="H33" s="65">
        <f t="shared" si="6"/>
        <v>0</v>
      </c>
      <c r="I33" s="64">
        <f>IF(C33="SWMAAC",$J$7*'BRA Load Pricing Results'!K50/'BRA Load Pricing Results'!$B$18,0)</f>
        <v>0</v>
      </c>
      <c r="J33" s="65">
        <f t="shared" si="7"/>
        <v>0</v>
      </c>
      <c r="K33" s="64">
        <f>IF(D33="PS",$J$8*'BRA Load Pricing Results'!K50/'BRA Load Pricing Results'!$K$51,0)</f>
        <v>0</v>
      </c>
      <c r="L33" s="65">
        <f t="shared" si="8"/>
        <v>0</v>
      </c>
      <c r="M33" s="64">
        <f>IF(D33="DPL",$J$9*'BRA Load Pricing Results'!K50/'BRA Load Pricing Results'!$K$44,0)</f>
        <v>0</v>
      </c>
      <c r="N33" s="65">
        <f>M33*$N$15</f>
        <v>0</v>
      </c>
      <c r="O33" s="64">
        <f>IF(D33="PEPCO",$J$10*'BRA Load Pricing Results'!K50/'BRA Load Pricing Results'!$K$49,0)</f>
        <v>0</v>
      </c>
      <c r="P33" s="65">
        <f>O33*$P$15</f>
        <v>0</v>
      </c>
      <c r="Q33" s="62">
        <f t="shared" si="3"/>
        <v>0</v>
      </c>
      <c r="R33" s="66">
        <f t="shared" si="4"/>
        <v>0</v>
      </c>
      <c r="S33" s="66">
        <f>R33/'BRA Load Pricing Results'!K50</f>
        <v>0</v>
      </c>
      <c r="T33" s="66">
        <f t="shared" si="5"/>
        <v>0</v>
      </c>
      <c r="U33" s="15"/>
    </row>
    <row r="34" spans="1:21" ht="12.75">
      <c r="A34" s="73" t="s">
        <v>8</v>
      </c>
      <c r="B34" s="97" t="s">
        <v>30</v>
      </c>
      <c r="C34" s="97" t="s">
        <v>41</v>
      </c>
      <c r="D34" s="97" t="s">
        <v>8</v>
      </c>
      <c r="E34" s="64">
        <f>IF(B34="MAAC",$J$5*'BRA Load Pricing Results'!K51/'BRA Load Pricing Results'!$B$16,0)</f>
        <v>0</v>
      </c>
      <c r="F34" s="65">
        <f t="shared" si="10"/>
        <v>0</v>
      </c>
      <c r="G34" s="64">
        <f>IF(C34="EMAAC",$J$6*'BRA Load Pricing Results'!K51/'BRA Load Pricing Results'!$B$17,0)</f>
        <v>1376.919263376421</v>
      </c>
      <c r="H34" s="65">
        <f>G34*$H$15</f>
        <v>0</v>
      </c>
      <c r="I34" s="64">
        <f>IF(C34="SWMAAC",$J$7*'BRA Load Pricing Results'!K51/'BRA Load Pricing Results'!$B$18,0)</f>
        <v>0</v>
      </c>
      <c r="J34" s="65">
        <f t="shared" si="7"/>
        <v>0</v>
      </c>
      <c r="K34" s="64">
        <f>IF(D34="PS",$J$8*'BRA Load Pricing Results'!K51/'BRA Load Pricing Results'!$K$51,0)</f>
        <v>4331.099440346548</v>
      </c>
      <c r="L34" s="65">
        <f>K34*$L$15</f>
        <v>192965.38731989727</v>
      </c>
      <c r="M34" s="64">
        <f>IF(D34="DPL",$J$9*'BRA Load Pricing Results'!K51/'BRA Load Pricing Results'!$K$44,0)</f>
        <v>0</v>
      </c>
      <c r="N34" s="65">
        <f>M34*$N$15</f>
        <v>0</v>
      </c>
      <c r="O34" s="64">
        <f>IF(D34="PEPCO",$J$10*'BRA Load Pricing Results'!K51/'BRA Load Pricing Results'!$K$49,0)</f>
        <v>0</v>
      </c>
      <c r="P34" s="65">
        <f>O34*$P$15</f>
        <v>0</v>
      </c>
      <c r="Q34" s="62">
        <f t="shared" si="3"/>
        <v>4331.099440346548</v>
      </c>
      <c r="R34" s="66">
        <f t="shared" si="4"/>
        <v>192965.38731989727</v>
      </c>
      <c r="S34" s="66">
        <f>R34/'BRA Load Pricing Results'!K51</f>
        <v>15.80559801546998</v>
      </c>
      <c r="T34" s="66">
        <f t="shared" si="5"/>
        <v>44.553441909534484</v>
      </c>
      <c r="U34" s="15"/>
    </row>
    <row r="35" spans="1:21" ht="12.75">
      <c r="A35" s="73" t="s">
        <v>18</v>
      </c>
      <c r="B35" s="97" t="s">
        <v>30</v>
      </c>
      <c r="C35" s="97" t="s">
        <v>41</v>
      </c>
      <c r="D35" s="97"/>
      <c r="E35" s="64">
        <f>IF(B35="MAAC",$J$5*'BRA Load Pricing Results'!K52/'BRA Load Pricing Results'!$B$16,0)</f>
        <v>0</v>
      </c>
      <c r="F35" s="65">
        <f t="shared" si="10"/>
        <v>0</v>
      </c>
      <c r="G35" s="64">
        <f>IF(C35="EMAAC",$J$6*'BRA Load Pricing Results'!K52/'BRA Load Pricing Results'!$B$17,0)</f>
        <v>54.692784243829955</v>
      </c>
      <c r="H35" s="65">
        <f>G35*$H$15</f>
        <v>0</v>
      </c>
      <c r="I35" s="64">
        <f>IF(C35="SWMAAC",$J$7*'BRA Load Pricing Results'!K52/'BRA Load Pricing Results'!$B$18,0)</f>
        <v>0</v>
      </c>
      <c r="J35" s="65">
        <f t="shared" si="7"/>
        <v>0</v>
      </c>
      <c r="K35" s="64">
        <f>IF(D35="PS",$J$8*'BRA Load Pricing Results'!K52/'BRA Load Pricing Results'!$K$51,0)</f>
        <v>0</v>
      </c>
      <c r="L35" s="65">
        <f t="shared" si="8"/>
        <v>0</v>
      </c>
      <c r="M35" s="64">
        <f>IF(D35="DPL",$J$9*'BRA Load Pricing Results'!K52/'BRA Load Pricing Results'!$K$44,0)</f>
        <v>0</v>
      </c>
      <c r="N35" s="65">
        <f>M35*$N$15</f>
        <v>0</v>
      </c>
      <c r="O35" s="64">
        <f>IF(D35="PEPCO",$J$10*'BRA Load Pricing Results'!K52/'BRA Load Pricing Results'!$K$49,0)</f>
        <v>0</v>
      </c>
      <c r="P35" s="65">
        <f>O35*$P$15</f>
        <v>0</v>
      </c>
      <c r="Q35" s="62">
        <f t="shared" si="3"/>
        <v>54.692784243829955</v>
      </c>
      <c r="R35" s="66">
        <f t="shared" si="4"/>
        <v>0</v>
      </c>
      <c r="S35" s="66">
        <f>R35/'BRA Load Pricing Results'!K52</f>
        <v>0</v>
      </c>
      <c r="T35" s="66">
        <f t="shared" si="5"/>
        <v>0</v>
      </c>
      <c r="U35" s="15"/>
    </row>
    <row r="36" spans="1:21" ht="12.75">
      <c r="A36" s="280" t="s">
        <v>109</v>
      </c>
      <c r="B36" s="281"/>
      <c r="C36" s="281"/>
      <c r="D36" s="282"/>
      <c r="E36" s="67">
        <f aca="true" t="shared" si="11" ref="E36:L36">SUM(E17:E35)</f>
        <v>0</v>
      </c>
      <c r="F36" s="68">
        <f t="shared" si="11"/>
        <v>0</v>
      </c>
      <c r="G36" s="67">
        <f t="shared" si="11"/>
        <v>4253.911288137888</v>
      </c>
      <c r="H36" s="68">
        <f t="shared" si="11"/>
        <v>0</v>
      </c>
      <c r="I36" s="67">
        <f t="shared" si="11"/>
        <v>4378.276758135098</v>
      </c>
      <c r="J36" s="68">
        <f t="shared" si="11"/>
        <v>0</v>
      </c>
      <c r="K36" s="67">
        <f>SUM(K17:K35)</f>
        <v>4331.099440346548</v>
      </c>
      <c r="L36" s="68">
        <f t="shared" si="11"/>
        <v>192965.38731989727</v>
      </c>
      <c r="M36" s="67">
        <f>SUM(M17:M35)</f>
        <v>206.2908076018835</v>
      </c>
      <c r="N36" s="68">
        <f>SUM(N17:N35)</f>
        <v>0</v>
      </c>
      <c r="O36" s="67">
        <f>SUM(O17:O35)</f>
        <v>2031.5828900710467</v>
      </c>
      <c r="P36" s="68">
        <f>SUM(P17:P35)</f>
        <v>0</v>
      </c>
      <c r="Q36" s="62"/>
      <c r="R36" s="68">
        <f>SUM(R17:R35)</f>
        <v>192965.38731989727</v>
      </c>
      <c r="S36" s="69"/>
      <c r="T36" s="69"/>
      <c r="U36" s="29"/>
    </row>
    <row r="37" ht="12.75">
      <c r="A37" s="12" t="s">
        <v>110</v>
      </c>
    </row>
    <row r="38" ht="12.75">
      <c r="A38" s="12" t="s">
        <v>111</v>
      </c>
    </row>
    <row r="39" ht="12.75">
      <c r="A39" s="12" t="s">
        <v>112</v>
      </c>
    </row>
    <row r="40" ht="12.75">
      <c r="A40" s="12" t="s">
        <v>113</v>
      </c>
    </row>
    <row r="41" ht="12.75">
      <c r="A41" s="12" t="s">
        <v>114</v>
      </c>
    </row>
  </sheetData>
  <sheetProtection/>
  <mergeCells count="8">
    <mergeCell ref="O14:P14"/>
    <mergeCell ref="I14:J14"/>
    <mergeCell ref="A13:D15"/>
    <mergeCell ref="A36:D36"/>
    <mergeCell ref="E14:F14"/>
    <mergeCell ref="G14:H14"/>
    <mergeCell ref="K14:L14"/>
    <mergeCell ref="M14:N14"/>
  </mergeCells>
  <printOptions horizontalCentered="1" verticalCentered="1"/>
  <pageMargins left="0.25" right="0.25" top="0.25" bottom="0.25" header="0.3" footer="0.3"/>
  <pageSetup fitToHeight="1" fitToWidth="1" horizontalDpi="600" verticalDpi="600" orientation="landscape" paperSize="5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" width="23.140625" style="0" customWidth="1"/>
    <col min="3" max="3" width="22.7109375" style="0" customWidth="1"/>
    <col min="4" max="4" width="21.421875" style="0" customWidth="1"/>
    <col min="5" max="5" width="17.28125" style="0" customWidth="1"/>
    <col min="6" max="8" width="15.7109375" style="0" customWidth="1"/>
    <col min="9" max="9" width="19.57421875" style="0" customWidth="1"/>
    <col min="10" max="16" width="15.7109375" style="0" customWidth="1"/>
    <col min="17" max="17" width="9.140625" style="0" customWidth="1"/>
  </cols>
  <sheetData>
    <row r="1" ht="18.75">
      <c r="A1" s="3" t="s">
        <v>89</v>
      </c>
    </row>
    <row r="2" ht="19.5" thickBot="1">
      <c r="A2" s="3"/>
    </row>
    <row r="3" ht="13.5" thickBot="1">
      <c r="A3" s="284" t="s">
        <v>97</v>
      </c>
    </row>
    <row r="4" spans="1:16" ht="18.75" customHeight="1" thickBot="1">
      <c r="A4" s="285"/>
      <c r="B4" s="299" t="s">
        <v>30</v>
      </c>
      <c r="C4" s="300"/>
      <c r="D4" s="253" t="s">
        <v>5</v>
      </c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7" ht="15.75" customHeight="1">
      <c r="A5" s="243" t="s">
        <v>174</v>
      </c>
      <c r="B5" s="247" t="s">
        <v>172</v>
      </c>
      <c r="C5" s="191" t="s">
        <v>173</v>
      </c>
      <c r="D5" s="254" t="s">
        <v>172</v>
      </c>
      <c r="E5" s="241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42"/>
    </row>
    <row r="6" spans="1:17" ht="30" customHeight="1">
      <c r="A6" s="245" t="s">
        <v>181</v>
      </c>
      <c r="B6" s="248"/>
      <c r="C6" s="249"/>
      <c r="D6" s="255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42"/>
    </row>
    <row r="7" spans="1:17" ht="14.25">
      <c r="A7" s="244" t="s">
        <v>74</v>
      </c>
      <c r="B7" s="250">
        <v>160</v>
      </c>
      <c r="C7" s="251">
        <f>B7/$B$17*'BRA CTRs'!$G$5</f>
        <v>93.6687277023099</v>
      </c>
      <c r="D7" s="256">
        <v>0</v>
      </c>
      <c r="E7" s="140"/>
      <c r="F7" s="140"/>
      <c r="G7" s="140"/>
      <c r="H7" s="42"/>
      <c r="I7" s="140"/>
      <c r="J7" s="140"/>
      <c r="K7" s="42"/>
      <c r="L7" s="140"/>
      <c r="M7" s="140"/>
      <c r="N7" s="140"/>
      <c r="O7" s="140"/>
      <c r="P7" s="140"/>
      <c r="Q7" s="42"/>
    </row>
    <row r="8" spans="1:17" ht="14.25">
      <c r="A8" s="244" t="s">
        <v>75</v>
      </c>
      <c r="B8" s="250">
        <v>106</v>
      </c>
      <c r="C8" s="251">
        <f>B8/$B$17*'BRA CTRs'!$G$5</f>
        <v>62.055532102780305</v>
      </c>
      <c r="D8" s="256">
        <v>0</v>
      </c>
      <c r="E8" s="140"/>
      <c r="F8" s="140"/>
      <c r="G8" s="140"/>
      <c r="H8" s="42"/>
      <c r="I8" s="140"/>
      <c r="J8" s="140"/>
      <c r="K8" s="42"/>
      <c r="L8" s="140"/>
      <c r="M8" s="140"/>
      <c r="N8" s="140"/>
      <c r="O8" s="140"/>
      <c r="P8" s="140"/>
      <c r="Q8" s="42"/>
    </row>
    <row r="9" spans="1:17" ht="14.25">
      <c r="A9" s="259" t="s">
        <v>147</v>
      </c>
      <c r="B9" s="261">
        <f>SUM(B7:B8)</f>
        <v>266</v>
      </c>
      <c r="C9" s="262">
        <f>SUM(C7:C8)</f>
        <v>155.72425980509018</v>
      </c>
      <c r="D9" s="263">
        <f>SUM(D7:D8)</f>
        <v>0</v>
      </c>
      <c r="E9" s="140"/>
      <c r="F9" s="140"/>
      <c r="G9" s="140"/>
      <c r="H9" s="42"/>
      <c r="I9" s="140"/>
      <c r="J9" s="140"/>
      <c r="K9" s="42"/>
      <c r="L9" s="140"/>
      <c r="M9" s="140"/>
      <c r="N9" s="140"/>
      <c r="O9" s="140"/>
      <c r="P9" s="140"/>
      <c r="Q9" s="42"/>
    </row>
    <row r="10" spans="1:17" ht="30" customHeight="1">
      <c r="A10" s="245" t="s">
        <v>120</v>
      </c>
      <c r="B10" s="250" t="s">
        <v>24</v>
      </c>
      <c r="C10" s="251"/>
      <c r="D10" s="256"/>
      <c r="E10" s="141"/>
      <c r="F10" s="141"/>
      <c r="G10" s="142"/>
      <c r="H10" s="141"/>
      <c r="I10" s="141"/>
      <c r="J10" s="142"/>
      <c r="K10" s="141"/>
      <c r="L10" s="141"/>
      <c r="M10" s="142"/>
      <c r="N10" s="141"/>
      <c r="O10" s="141"/>
      <c r="P10" s="142"/>
      <c r="Q10" s="42"/>
    </row>
    <row r="11" spans="1:17" ht="26.25">
      <c r="A11" s="244" t="s">
        <v>73</v>
      </c>
      <c r="B11" s="250">
        <v>16</v>
      </c>
      <c r="C11" s="251">
        <f>B11/$B$17*'BRA CTRs'!$G$5</f>
        <v>9.366872770230989</v>
      </c>
      <c r="D11" s="256">
        <v>237</v>
      </c>
      <c r="E11" s="140"/>
      <c r="F11" s="141"/>
      <c r="G11" s="142"/>
      <c r="H11" s="42"/>
      <c r="I11" s="141"/>
      <c r="J11" s="142"/>
      <c r="K11" s="42"/>
      <c r="L11" s="141"/>
      <c r="M11" s="142"/>
      <c r="N11" s="141"/>
      <c r="O11" s="141"/>
      <c r="P11" s="142"/>
      <c r="Q11" s="42"/>
    </row>
    <row r="12" spans="1:17" ht="15">
      <c r="A12" s="259" t="s">
        <v>148</v>
      </c>
      <c r="B12" s="261">
        <f>SUM(B11)</f>
        <v>16</v>
      </c>
      <c r="C12" s="262">
        <f>SUM(C11)</f>
        <v>9.366872770230989</v>
      </c>
      <c r="D12" s="263">
        <f>SUM(D11)</f>
        <v>237</v>
      </c>
      <c r="E12" s="141"/>
      <c r="F12" s="141"/>
      <c r="G12" s="142"/>
      <c r="H12" s="42"/>
      <c r="I12" s="141"/>
      <c r="J12" s="142"/>
      <c r="K12" s="42"/>
      <c r="L12" s="141"/>
      <c r="M12" s="142"/>
      <c r="N12" s="141"/>
      <c r="O12" s="141"/>
      <c r="P12" s="142"/>
      <c r="Q12" s="42"/>
    </row>
    <row r="13" spans="1:17" ht="15">
      <c r="A13" s="260" t="s">
        <v>119</v>
      </c>
      <c r="B13" s="252"/>
      <c r="C13" s="251"/>
      <c r="D13" s="257"/>
      <c r="E13" s="141"/>
      <c r="F13" s="141"/>
      <c r="G13" s="142"/>
      <c r="H13" s="42"/>
      <c r="I13" s="141"/>
      <c r="J13" s="142"/>
      <c r="K13" s="42"/>
      <c r="L13" s="141"/>
      <c r="M13" s="142"/>
      <c r="N13" s="141"/>
      <c r="O13" s="141"/>
      <c r="P13" s="142"/>
      <c r="Q13" s="42"/>
    </row>
    <row r="14" spans="1:17" ht="30" customHeight="1">
      <c r="A14" s="244" t="s">
        <v>96</v>
      </c>
      <c r="B14" s="250">
        <v>159</v>
      </c>
      <c r="C14" s="251">
        <f>B14/$B$17*'BRA CTRs'!$G$5</f>
        <v>93.08329815417045</v>
      </c>
      <c r="D14" s="256">
        <v>0</v>
      </c>
      <c r="E14" s="140"/>
      <c r="F14" s="141"/>
      <c r="G14" s="142"/>
      <c r="H14" s="42"/>
      <c r="I14" s="141"/>
      <c r="J14" s="142"/>
      <c r="K14" s="42"/>
      <c r="L14" s="141"/>
      <c r="M14" s="142"/>
      <c r="N14" s="141"/>
      <c r="O14" s="141"/>
      <c r="P14" s="142"/>
      <c r="Q14" s="42"/>
    </row>
    <row r="15" spans="1:17" ht="30" customHeight="1">
      <c r="A15" s="259" t="s">
        <v>149</v>
      </c>
      <c r="B15" s="261">
        <f>SUM(B14)</f>
        <v>159</v>
      </c>
      <c r="C15" s="264">
        <f>SUM(C14)</f>
        <v>93.08329815417045</v>
      </c>
      <c r="D15" s="263">
        <f>SUM(D14)</f>
        <v>0</v>
      </c>
      <c r="E15" s="141"/>
      <c r="F15" s="141"/>
      <c r="G15" s="142"/>
      <c r="H15" s="42"/>
      <c r="I15" s="141"/>
      <c r="J15" s="142"/>
      <c r="K15" s="42"/>
      <c r="L15" s="141"/>
      <c r="M15" s="142"/>
      <c r="N15" s="141"/>
      <c r="O15" s="141"/>
      <c r="P15" s="142"/>
      <c r="Q15" s="42"/>
    </row>
    <row r="16" spans="1:17" ht="15">
      <c r="A16" s="246"/>
      <c r="B16" s="250"/>
      <c r="C16" s="251"/>
      <c r="D16" s="258"/>
      <c r="E16" s="141"/>
      <c r="F16" s="141"/>
      <c r="G16" s="142"/>
      <c r="H16" s="42"/>
      <c r="I16" s="141"/>
      <c r="J16" s="142"/>
      <c r="K16" s="42"/>
      <c r="L16" s="141"/>
      <c r="M16" s="142"/>
      <c r="N16" s="141"/>
      <c r="O16" s="141"/>
      <c r="P16" s="142"/>
      <c r="Q16" s="42"/>
    </row>
    <row r="17" spans="1:17" ht="15.75" thickBot="1">
      <c r="A17" s="259" t="s">
        <v>150</v>
      </c>
      <c r="B17" s="265">
        <f>B9+B12+B15</f>
        <v>441</v>
      </c>
      <c r="C17" s="266">
        <f>C9+C12+C15</f>
        <v>258.17443072949163</v>
      </c>
      <c r="D17" s="267">
        <f>D9+D12+D15</f>
        <v>237</v>
      </c>
      <c r="E17" s="242"/>
      <c r="F17" s="144"/>
      <c r="G17" s="140"/>
      <c r="H17" s="42"/>
      <c r="I17" s="144"/>
      <c r="J17" s="140"/>
      <c r="K17" s="42"/>
      <c r="L17" s="144"/>
      <c r="M17" s="140"/>
      <c r="N17" s="144"/>
      <c r="O17" s="144"/>
      <c r="P17" s="140"/>
      <c r="Q17" s="42"/>
    </row>
    <row r="18" spans="1:16" s="42" customFormat="1" ht="51" customHeight="1">
      <c r="A18" s="297" t="s">
        <v>182</v>
      </c>
      <c r="B18" s="298"/>
      <c r="C18" s="298"/>
      <c r="D18" s="298"/>
      <c r="E18" s="147"/>
      <c r="F18" s="147"/>
      <c r="G18" s="146"/>
      <c r="H18" s="147"/>
      <c r="I18" s="147"/>
      <c r="J18" s="146"/>
      <c r="K18" s="147"/>
      <c r="L18" s="147"/>
      <c r="M18" s="148"/>
      <c r="N18" s="147"/>
      <c r="O18" s="147"/>
      <c r="P18" s="148"/>
    </row>
    <row r="19" spans="1:16" s="42" customFormat="1" ht="15">
      <c r="A19" s="12"/>
      <c r="B19" s="145"/>
      <c r="C19" s="145"/>
      <c r="D19" s="146"/>
      <c r="E19" s="147"/>
      <c r="F19" s="147"/>
      <c r="G19" s="146"/>
      <c r="H19" s="147"/>
      <c r="I19" s="147"/>
      <c r="J19" s="146"/>
      <c r="K19" s="147"/>
      <c r="L19" s="147"/>
      <c r="M19" s="148"/>
      <c r="N19" s="147"/>
      <c r="O19" s="147"/>
      <c r="P19" s="148"/>
    </row>
    <row r="20" spans="1:16" s="42" customFormat="1" ht="15.75" thickBot="1">
      <c r="A20" s="143"/>
      <c r="B20" s="145"/>
      <c r="C20" s="145"/>
      <c r="D20" s="146"/>
      <c r="E20" s="147"/>
      <c r="F20" s="147"/>
      <c r="G20" s="146"/>
      <c r="H20" s="147"/>
      <c r="I20" s="147"/>
      <c r="J20" s="146"/>
      <c r="K20" s="147"/>
      <c r="L20" s="147"/>
      <c r="M20" s="148"/>
      <c r="N20" s="147"/>
      <c r="O20" s="147"/>
      <c r="P20" s="148"/>
    </row>
    <row r="21" spans="1:16" ht="32.25" thickBot="1">
      <c r="A21" s="152" t="s">
        <v>98</v>
      </c>
      <c r="B21" s="40"/>
      <c r="C21" s="40"/>
      <c r="D21" s="41"/>
      <c r="E21" s="147"/>
      <c r="F21" s="147"/>
      <c r="G21" s="146"/>
      <c r="H21" s="147"/>
      <c r="I21" s="147"/>
      <c r="J21" s="146"/>
      <c r="K21" s="147"/>
      <c r="L21" s="147"/>
      <c r="M21" s="148"/>
      <c r="N21" s="147"/>
      <c r="O21" s="147"/>
      <c r="P21" s="148"/>
    </row>
    <row r="22" spans="1:16" ht="26.25">
      <c r="A22" s="100" t="s">
        <v>90</v>
      </c>
      <c r="B22" s="161" t="s">
        <v>93</v>
      </c>
      <c r="C22" s="162" t="s">
        <v>91</v>
      </c>
      <c r="D22" s="149"/>
      <c r="E22" s="147"/>
      <c r="F22" s="147"/>
      <c r="G22" s="146"/>
      <c r="H22" s="147"/>
      <c r="I22" s="147"/>
      <c r="J22" s="146"/>
      <c r="K22" s="147"/>
      <c r="L22" s="147"/>
      <c r="M22" s="148"/>
      <c r="N22" s="147"/>
      <c r="O22" s="147"/>
      <c r="P22" s="148"/>
    </row>
    <row r="23" spans="1:16" ht="15">
      <c r="A23" s="55" t="s">
        <v>16</v>
      </c>
      <c r="B23" s="70">
        <v>0.0209</v>
      </c>
      <c r="C23" s="118">
        <v>0.0906</v>
      </c>
      <c r="D23" s="150"/>
      <c r="E23" s="147"/>
      <c r="F23" s="147"/>
      <c r="G23" s="146"/>
      <c r="H23" s="147"/>
      <c r="I23" s="147"/>
      <c r="J23" s="146"/>
      <c r="K23" s="147"/>
      <c r="L23" s="147"/>
      <c r="M23" s="148"/>
      <c r="N23" s="147"/>
      <c r="O23" s="147"/>
      <c r="P23" s="148"/>
    </row>
    <row r="24" spans="1:16" ht="15">
      <c r="A24" s="55" t="s">
        <v>32</v>
      </c>
      <c r="B24" s="70">
        <v>0.167</v>
      </c>
      <c r="C24" s="118">
        <v>0</v>
      </c>
      <c r="D24" s="150"/>
      <c r="E24" s="147"/>
      <c r="F24" s="147"/>
      <c r="G24" s="146"/>
      <c r="H24" s="147"/>
      <c r="I24" s="147"/>
      <c r="J24" s="146"/>
      <c r="K24" s="147"/>
      <c r="L24" s="147"/>
      <c r="M24" s="148"/>
      <c r="N24" s="147"/>
      <c r="O24" s="147"/>
      <c r="P24" s="148"/>
    </row>
    <row r="25" spans="1:16" ht="15">
      <c r="A25" s="55" t="s">
        <v>19</v>
      </c>
      <c r="B25" s="70">
        <v>0.0603</v>
      </c>
      <c r="C25" s="118">
        <v>0</v>
      </c>
      <c r="D25" s="150"/>
      <c r="E25" s="147"/>
      <c r="F25" s="147"/>
      <c r="G25" s="146"/>
      <c r="H25" s="147"/>
      <c r="I25" s="147"/>
      <c r="J25" s="146"/>
      <c r="K25" s="147"/>
      <c r="L25" s="147"/>
      <c r="M25" s="148"/>
      <c r="N25" s="147"/>
      <c r="O25" s="147"/>
      <c r="P25" s="148"/>
    </row>
    <row r="26" spans="1:4" s="42" customFormat="1" ht="12.75">
      <c r="A26" s="55" t="s">
        <v>53</v>
      </c>
      <c r="B26" s="70">
        <v>0</v>
      </c>
      <c r="C26" s="118">
        <v>0</v>
      </c>
      <c r="D26" s="150"/>
    </row>
    <row r="27" spans="1:4" s="42" customFormat="1" ht="12.75">
      <c r="A27" s="55" t="s">
        <v>11</v>
      </c>
      <c r="B27" s="70">
        <v>0.0492</v>
      </c>
      <c r="C27" s="118">
        <v>0</v>
      </c>
      <c r="D27" s="150"/>
    </row>
    <row r="28" spans="1:4" s="42" customFormat="1" ht="12.75">
      <c r="A28" s="55" t="s">
        <v>20</v>
      </c>
      <c r="B28" s="70">
        <v>0.1558</v>
      </c>
      <c r="C28" s="118">
        <v>0</v>
      </c>
      <c r="D28" s="150"/>
    </row>
    <row r="29" spans="1:16" ht="12.75">
      <c r="A29" s="55" t="s">
        <v>21</v>
      </c>
      <c r="B29" s="70">
        <v>0.0241</v>
      </c>
      <c r="C29" s="118">
        <v>0</v>
      </c>
      <c r="D29" s="150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  <row r="30" spans="1:16" ht="12.75">
      <c r="A30" s="55" t="s">
        <v>71</v>
      </c>
      <c r="B30" s="70">
        <v>0</v>
      </c>
      <c r="C30" s="118">
        <v>0</v>
      </c>
      <c r="D30" s="150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</row>
    <row r="31" spans="1:16" ht="12.75">
      <c r="A31" s="55" t="s">
        <v>52</v>
      </c>
      <c r="B31" s="70">
        <v>0.0205</v>
      </c>
      <c r="C31" s="118">
        <v>0</v>
      </c>
      <c r="D31" s="150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16" ht="12.75">
      <c r="A32" s="55" t="s">
        <v>33</v>
      </c>
      <c r="B32" s="70">
        <v>0.1361</v>
      </c>
      <c r="C32" s="118">
        <v>0</v>
      </c>
      <c r="D32" s="150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12.75">
      <c r="A33" s="55" t="s">
        <v>17</v>
      </c>
      <c r="B33" s="70">
        <v>0.0288</v>
      </c>
      <c r="C33" s="118">
        <v>0.1696</v>
      </c>
      <c r="D33" s="150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ht="12.75">
      <c r="A34" s="55" t="s">
        <v>12</v>
      </c>
      <c r="B34" s="70">
        <v>0.0456</v>
      </c>
      <c r="C34" s="118">
        <v>0.097</v>
      </c>
      <c r="D34" s="15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.75">
      <c r="A35" s="55" t="s">
        <v>13</v>
      </c>
      <c r="B35" s="70">
        <v>0.0209</v>
      </c>
      <c r="C35" s="118">
        <v>0.0148</v>
      </c>
      <c r="D35" s="150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12.75">
      <c r="A36" s="55" t="s">
        <v>9</v>
      </c>
      <c r="B36" s="70">
        <v>0.063</v>
      </c>
      <c r="C36" s="118">
        <v>0.3098</v>
      </c>
      <c r="D36" s="150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12.75">
      <c r="A37" s="55" t="s">
        <v>14</v>
      </c>
      <c r="B37" s="70">
        <v>0.0211</v>
      </c>
      <c r="C37" s="118">
        <v>0</v>
      </c>
      <c r="D37" s="150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2.75">
      <c r="A38" s="55" t="s">
        <v>15</v>
      </c>
      <c r="B38" s="70">
        <v>0.0473</v>
      </c>
      <c r="C38" s="118">
        <v>0</v>
      </c>
      <c r="D38" s="150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ht="12.75">
      <c r="A39" s="55" t="s">
        <v>10</v>
      </c>
      <c r="B39" s="70">
        <v>0.0527</v>
      </c>
      <c r="C39" s="118">
        <v>0.1651</v>
      </c>
      <c r="D39" s="150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ht="12.75">
      <c r="A40" s="55" t="s">
        <v>8</v>
      </c>
      <c r="B40" s="70">
        <v>0.0765</v>
      </c>
      <c r="C40" s="118">
        <v>0.1416</v>
      </c>
      <c r="D40" s="150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ht="12.75">
      <c r="A41" s="55" t="s">
        <v>18</v>
      </c>
      <c r="B41" s="70">
        <v>0.0031</v>
      </c>
      <c r="C41" s="118">
        <v>0.0053</v>
      </c>
      <c r="D41" s="15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4" ht="12.75">
      <c r="A42" s="55" t="s">
        <v>47</v>
      </c>
      <c r="B42" s="70">
        <v>0.0049</v>
      </c>
      <c r="C42" s="118">
        <v>0.0047</v>
      </c>
      <c r="D42" s="150"/>
    </row>
    <row r="43" spans="1:4" ht="12.75">
      <c r="A43" s="55" t="s">
        <v>58</v>
      </c>
      <c r="B43" s="70">
        <v>0.0022</v>
      </c>
      <c r="C43" s="118">
        <v>0.0015</v>
      </c>
      <c r="D43" s="150"/>
    </row>
    <row r="44" spans="1:4" ht="12.75">
      <c r="A44" s="186"/>
      <c r="B44" s="187">
        <f>SUM(B23:B43)</f>
        <v>1</v>
      </c>
      <c r="C44" s="188">
        <f>SUM(C23:C43)</f>
        <v>0.9999999999999999</v>
      </c>
      <c r="D44" s="151"/>
    </row>
    <row r="45" spans="1:4" ht="33.75" customHeight="1" thickBot="1">
      <c r="A45" s="289" t="s">
        <v>115</v>
      </c>
      <c r="B45" s="290"/>
      <c r="C45" s="291"/>
      <c r="D45" s="151"/>
    </row>
    <row r="46" spans="1:4" ht="12.75">
      <c r="A46" s="12"/>
      <c r="B46" s="151"/>
      <c r="C46" s="151"/>
      <c r="D46" s="151"/>
    </row>
    <row r="47" spans="1:4" ht="13.5" thickBot="1">
      <c r="A47" s="12"/>
      <c r="B47" s="151"/>
      <c r="C47" s="151"/>
      <c r="D47" s="151"/>
    </row>
    <row r="48" spans="1:4" ht="15.75" thickBot="1">
      <c r="A48" s="294" t="s">
        <v>95</v>
      </c>
      <c r="B48" s="145"/>
      <c r="C48" s="145"/>
      <c r="D48" s="146"/>
    </row>
    <row r="49" spans="1:9" ht="15" thickBot="1">
      <c r="A49" s="295"/>
      <c r="B49" s="286" t="s">
        <v>30</v>
      </c>
      <c r="C49" s="286"/>
      <c r="D49" s="286"/>
      <c r="E49" s="287"/>
      <c r="F49" s="288" t="s">
        <v>5</v>
      </c>
      <c r="G49" s="286"/>
      <c r="H49" s="286"/>
      <c r="I49" s="287"/>
    </row>
    <row r="50" spans="1:9" ht="22.5" customHeight="1" thickBot="1">
      <c r="A50" s="296"/>
      <c r="B50" s="292" t="s">
        <v>171</v>
      </c>
      <c r="C50" s="292"/>
      <c r="D50" s="293"/>
      <c r="E50" s="66">
        <f>'BRA Resource Clearing Results'!C6</f>
        <v>0</v>
      </c>
      <c r="F50" s="292" t="s">
        <v>171</v>
      </c>
      <c r="G50" s="292"/>
      <c r="H50" s="293"/>
      <c r="I50" s="66">
        <f>'BRA Resource Clearing Results'!C8</f>
        <v>0</v>
      </c>
    </row>
    <row r="51" spans="1:9" ht="66" customHeight="1">
      <c r="A51" s="100" t="s">
        <v>90</v>
      </c>
      <c r="B51" s="160" t="s">
        <v>151</v>
      </c>
      <c r="C51" s="160" t="s">
        <v>152</v>
      </c>
      <c r="D51" s="160" t="s">
        <v>92</v>
      </c>
      <c r="E51" s="110" t="s">
        <v>116</v>
      </c>
      <c r="F51" s="160" t="s">
        <v>151</v>
      </c>
      <c r="G51" s="160" t="s">
        <v>152</v>
      </c>
      <c r="H51" s="160" t="s">
        <v>92</v>
      </c>
      <c r="I51" s="127" t="s">
        <v>116</v>
      </c>
    </row>
    <row r="52" spans="1:9" ht="12.75">
      <c r="A52" s="55" t="s">
        <v>16</v>
      </c>
      <c r="B52" s="64">
        <f>B23*$C$9</f>
        <v>3.2546370299263847</v>
      </c>
      <c r="C52" s="64">
        <f>C23*$C$11</f>
        <v>0.8486386729829276</v>
      </c>
      <c r="D52" s="64">
        <f>B52+C52</f>
        <v>4.103275702909312</v>
      </c>
      <c r="E52" s="156">
        <f>D52*$E$50</f>
        <v>0</v>
      </c>
      <c r="F52" s="64">
        <f>B23*$D$9</f>
        <v>0</v>
      </c>
      <c r="G52" s="64">
        <f>C23*$D$12</f>
        <v>21.4722</v>
      </c>
      <c r="H52" s="64">
        <f>F52+G52</f>
        <v>21.4722</v>
      </c>
      <c r="I52" s="135">
        <f>H52*$I$50</f>
        <v>0</v>
      </c>
    </row>
    <row r="53" spans="1:9" ht="12.75">
      <c r="A53" s="55" t="s">
        <v>32</v>
      </c>
      <c r="B53" s="64">
        <f aca="true" t="shared" si="0" ref="B53:B72">B24*$C$9</f>
        <v>26.00595138745006</v>
      </c>
      <c r="C53" s="64">
        <f aca="true" t="shared" si="1" ref="C53:C72">C24*$C$11</f>
        <v>0</v>
      </c>
      <c r="D53" s="64">
        <f>B53+C53</f>
        <v>26.00595138745006</v>
      </c>
      <c r="E53" s="156">
        <f aca="true" t="shared" si="2" ref="E53:E72">D53*$E$50</f>
        <v>0</v>
      </c>
      <c r="F53" s="64">
        <f aca="true" t="shared" si="3" ref="F52:F72">B24*$D$9</f>
        <v>0</v>
      </c>
      <c r="G53" s="64">
        <f aca="true" t="shared" si="4" ref="G53:G72">C24*$D$12</f>
        <v>0</v>
      </c>
      <c r="H53" s="64">
        <f>F53+G53</f>
        <v>0</v>
      </c>
      <c r="I53" s="135">
        <f>H53*$I$50</f>
        <v>0</v>
      </c>
    </row>
    <row r="54" spans="1:9" ht="12.75">
      <c r="A54" s="55" t="s">
        <v>19</v>
      </c>
      <c r="B54" s="64">
        <f t="shared" si="0"/>
        <v>9.390172866246939</v>
      </c>
      <c r="C54" s="64">
        <f t="shared" si="1"/>
        <v>0</v>
      </c>
      <c r="D54" s="64">
        <f>B54+C54</f>
        <v>9.390172866246939</v>
      </c>
      <c r="E54" s="156">
        <f t="shared" si="2"/>
        <v>0</v>
      </c>
      <c r="F54" s="64">
        <f t="shared" si="3"/>
        <v>0</v>
      </c>
      <c r="G54" s="64">
        <f t="shared" si="4"/>
        <v>0</v>
      </c>
      <c r="H54" s="64">
        <f>F54+G54</f>
        <v>0</v>
      </c>
      <c r="I54" s="135">
        <f>H54*$I$50</f>
        <v>0</v>
      </c>
    </row>
    <row r="55" spans="1:9" ht="12.75">
      <c r="A55" s="55" t="s">
        <v>53</v>
      </c>
      <c r="B55" s="64">
        <f t="shared" si="0"/>
        <v>0</v>
      </c>
      <c r="C55" s="64">
        <f t="shared" si="1"/>
        <v>0</v>
      </c>
      <c r="D55" s="64">
        <f aca="true" t="shared" si="5" ref="D55:D72">B55+C55</f>
        <v>0</v>
      </c>
      <c r="E55" s="156">
        <f t="shared" si="2"/>
        <v>0</v>
      </c>
      <c r="F55" s="64">
        <f t="shared" si="3"/>
        <v>0</v>
      </c>
      <c r="G55" s="64">
        <f t="shared" si="4"/>
        <v>0</v>
      </c>
      <c r="H55" s="64">
        <f>F55+G55</f>
        <v>0</v>
      </c>
      <c r="I55" s="135">
        <f aca="true" t="shared" si="6" ref="I53:I72">H55*$I$50</f>
        <v>0</v>
      </c>
    </row>
    <row r="56" spans="1:9" ht="12.75">
      <c r="A56" s="55" t="s">
        <v>11</v>
      </c>
      <c r="B56" s="64">
        <f t="shared" si="0"/>
        <v>7.661633582410437</v>
      </c>
      <c r="C56" s="64">
        <f t="shared" si="1"/>
        <v>0</v>
      </c>
      <c r="D56" s="64">
        <f t="shared" si="5"/>
        <v>7.661633582410437</v>
      </c>
      <c r="E56" s="156">
        <f t="shared" si="2"/>
        <v>0</v>
      </c>
      <c r="F56" s="64">
        <f t="shared" si="3"/>
        <v>0</v>
      </c>
      <c r="G56" s="64">
        <f t="shared" si="4"/>
        <v>0</v>
      </c>
      <c r="H56" s="64">
        <f>F56+G56</f>
        <v>0</v>
      </c>
      <c r="I56" s="135">
        <f t="shared" si="6"/>
        <v>0</v>
      </c>
    </row>
    <row r="57" spans="1:9" ht="12.75">
      <c r="A57" s="55" t="s">
        <v>20</v>
      </c>
      <c r="B57" s="64">
        <f t="shared" si="0"/>
        <v>24.26183967763305</v>
      </c>
      <c r="C57" s="64">
        <f t="shared" si="1"/>
        <v>0</v>
      </c>
      <c r="D57" s="64">
        <f t="shared" si="5"/>
        <v>24.26183967763305</v>
      </c>
      <c r="E57" s="156">
        <f t="shared" si="2"/>
        <v>0</v>
      </c>
      <c r="F57" s="64">
        <f t="shared" si="3"/>
        <v>0</v>
      </c>
      <c r="G57" s="64">
        <f t="shared" si="4"/>
        <v>0</v>
      </c>
      <c r="H57" s="64">
        <f>F57+G57</f>
        <v>0</v>
      </c>
      <c r="I57" s="135">
        <f t="shared" si="6"/>
        <v>0</v>
      </c>
    </row>
    <row r="58" spans="1:9" ht="12.75">
      <c r="A58" s="55" t="s">
        <v>21</v>
      </c>
      <c r="B58" s="64">
        <f t="shared" si="0"/>
        <v>3.7529546613026734</v>
      </c>
      <c r="C58" s="64">
        <f t="shared" si="1"/>
        <v>0</v>
      </c>
      <c r="D58" s="64">
        <f t="shared" si="5"/>
        <v>3.7529546613026734</v>
      </c>
      <c r="E58" s="156">
        <f t="shared" si="2"/>
        <v>0</v>
      </c>
      <c r="F58" s="64">
        <f t="shared" si="3"/>
        <v>0</v>
      </c>
      <c r="G58" s="64">
        <f t="shared" si="4"/>
        <v>0</v>
      </c>
      <c r="H58" s="64">
        <f aca="true" t="shared" si="7" ref="H53:H72">F58+G58</f>
        <v>0</v>
      </c>
      <c r="I58" s="135">
        <f t="shared" si="6"/>
        <v>0</v>
      </c>
    </row>
    <row r="59" spans="1:9" ht="12.75">
      <c r="A59" s="55" t="s">
        <v>71</v>
      </c>
      <c r="B59" s="64">
        <f t="shared" si="0"/>
        <v>0</v>
      </c>
      <c r="C59" s="64">
        <f t="shared" si="1"/>
        <v>0</v>
      </c>
      <c r="D59" s="64">
        <f t="shared" si="5"/>
        <v>0</v>
      </c>
      <c r="E59" s="156">
        <f t="shared" si="2"/>
        <v>0</v>
      </c>
      <c r="F59" s="64">
        <f t="shared" si="3"/>
        <v>0</v>
      </c>
      <c r="G59" s="64">
        <f t="shared" si="4"/>
        <v>0</v>
      </c>
      <c r="H59" s="64">
        <f t="shared" si="7"/>
        <v>0</v>
      </c>
      <c r="I59" s="135">
        <f t="shared" si="6"/>
        <v>0</v>
      </c>
    </row>
    <row r="60" spans="1:9" ht="12.75">
      <c r="A60" s="55" t="s">
        <v>52</v>
      </c>
      <c r="B60" s="64">
        <f t="shared" si="0"/>
        <v>3.192347326004349</v>
      </c>
      <c r="C60" s="64">
        <f t="shared" si="1"/>
        <v>0</v>
      </c>
      <c r="D60" s="64">
        <f t="shared" si="5"/>
        <v>3.192347326004349</v>
      </c>
      <c r="E60" s="156">
        <f t="shared" si="2"/>
        <v>0</v>
      </c>
      <c r="F60" s="64">
        <f t="shared" si="3"/>
        <v>0</v>
      </c>
      <c r="G60" s="64">
        <f t="shared" si="4"/>
        <v>0</v>
      </c>
      <c r="H60" s="64">
        <f t="shared" si="7"/>
        <v>0</v>
      </c>
      <c r="I60" s="135">
        <f t="shared" si="6"/>
        <v>0</v>
      </c>
    </row>
    <row r="61" spans="1:9" ht="12.75">
      <c r="A61" s="55" t="s">
        <v>33</v>
      </c>
      <c r="B61" s="64">
        <f t="shared" si="0"/>
        <v>21.194071759472774</v>
      </c>
      <c r="C61" s="64">
        <f t="shared" si="1"/>
        <v>0</v>
      </c>
      <c r="D61" s="64">
        <f t="shared" si="5"/>
        <v>21.194071759472774</v>
      </c>
      <c r="E61" s="156">
        <f t="shared" si="2"/>
        <v>0</v>
      </c>
      <c r="F61" s="64">
        <f t="shared" si="3"/>
        <v>0</v>
      </c>
      <c r="G61" s="64">
        <f t="shared" si="4"/>
        <v>0</v>
      </c>
      <c r="H61" s="64">
        <f t="shared" si="7"/>
        <v>0</v>
      </c>
      <c r="I61" s="135">
        <f t="shared" si="6"/>
        <v>0</v>
      </c>
    </row>
    <row r="62" spans="1:9" ht="12.75">
      <c r="A62" s="55" t="s">
        <v>17</v>
      </c>
      <c r="B62" s="64">
        <f t="shared" si="0"/>
        <v>4.484858682386597</v>
      </c>
      <c r="C62" s="64">
        <f t="shared" si="1"/>
        <v>1.5886216218311757</v>
      </c>
      <c r="D62" s="64">
        <f t="shared" si="5"/>
        <v>6.073480304217773</v>
      </c>
      <c r="E62" s="156">
        <f t="shared" si="2"/>
        <v>0</v>
      </c>
      <c r="F62" s="64">
        <f t="shared" si="3"/>
        <v>0</v>
      </c>
      <c r="G62" s="64">
        <f t="shared" si="4"/>
        <v>40.1952</v>
      </c>
      <c r="H62" s="64">
        <f t="shared" si="7"/>
        <v>40.1952</v>
      </c>
      <c r="I62" s="135">
        <f t="shared" si="6"/>
        <v>0</v>
      </c>
    </row>
    <row r="63" spans="1:9" ht="12.75">
      <c r="A63" s="55" t="s">
        <v>12</v>
      </c>
      <c r="B63" s="64">
        <f t="shared" si="0"/>
        <v>7.101026247112113</v>
      </c>
      <c r="C63" s="64">
        <f t="shared" si="1"/>
        <v>0.908586658712406</v>
      </c>
      <c r="D63" s="64">
        <f t="shared" si="5"/>
        <v>8.009612905824518</v>
      </c>
      <c r="E63" s="156">
        <f t="shared" si="2"/>
        <v>0</v>
      </c>
      <c r="F63" s="64">
        <f t="shared" si="3"/>
        <v>0</v>
      </c>
      <c r="G63" s="64">
        <f t="shared" si="4"/>
        <v>22.989</v>
      </c>
      <c r="H63" s="64">
        <f t="shared" si="7"/>
        <v>22.989</v>
      </c>
      <c r="I63" s="135">
        <f t="shared" si="6"/>
        <v>0</v>
      </c>
    </row>
    <row r="64" spans="1:9" ht="12.75">
      <c r="A64" s="55" t="s">
        <v>13</v>
      </c>
      <c r="B64" s="64">
        <f t="shared" si="0"/>
        <v>3.2546370299263847</v>
      </c>
      <c r="C64" s="64">
        <f t="shared" si="1"/>
        <v>0.13862971699941865</v>
      </c>
      <c r="D64" s="64">
        <f t="shared" si="5"/>
        <v>3.3932667469258035</v>
      </c>
      <c r="E64" s="156">
        <f t="shared" si="2"/>
        <v>0</v>
      </c>
      <c r="F64" s="64">
        <f t="shared" si="3"/>
        <v>0</v>
      </c>
      <c r="G64" s="64">
        <f t="shared" si="4"/>
        <v>3.5076</v>
      </c>
      <c r="H64" s="64">
        <f t="shared" si="7"/>
        <v>3.5076</v>
      </c>
      <c r="I64" s="135">
        <f t="shared" si="6"/>
        <v>0</v>
      </c>
    </row>
    <row r="65" spans="1:9" ht="12.75">
      <c r="A65" s="55" t="s">
        <v>9</v>
      </c>
      <c r="B65" s="64">
        <f t="shared" si="0"/>
        <v>9.810628367720682</v>
      </c>
      <c r="C65" s="64">
        <f t="shared" si="1"/>
        <v>2.9018571842175604</v>
      </c>
      <c r="D65" s="64">
        <f t="shared" si="5"/>
        <v>12.712485551938242</v>
      </c>
      <c r="E65" s="156">
        <f t="shared" si="2"/>
        <v>0</v>
      </c>
      <c r="F65" s="64">
        <f t="shared" si="3"/>
        <v>0</v>
      </c>
      <c r="G65" s="64">
        <f t="shared" si="4"/>
        <v>73.4226</v>
      </c>
      <c r="H65" s="64">
        <f t="shared" si="7"/>
        <v>73.4226</v>
      </c>
      <c r="I65" s="135">
        <f t="shared" si="6"/>
        <v>0</v>
      </c>
    </row>
    <row r="66" spans="1:9" ht="12.75">
      <c r="A66" s="55" t="s">
        <v>14</v>
      </c>
      <c r="B66" s="64">
        <f t="shared" si="0"/>
        <v>3.285781881887403</v>
      </c>
      <c r="C66" s="64">
        <f t="shared" si="1"/>
        <v>0</v>
      </c>
      <c r="D66" s="64">
        <f t="shared" si="5"/>
        <v>3.285781881887403</v>
      </c>
      <c r="E66" s="156">
        <f t="shared" si="2"/>
        <v>0</v>
      </c>
      <c r="F66" s="64">
        <f t="shared" si="3"/>
        <v>0</v>
      </c>
      <c r="G66" s="64">
        <f t="shared" si="4"/>
        <v>0</v>
      </c>
      <c r="H66" s="64">
        <f t="shared" si="7"/>
        <v>0</v>
      </c>
      <c r="I66" s="135">
        <f t="shared" si="6"/>
        <v>0</v>
      </c>
    </row>
    <row r="67" spans="1:9" ht="12.75">
      <c r="A67" s="55" t="s">
        <v>15</v>
      </c>
      <c r="B67" s="64">
        <f t="shared" si="0"/>
        <v>7.365757488780766</v>
      </c>
      <c r="C67" s="64">
        <f t="shared" si="1"/>
        <v>0</v>
      </c>
      <c r="D67" s="64">
        <f t="shared" si="5"/>
        <v>7.365757488780766</v>
      </c>
      <c r="E67" s="156">
        <f t="shared" si="2"/>
        <v>0</v>
      </c>
      <c r="F67" s="64">
        <f t="shared" si="3"/>
        <v>0</v>
      </c>
      <c r="G67" s="64">
        <f t="shared" si="4"/>
        <v>0</v>
      </c>
      <c r="H67" s="64">
        <f t="shared" si="7"/>
        <v>0</v>
      </c>
      <c r="I67" s="135">
        <f t="shared" si="6"/>
        <v>0</v>
      </c>
    </row>
    <row r="68" spans="1:9" ht="12.75">
      <c r="A68" s="55" t="s">
        <v>10</v>
      </c>
      <c r="B68" s="64">
        <f t="shared" si="0"/>
        <v>8.206668491728252</v>
      </c>
      <c r="C68" s="64">
        <f t="shared" si="1"/>
        <v>1.5464706943651363</v>
      </c>
      <c r="D68" s="64">
        <f t="shared" si="5"/>
        <v>9.753139186093389</v>
      </c>
      <c r="E68" s="156">
        <f t="shared" si="2"/>
        <v>0</v>
      </c>
      <c r="F68" s="64">
        <f t="shared" si="3"/>
        <v>0</v>
      </c>
      <c r="G68" s="64">
        <f t="shared" si="4"/>
        <v>39.1287</v>
      </c>
      <c r="H68" s="64">
        <f t="shared" si="7"/>
        <v>39.1287</v>
      </c>
      <c r="I68" s="135">
        <f t="shared" si="6"/>
        <v>0</v>
      </c>
    </row>
    <row r="69" spans="1:9" ht="12.75">
      <c r="A69" s="55" t="s">
        <v>8</v>
      </c>
      <c r="B69" s="64">
        <f t="shared" si="0"/>
        <v>11.912905875089399</v>
      </c>
      <c r="C69" s="64">
        <f t="shared" si="1"/>
        <v>1.3263491842647082</v>
      </c>
      <c r="D69" s="64">
        <f t="shared" si="5"/>
        <v>13.239255059354107</v>
      </c>
      <c r="E69" s="156">
        <f t="shared" si="2"/>
        <v>0</v>
      </c>
      <c r="F69" s="64">
        <f t="shared" si="3"/>
        <v>0</v>
      </c>
      <c r="G69" s="64">
        <f t="shared" si="4"/>
        <v>33.559200000000004</v>
      </c>
      <c r="H69" s="64">
        <f t="shared" si="7"/>
        <v>33.559200000000004</v>
      </c>
      <c r="I69" s="135">
        <f t="shared" si="6"/>
        <v>0</v>
      </c>
    </row>
    <row r="70" spans="1:9" ht="12.75">
      <c r="A70" s="55" t="s">
        <v>18</v>
      </c>
      <c r="B70" s="64">
        <f t="shared" si="0"/>
        <v>0.48274520539577953</v>
      </c>
      <c r="C70" s="64">
        <f t="shared" si="1"/>
        <v>0.04964442568222424</v>
      </c>
      <c r="D70" s="64">
        <f t="shared" si="5"/>
        <v>0.5323896310780037</v>
      </c>
      <c r="E70" s="156">
        <f t="shared" si="2"/>
        <v>0</v>
      </c>
      <c r="F70" s="64">
        <f t="shared" si="3"/>
        <v>0</v>
      </c>
      <c r="G70" s="64">
        <f t="shared" si="4"/>
        <v>1.2561</v>
      </c>
      <c r="H70" s="64">
        <f t="shared" si="7"/>
        <v>1.2561</v>
      </c>
      <c r="I70" s="135">
        <f t="shared" si="6"/>
        <v>0</v>
      </c>
    </row>
    <row r="71" spans="1:9" ht="12.75">
      <c r="A71" s="55" t="s">
        <v>47</v>
      </c>
      <c r="B71" s="64">
        <f t="shared" si="0"/>
        <v>0.7630488730449418</v>
      </c>
      <c r="C71" s="64">
        <f t="shared" si="1"/>
        <v>0.04402430202008565</v>
      </c>
      <c r="D71" s="64">
        <f t="shared" si="5"/>
        <v>0.8070731750650275</v>
      </c>
      <c r="E71" s="156">
        <f t="shared" si="2"/>
        <v>0</v>
      </c>
      <c r="F71" s="64">
        <f t="shared" si="3"/>
        <v>0</v>
      </c>
      <c r="G71" s="64">
        <f t="shared" si="4"/>
        <v>1.1139000000000001</v>
      </c>
      <c r="H71" s="64">
        <f t="shared" si="7"/>
        <v>1.1139000000000001</v>
      </c>
      <c r="I71" s="135">
        <f t="shared" si="6"/>
        <v>0</v>
      </c>
    </row>
    <row r="72" spans="1:9" ht="12.75">
      <c r="A72" s="55" t="s">
        <v>58</v>
      </c>
      <c r="B72" s="64">
        <f t="shared" si="0"/>
        <v>0.3425933715711984</v>
      </c>
      <c r="C72" s="64">
        <f t="shared" si="1"/>
        <v>0.014050309155346484</v>
      </c>
      <c r="D72" s="64">
        <f t="shared" si="5"/>
        <v>0.3566436807265449</v>
      </c>
      <c r="E72" s="156">
        <f t="shared" si="2"/>
        <v>0</v>
      </c>
      <c r="F72" s="64">
        <f t="shared" si="3"/>
        <v>0</v>
      </c>
      <c r="G72" s="64">
        <f>C43*$D$12</f>
        <v>0.3555</v>
      </c>
      <c r="H72" s="64">
        <f t="shared" si="7"/>
        <v>0.3555</v>
      </c>
      <c r="I72" s="135">
        <f t="shared" si="6"/>
        <v>0</v>
      </c>
    </row>
    <row r="73" spans="1:9" ht="13.5" thickBot="1">
      <c r="A73" s="190" t="s">
        <v>59</v>
      </c>
      <c r="B73" s="113">
        <f aca="true" t="shared" si="8" ref="B73:I73">SUM(B52:B72)</f>
        <v>155.7242598050902</v>
      </c>
      <c r="C73" s="113">
        <f>SUM(C52:C72)</f>
        <v>9.366872770230989</v>
      </c>
      <c r="D73" s="113">
        <f t="shared" si="8"/>
        <v>165.09113257532113</v>
      </c>
      <c r="E73" s="157">
        <f t="shared" si="8"/>
        <v>0</v>
      </c>
      <c r="F73" s="113">
        <f t="shared" si="8"/>
        <v>0</v>
      </c>
      <c r="G73" s="113">
        <f t="shared" si="8"/>
        <v>237.00000000000003</v>
      </c>
      <c r="H73" s="113">
        <f t="shared" si="8"/>
        <v>237.00000000000003</v>
      </c>
      <c r="I73" s="137">
        <f>SUM(I52:I72)</f>
        <v>0</v>
      </c>
    </row>
    <row r="74" spans="1:9" ht="12.75">
      <c r="A74" s="189" t="s">
        <v>110</v>
      </c>
      <c r="B74" s="25"/>
      <c r="C74" s="25"/>
      <c r="D74" s="25"/>
      <c r="E74" s="9"/>
      <c r="F74" s="25"/>
      <c r="G74" s="25"/>
      <c r="H74" s="25"/>
      <c r="I74" s="9"/>
    </row>
    <row r="75" spans="1:10" ht="15">
      <c r="A75" s="60" t="s">
        <v>117</v>
      </c>
      <c r="B75" s="145"/>
      <c r="C75" s="145"/>
      <c r="D75" s="146"/>
      <c r="J75" s="154"/>
    </row>
    <row r="76" spans="1:4" ht="15">
      <c r="A76" s="60" t="s">
        <v>121</v>
      </c>
      <c r="B76" s="145"/>
      <c r="C76" s="145"/>
      <c r="D76" s="146"/>
    </row>
    <row r="77" ht="13.5" thickBot="1"/>
    <row r="78" spans="1:2" ht="13.5" thickBot="1">
      <c r="A78" s="163" t="s">
        <v>99</v>
      </c>
      <c r="B78" s="6"/>
    </row>
    <row r="79" spans="1:4" ht="38.25">
      <c r="A79" s="164" t="s">
        <v>3</v>
      </c>
      <c r="B79" s="158" t="s">
        <v>122</v>
      </c>
      <c r="C79" s="159" t="s">
        <v>134</v>
      </c>
      <c r="D79" s="79"/>
    </row>
    <row r="80" spans="1:3" ht="12.75">
      <c r="A80" s="55" t="s">
        <v>30</v>
      </c>
      <c r="B80" s="155">
        <f>B15*E50</f>
        <v>0</v>
      </c>
      <c r="C80" s="165">
        <f>(C9+C12)*E50</f>
        <v>0</v>
      </c>
    </row>
    <row r="81" spans="1:3" ht="12.75">
      <c r="A81" s="55" t="s">
        <v>5</v>
      </c>
      <c r="B81" s="155">
        <f>D15*I50</f>
        <v>0</v>
      </c>
      <c r="C81" s="165">
        <f>(D9+D12)*I50</f>
        <v>0</v>
      </c>
    </row>
    <row r="82" spans="1:3" ht="13.5" thickBot="1">
      <c r="A82" s="128" t="s">
        <v>59</v>
      </c>
      <c r="B82" s="166">
        <f>SUM(B80:B81)</f>
        <v>0</v>
      </c>
      <c r="C82" s="167">
        <f>SUM(C80:C81)</f>
        <v>0</v>
      </c>
    </row>
  </sheetData>
  <sheetProtection/>
  <mergeCells count="9">
    <mergeCell ref="A3:A4"/>
    <mergeCell ref="B49:E49"/>
    <mergeCell ref="F49:I49"/>
    <mergeCell ref="A45:C45"/>
    <mergeCell ref="B50:D50"/>
    <mergeCell ref="F50:H50"/>
    <mergeCell ref="A48:A50"/>
    <mergeCell ref="A18:D18"/>
    <mergeCell ref="B4:C4"/>
  </mergeCells>
  <printOptions gridLines="1" horizontalCentered="1" verticalCentered="1"/>
  <pageMargins left="0.25" right="0.25" top="0.25" bottom="0.25" header="0.3" footer="0.3"/>
  <pageSetup fitToHeight="1" fitToWidth="1" horizontalDpi="600" verticalDpi="600" orientation="landscape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Murty Bhavaraju</cp:lastModifiedBy>
  <cp:lastPrinted>2011-05-11T18:57:46Z</cp:lastPrinted>
  <dcterms:created xsi:type="dcterms:W3CDTF">2007-03-21T19:37:11Z</dcterms:created>
  <dcterms:modified xsi:type="dcterms:W3CDTF">2011-05-12T22:55:34Z</dcterms:modified>
  <cp:category/>
  <cp:version/>
  <cp:contentType/>
  <cp:contentStatus/>
</cp:coreProperties>
</file>