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tabRatio="591"/>
  </bookViews>
  <sheets>
    <sheet name="January 2023" sheetId="2" r:id="rId1"/>
    <sheet name="TEC_Rates" sheetId="3" r:id="rId2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C1155" i="2" l="1"/>
  <c r="C1095" i="2"/>
  <c r="C1097" i="2"/>
  <c r="C1099" i="2"/>
  <c r="C1101" i="2"/>
  <c r="C1103" i="2"/>
  <c r="C1105" i="2"/>
  <c r="C1107" i="2"/>
  <c r="C1109" i="2"/>
  <c r="C1111" i="2"/>
  <c r="C1113" i="2"/>
  <c r="C1115" i="2"/>
  <c r="C1117" i="2"/>
  <c r="C1119" i="2"/>
  <c r="C1121" i="2"/>
  <c r="C1123" i="2"/>
  <c r="C1125" i="2"/>
  <c r="C1127" i="2"/>
  <c r="C1129" i="2"/>
  <c r="C1131" i="2"/>
  <c r="C1133" i="2"/>
  <c r="C1135" i="2"/>
  <c r="C1137" i="2"/>
  <c r="C1139" i="2"/>
  <c r="C1141" i="2"/>
  <c r="C1143" i="2"/>
  <c r="C1145" i="2"/>
  <c r="C1147" i="2"/>
  <c r="C1149" i="2"/>
  <c r="C1151" i="2"/>
  <c r="C1153" i="2"/>
  <c r="C1093" i="2"/>
  <c r="C1017" i="2"/>
  <c r="C1001" i="2"/>
  <c r="C997" i="2"/>
  <c r="C999" i="2"/>
  <c r="C995" i="2"/>
  <c r="C987" i="2"/>
  <c r="C977" i="2"/>
  <c r="C979" i="2"/>
  <c r="C981" i="2"/>
  <c r="C983" i="2"/>
  <c r="C985" i="2"/>
  <c r="C975" i="2"/>
  <c r="C967" i="2"/>
  <c r="C929" i="2"/>
  <c r="C931" i="2"/>
  <c r="C933" i="2"/>
  <c r="C935" i="2"/>
  <c r="C937" i="2"/>
  <c r="C939" i="2"/>
  <c r="C941" i="2"/>
  <c r="C943" i="2"/>
  <c r="C945" i="2"/>
  <c r="C947" i="2"/>
  <c r="C949" i="2"/>
  <c r="C951" i="2"/>
  <c r="C953" i="2"/>
  <c r="C955" i="2"/>
  <c r="C957" i="2"/>
  <c r="C959" i="2"/>
  <c r="C961" i="2"/>
  <c r="C963" i="2"/>
  <c r="C965" i="2"/>
  <c r="C927" i="2"/>
  <c r="C919" i="2"/>
  <c r="C905" i="2"/>
  <c r="C907" i="2"/>
  <c r="C909" i="2"/>
  <c r="C911" i="2"/>
  <c r="C913" i="2"/>
  <c r="C915" i="2"/>
  <c r="C917" i="2"/>
  <c r="C903" i="2"/>
  <c r="C893" i="2"/>
  <c r="C877" i="2"/>
  <c r="C875" i="2"/>
  <c r="C873" i="2"/>
  <c r="C879" i="2"/>
  <c r="C881" i="2"/>
  <c r="C883" i="2"/>
  <c r="C885" i="2"/>
  <c r="C887" i="2"/>
  <c r="C889" i="2"/>
  <c r="C891" i="2"/>
  <c r="C713" i="2"/>
  <c r="C673" i="2"/>
  <c r="C675" i="2"/>
  <c r="C677" i="2"/>
  <c r="C679" i="2"/>
  <c r="C681" i="2"/>
  <c r="C683" i="2"/>
  <c r="C685" i="2"/>
  <c r="C687" i="2"/>
  <c r="C689" i="2"/>
  <c r="C691" i="2"/>
  <c r="C693" i="2"/>
  <c r="C695" i="2"/>
  <c r="C697" i="2"/>
  <c r="C699" i="2"/>
  <c r="C701" i="2"/>
  <c r="C703" i="2"/>
  <c r="C705" i="2"/>
  <c r="C707" i="2"/>
  <c r="C709" i="2"/>
  <c r="C711" i="2"/>
  <c r="C671" i="2"/>
  <c r="C178" i="2"/>
  <c r="D178" i="2"/>
  <c r="C1298" i="2" l="1"/>
  <c r="B1298" i="2"/>
  <c r="B1278" i="2"/>
  <c r="B1276" i="2"/>
  <c r="B1272" i="2"/>
  <c r="B1270" i="2"/>
  <c r="B1268" i="2"/>
  <c r="B1266" i="2"/>
  <c r="B1258" i="2"/>
  <c r="B1256" i="2"/>
  <c r="C460" i="2" l="1"/>
  <c r="B460" i="2" l="1"/>
  <c r="B446" i="2"/>
  <c r="C462" i="2" l="1"/>
  <c r="C312" i="2" l="1"/>
  <c r="C234" i="2"/>
  <c r="C404" i="2"/>
  <c r="C336" i="2"/>
  <c r="B432" i="2" l="1"/>
  <c r="C432" i="2" s="1"/>
  <c r="B434" i="2"/>
  <c r="C440" i="2"/>
  <c r="C442" i="2"/>
  <c r="B442" i="2"/>
  <c r="B440" i="2"/>
  <c r="C434" i="2"/>
  <c r="C430" i="2"/>
  <c r="C428" i="2"/>
  <c r="C248" i="2"/>
  <c r="C424" i="2" l="1"/>
  <c r="C276" i="2"/>
  <c r="C274" i="2"/>
  <c r="C272" i="2"/>
  <c r="B276" i="2"/>
  <c r="B274" i="2"/>
  <c r="C426" i="2"/>
  <c r="B426" i="2"/>
  <c r="B424" i="2"/>
  <c r="C420" i="2"/>
  <c r="C418" i="2"/>
  <c r="B420" i="2"/>
  <c r="B418" i="2"/>
  <c r="C400" i="2"/>
  <c r="C398" i="2"/>
  <c r="B398" i="2"/>
  <c r="B400" i="2"/>
  <c r="C422" i="2"/>
  <c r="C416" i="2"/>
  <c r="C414" i="2"/>
  <c r="B416" i="2"/>
  <c r="B414" i="2"/>
  <c r="C410" i="2"/>
  <c r="C408" i="2"/>
  <c r="B410" i="2"/>
  <c r="B408" i="2"/>
  <c r="C378" i="2"/>
  <c r="C380" i="2"/>
  <c r="B378" i="2"/>
  <c r="B380" i="2"/>
  <c r="C392" i="2"/>
  <c r="C390" i="2"/>
  <c r="B392" i="2"/>
  <c r="B390" i="2"/>
  <c r="C344" i="2"/>
  <c r="C366" i="2"/>
  <c r="C376" i="2"/>
  <c r="C364" i="2"/>
  <c r="C350" i="2"/>
  <c r="C352" i="2"/>
  <c r="B352" i="2"/>
  <c r="B350" i="2"/>
  <c r="C362" i="2"/>
  <c r="C348" i="2"/>
  <c r="C346" i="2"/>
  <c r="B348" i="2"/>
  <c r="B346" i="2"/>
  <c r="C406" i="2"/>
  <c r="C402" i="2"/>
  <c r="C386" i="2"/>
  <c r="C396" i="2"/>
  <c r="C394" i="2"/>
  <c r="C356" i="2"/>
  <c r="C354" i="2"/>
  <c r="B356" i="2"/>
  <c r="B354" i="2"/>
  <c r="C384" i="2"/>
  <c r="C382" i="2"/>
  <c r="B384" i="2"/>
  <c r="B382" i="2"/>
  <c r="C338" i="2"/>
  <c r="B338" i="2"/>
  <c r="B336" i="2"/>
  <c r="C330" i="2"/>
  <c r="C328" i="2"/>
  <c r="B330" i="2"/>
  <c r="B328" i="2"/>
  <c r="C334" i="2"/>
  <c r="C332" i="2"/>
  <c r="B334" i="2"/>
  <c r="B332" i="2"/>
  <c r="C326" i="2"/>
  <c r="C324" i="2"/>
  <c r="B326" i="2"/>
  <c r="B324" i="2"/>
  <c r="C370" i="2"/>
  <c r="C368" i="2"/>
  <c r="B368" i="2"/>
  <c r="C360" i="2"/>
  <c r="B360" i="2"/>
  <c r="C388" i="2"/>
  <c r="C374" i="2"/>
  <c r="C372" i="2"/>
  <c r="B374" i="2"/>
  <c r="B372" i="2"/>
  <c r="C310" i="2"/>
  <c r="C308" i="2"/>
  <c r="B310" i="2"/>
  <c r="B308" i="2"/>
  <c r="C306" i="2"/>
  <c r="C304" i="2"/>
  <c r="B306" i="2"/>
  <c r="B304" i="2"/>
  <c r="C302" i="2"/>
  <c r="C300" i="2"/>
  <c r="B302" i="2"/>
  <c r="B300" i="2"/>
  <c r="C298" i="2"/>
  <c r="C296" i="2"/>
  <c r="B298" i="2"/>
  <c r="B296" i="2"/>
  <c r="C294" i="2"/>
  <c r="C342" i="2"/>
  <c r="C340" i="2"/>
  <c r="C282" i="2"/>
  <c r="C280" i="2"/>
  <c r="B282" i="2"/>
  <c r="B280" i="2"/>
  <c r="C358" i="2"/>
  <c r="C318" i="2"/>
  <c r="C292" i="2"/>
  <c r="C316" i="2"/>
  <c r="C314" i="2"/>
  <c r="B316" i="2"/>
  <c r="B314" i="2"/>
  <c r="C266" i="2"/>
  <c r="C268" i="2"/>
  <c r="B268" i="2"/>
  <c r="B266" i="2"/>
  <c r="C290" i="2"/>
  <c r="C288" i="2"/>
  <c r="B290" i="2"/>
  <c r="B288" i="2"/>
  <c r="C244" i="2"/>
  <c r="C322" i="2"/>
  <c r="C320" i="2"/>
  <c r="B322" i="2"/>
  <c r="B320" i="2"/>
  <c r="C278" i="2"/>
  <c r="C286" i="2"/>
  <c r="C284" i="2"/>
  <c r="B286" i="2"/>
  <c r="B284" i="2"/>
  <c r="C254" i="2"/>
  <c r="C258" i="2"/>
  <c r="C264" i="2"/>
  <c r="C262" i="2"/>
  <c r="C260" i="2"/>
  <c r="C230" i="2"/>
  <c r="C246" i="2"/>
  <c r="C242" i="2"/>
  <c r="C240" i="2"/>
  <c r="B242" i="2"/>
  <c r="B240" i="2"/>
  <c r="C238" i="2"/>
  <c r="C236" i="2"/>
  <c r="B238" i="2"/>
  <c r="B236" i="2"/>
  <c r="C232" i="2"/>
  <c r="B234" i="2"/>
  <c r="B232" i="2"/>
  <c r="C270" i="2"/>
  <c r="C252" i="2"/>
  <c r="C250" i="2"/>
  <c r="B252" i="2"/>
  <c r="B250" i="2"/>
  <c r="C256" i="2"/>
  <c r="C228" i="2"/>
  <c r="C226" i="2"/>
  <c r="C224" i="2"/>
  <c r="B226" i="2"/>
  <c r="B224" i="2"/>
  <c r="C222" i="2"/>
  <c r="C220" i="2"/>
  <c r="B222" i="2"/>
  <c r="B220" i="2"/>
  <c r="B461" i="2" l="1"/>
  <c r="C1238" i="2" l="1"/>
  <c r="C412" i="2" l="1"/>
  <c r="C436" i="2"/>
  <c r="C438" i="2"/>
  <c r="C444" i="2"/>
  <c r="C446" i="2"/>
  <c r="C461" i="2" s="1"/>
  <c r="C448" i="2"/>
  <c r="C450" i="2"/>
  <c r="C452" i="2"/>
  <c r="C454" i="2"/>
  <c r="C456" i="2"/>
  <c r="C458" i="2"/>
  <c r="L865" i="2"/>
  <c r="D865" i="2"/>
  <c r="C865" i="2"/>
  <c r="B865" i="2"/>
  <c r="F663" i="2"/>
  <c r="D663" i="2"/>
  <c r="B452" i="2" l="1"/>
  <c r="B450" i="2"/>
  <c r="Y453" i="2"/>
  <c r="U453" i="2"/>
  <c r="M453" i="2"/>
  <c r="I453" i="2"/>
  <c r="E453" i="2"/>
  <c r="AB453" i="2"/>
  <c r="B456" i="2"/>
  <c r="B454" i="2"/>
  <c r="Y457" i="2"/>
  <c r="Q457" i="2"/>
  <c r="I457" i="2"/>
  <c r="AB457" i="2"/>
  <c r="Z455" i="2"/>
  <c r="B448" i="2"/>
  <c r="B430" i="2"/>
  <c r="B428" i="2"/>
  <c r="B438" i="2"/>
  <c r="B436" i="2"/>
  <c r="F263" i="2"/>
  <c r="Q453" i="2" l="1"/>
  <c r="F453" i="2"/>
  <c r="J453" i="2"/>
  <c r="N453" i="2"/>
  <c r="R453" i="2"/>
  <c r="V453" i="2"/>
  <c r="Z453" i="2"/>
  <c r="G453" i="2"/>
  <c r="K453" i="2"/>
  <c r="O453" i="2"/>
  <c r="S453" i="2"/>
  <c r="W453" i="2"/>
  <c r="AA453" i="2"/>
  <c r="D453" i="2"/>
  <c r="H453" i="2"/>
  <c r="L453" i="2"/>
  <c r="P453" i="2"/>
  <c r="T453" i="2"/>
  <c r="X453" i="2"/>
  <c r="J457" i="2"/>
  <c r="R457" i="2"/>
  <c r="Z457" i="2"/>
  <c r="E457" i="2"/>
  <c r="M457" i="2"/>
  <c r="U457" i="2"/>
  <c r="F457" i="2"/>
  <c r="N457" i="2"/>
  <c r="V457" i="2"/>
  <c r="G457" i="2"/>
  <c r="K457" i="2"/>
  <c r="O457" i="2"/>
  <c r="S457" i="2"/>
  <c r="W457" i="2"/>
  <c r="AA457" i="2"/>
  <c r="D457" i="2"/>
  <c r="H457" i="2"/>
  <c r="L457" i="2"/>
  <c r="P457" i="2"/>
  <c r="T457" i="2"/>
  <c r="X457" i="2"/>
  <c r="AB459" i="2"/>
  <c r="X459" i="2"/>
  <c r="T459" i="2"/>
  <c r="P459" i="2"/>
  <c r="L459" i="2"/>
  <c r="H459" i="2"/>
  <c r="D459" i="2"/>
  <c r="U459" i="2"/>
  <c r="I459" i="2"/>
  <c r="AA459" i="2"/>
  <c r="W459" i="2"/>
  <c r="S459" i="2"/>
  <c r="O459" i="2"/>
  <c r="K459" i="2"/>
  <c r="G459" i="2"/>
  <c r="Q459" i="2"/>
  <c r="Z459" i="2"/>
  <c r="V459" i="2"/>
  <c r="R459" i="2"/>
  <c r="N459" i="2"/>
  <c r="J459" i="2"/>
  <c r="F459" i="2"/>
  <c r="Y459" i="2"/>
  <c r="M459" i="2"/>
  <c r="E459" i="2"/>
  <c r="Y451" i="2"/>
  <c r="U451" i="2"/>
  <c r="Q451" i="2"/>
  <c r="M451" i="2"/>
  <c r="I451" i="2"/>
  <c r="E451" i="2"/>
  <c r="AB451" i="2"/>
  <c r="X451" i="2"/>
  <c r="T451" i="2"/>
  <c r="P451" i="2"/>
  <c r="L451" i="2"/>
  <c r="H451" i="2"/>
  <c r="D451" i="2"/>
  <c r="AA451" i="2"/>
  <c r="W451" i="2"/>
  <c r="S451" i="2"/>
  <c r="O451" i="2"/>
  <c r="K451" i="2"/>
  <c r="G451" i="2"/>
  <c r="Z451" i="2"/>
  <c r="V451" i="2"/>
  <c r="R451" i="2"/>
  <c r="N451" i="2"/>
  <c r="J451" i="2"/>
  <c r="F451" i="2"/>
  <c r="G455" i="2"/>
  <c r="K455" i="2"/>
  <c r="O455" i="2"/>
  <c r="S455" i="2"/>
  <c r="W455" i="2"/>
  <c r="AA455" i="2"/>
  <c r="D455" i="2"/>
  <c r="H455" i="2"/>
  <c r="L455" i="2"/>
  <c r="P455" i="2"/>
  <c r="T455" i="2"/>
  <c r="X455" i="2"/>
  <c r="AB455" i="2"/>
  <c r="E455" i="2"/>
  <c r="I455" i="2"/>
  <c r="M455" i="2"/>
  <c r="Q455" i="2"/>
  <c r="U455" i="2"/>
  <c r="Y455" i="2"/>
  <c r="F455" i="2"/>
  <c r="J455" i="2"/>
  <c r="N455" i="2"/>
  <c r="R455" i="2"/>
  <c r="V455" i="2"/>
  <c r="C10" i="2" l="1"/>
  <c r="C12" i="2"/>
  <c r="C14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4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8" i="2"/>
  <c r="C863" i="2" l="1"/>
  <c r="C723" i="2" l="1"/>
  <c r="C725" i="2"/>
  <c r="C727" i="2"/>
  <c r="C729" i="2"/>
  <c r="C731" i="2"/>
  <c r="C733" i="2"/>
  <c r="C735" i="2"/>
  <c r="C737" i="2"/>
  <c r="C739" i="2"/>
  <c r="C741" i="2"/>
  <c r="C743" i="2"/>
  <c r="C745" i="2"/>
  <c r="C747" i="2"/>
  <c r="C749" i="2"/>
  <c r="C751" i="2"/>
  <c r="C753" i="2"/>
  <c r="C755" i="2"/>
  <c r="C757" i="2"/>
  <c r="C759" i="2"/>
  <c r="C761" i="2"/>
  <c r="C763" i="2"/>
  <c r="C765" i="2"/>
  <c r="C767" i="2"/>
  <c r="C769" i="2"/>
  <c r="C771" i="2"/>
  <c r="C773" i="2"/>
  <c r="C775" i="2"/>
  <c r="C777" i="2"/>
  <c r="C779" i="2"/>
  <c r="C781" i="2"/>
  <c r="C783" i="2"/>
  <c r="C785" i="2"/>
  <c r="C787" i="2"/>
  <c r="C789" i="2"/>
  <c r="C791" i="2"/>
  <c r="C793" i="2"/>
  <c r="C795" i="2"/>
  <c r="C797" i="2"/>
  <c r="C799" i="2"/>
  <c r="C801" i="2"/>
  <c r="C803" i="2"/>
  <c r="C805" i="2"/>
  <c r="C807" i="2"/>
  <c r="C809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843" i="2"/>
  <c r="C845" i="2"/>
  <c r="C847" i="2"/>
  <c r="C849" i="2"/>
  <c r="C851" i="2"/>
  <c r="C853" i="2"/>
  <c r="C855" i="2"/>
  <c r="C857" i="2"/>
  <c r="C859" i="2"/>
  <c r="C861" i="2"/>
  <c r="C721" i="2"/>
  <c r="C1232" i="2"/>
  <c r="C1234" i="2"/>
  <c r="C1236" i="2"/>
  <c r="C1230" i="2"/>
  <c r="AB864" i="2" l="1"/>
  <c r="E864" i="2" l="1"/>
  <c r="M864" i="2"/>
  <c r="U864" i="2"/>
  <c r="J864" i="2"/>
  <c r="N864" i="2"/>
  <c r="R864" i="2"/>
  <c r="V864" i="2"/>
  <c r="Z864" i="2"/>
  <c r="O864" i="2"/>
  <c r="W864" i="2"/>
  <c r="AA864" i="2"/>
  <c r="I864" i="2"/>
  <c r="Q864" i="2"/>
  <c r="Y864" i="2"/>
  <c r="F864" i="2"/>
  <c r="G864" i="2"/>
  <c r="K864" i="2"/>
  <c r="S864" i="2"/>
  <c r="D864" i="2"/>
  <c r="H864" i="2"/>
  <c r="L864" i="2"/>
  <c r="P864" i="2"/>
  <c r="T864" i="2"/>
  <c r="X864" i="2"/>
  <c r="C1179" i="2" l="1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U1085" i="2"/>
  <c r="V1085" i="2"/>
  <c r="W1085" i="2"/>
  <c r="X1085" i="2"/>
  <c r="Y1085" i="2"/>
  <c r="Z1085" i="2"/>
  <c r="AA1085" i="2"/>
  <c r="AB1085" i="2"/>
  <c r="D1085" i="2"/>
  <c r="C1085" i="2"/>
  <c r="B1085" i="2"/>
  <c r="B663" i="2"/>
  <c r="C659" i="2"/>
  <c r="AB660" i="2" s="1"/>
  <c r="C661" i="2"/>
  <c r="F662" i="2" s="1"/>
  <c r="Y662" i="2" l="1"/>
  <c r="U662" i="2"/>
  <c r="Q662" i="2"/>
  <c r="M662" i="2"/>
  <c r="I662" i="2"/>
  <c r="E662" i="2"/>
  <c r="AB662" i="2"/>
  <c r="X662" i="2"/>
  <c r="T662" i="2"/>
  <c r="P662" i="2"/>
  <c r="L662" i="2"/>
  <c r="H662" i="2"/>
  <c r="D662" i="2"/>
  <c r="AA662" i="2"/>
  <c r="W662" i="2"/>
  <c r="S662" i="2"/>
  <c r="O662" i="2"/>
  <c r="K662" i="2"/>
  <c r="G662" i="2"/>
  <c r="Z662" i="2"/>
  <c r="V662" i="2"/>
  <c r="R662" i="2"/>
  <c r="N662" i="2"/>
  <c r="J662" i="2"/>
  <c r="E660" i="2"/>
  <c r="M660" i="2"/>
  <c r="Y660" i="2"/>
  <c r="F660" i="2"/>
  <c r="J660" i="2"/>
  <c r="N660" i="2"/>
  <c r="R660" i="2"/>
  <c r="V660" i="2"/>
  <c r="Z660" i="2"/>
  <c r="G660" i="2"/>
  <c r="K660" i="2"/>
  <c r="O660" i="2"/>
  <c r="S660" i="2"/>
  <c r="W660" i="2"/>
  <c r="AA660" i="2"/>
  <c r="I660" i="2"/>
  <c r="Q660" i="2"/>
  <c r="U660" i="2"/>
  <c r="D660" i="2"/>
  <c r="H660" i="2"/>
  <c r="L660" i="2"/>
  <c r="P660" i="2"/>
  <c r="T660" i="2"/>
  <c r="X660" i="2"/>
  <c r="C473" i="2"/>
  <c r="C475" i="2"/>
  <c r="C477" i="2"/>
  <c r="C479" i="2"/>
  <c r="C481" i="2"/>
  <c r="C483" i="2"/>
  <c r="C485" i="2"/>
  <c r="C487" i="2"/>
  <c r="C489" i="2"/>
  <c r="C491" i="2"/>
  <c r="C493" i="2"/>
  <c r="C495" i="2"/>
  <c r="C497" i="2"/>
  <c r="C499" i="2"/>
  <c r="C501" i="2"/>
  <c r="C503" i="2"/>
  <c r="C505" i="2"/>
  <c r="C507" i="2"/>
  <c r="C509" i="2"/>
  <c r="C511" i="2"/>
  <c r="C513" i="2"/>
  <c r="C515" i="2"/>
  <c r="C517" i="2"/>
  <c r="C519" i="2"/>
  <c r="C521" i="2"/>
  <c r="C523" i="2"/>
  <c r="C525" i="2"/>
  <c r="C527" i="2"/>
  <c r="C529" i="2"/>
  <c r="C531" i="2"/>
  <c r="C533" i="2"/>
  <c r="C535" i="2"/>
  <c r="C537" i="2"/>
  <c r="C539" i="2"/>
  <c r="C541" i="2"/>
  <c r="C543" i="2"/>
  <c r="C545" i="2"/>
  <c r="C547" i="2"/>
  <c r="C549" i="2"/>
  <c r="C551" i="2"/>
  <c r="C553" i="2"/>
  <c r="C555" i="2"/>
  <c r="C557" i="2"/>
  <c r="C559" i="2"/>
  <c r="C561" i="2"/>
  <c r="C563" i="2"/>
  <c r="C565" i="2"/>
  <c r="C567" i="2"/>
  <c r="C569" i="2"/>
  <c r="C571" i="2"/>
  <c r="C573" i="2"/>
  <c r="C575" i="2"/>
  <c r="C577" i="2"/>
  <c r="C579" i="2"/>
  <c r="C581" i="2"/>
  <c r="C583" i="2"/>
  <c r="C585" i="2"/>
  <c r="C587" i="2"/>
  <c r="C589" i="2"/>
  <c r="C591" i="2"/>
  <c r="C593" i="2"/>
  <c r="C595" i="2"/>
  <c r="C597" i="2"/>
  <c r="C599" i="2"/>
  <c r="C601" i="2"/>
  <c r="C603" i="2"/>
  <c r="C605" i="2"/>
  <c r="C607" i="2"/>
  <c r="C609" i="2"/>
  <c r="C611" i="2"/>
  <c r="C613" i="2"/>
  <c r="C615" i="2"/>
  <c r="C617" i="2"/>
  <c r="C619" i="2"/>
  <c r="C621" i="2"/>
  <c r="C623" i="2"/>
  <c r="C625" i="2"/>
  <c r="C627" i="2"/>
  <c r="C629" i="2"/>
  <c r="C631" i="2"/>
  <c r="C633" i="2"/>
  <c r="C635" i="2"/>
  <c r="C637" i="2"/>
  <c r="C639" i="2"/>
  <c r="C641" i="2"/>
  <c r="C643" i="2"/>
  <c r="C645" i="2"/>
  <c r="C647" i="2"/>
  <c r="C649" i="2"/>
  <c r="C651" i="2"/>
  <c r="C653" i="2"/>
  <c r="C655" i="2"/>
  <c r="C657" i="2"/>
  <c r="C471" i="2"/>
  <c r="C663" i="2" l="1"/>
  <c r="B597" i="2"/>
  <c r="B599" i="2"/>
  <c r="B603" i="2"/>
  <c r="B601" i="2"/>
  <c r="B561" i="2"/>
  <c r="B563" i="2"/>
  <c r="B585" i="2"/>
  <c r="B587" i="2"/>
  <c r="B581" i="2"/>
  <c r="B583" i="2"/>
  <c r="B557" i="2"/>
  <c r="B559" i="2"/>
  <c r="B553" i="2"/>
  <c r="B555" i="2"/>
  <c r="B549" i="2"/>
  <c r="B551" i="2"/>
  <c r="B545" i="2"/>
  <c r="B547" i="2"/>
  <c r="B577" i="2"/>
  <c r="B579" i="2"/>
  <c r="B511" i="2"/>
  <c r="B509" i="2"/>
  <c r="B489" i="2"/>
  <c r="B491" i="2"/>
  <c r="B507" i="2"/>
  <c r="B505" i="2"/>
  <c r="B481" i="2"/>
  <c r="B479" i="2"/>
  <c r="B591" i="2"/>
  <c r="B589" i="2"/>
  <c r="B515" i="2"/>
  <c r="B513" i="2"/>
  <c r="B497" i="2"/>
  <c r="B495" i="2"/>
  <c r="C1079" i="2" l="1"/>
  <c r="AB1080" i="2" s="1"/>
  <c r="M1080" i="2" l="1"/>
  <c r="Z1080" i="2"/>
  <c r="G1080" i="2"/>
  <c r="K1080" i="2"/>
  <c r="O1080" i="2"/>
  <c r="S1080" i="2"/>
  <c r="W1080" i="2"/>
  <c r="AA1080" i="2"/>
  <c r="E1080" i="2"/>
  <c r="I1080" i="2"/>
  <c r="Q1080" i="2"/>
  <c r="U1080" i="2"/>
  <c r="Y1080" i="2"/>
  <c r="F1080" i="2"/>
  <c r="J1080" i="2"/>
  <c r="N1080" i="2"/>
  <c r="R1080" i="2"/>
  <c r="V1080" i="2"/>
  <c r="D1080" i="2"/>
  <c r="H1080" i="2"/>
  <c r="L1080" i="2"/>
  <c r="P1080" i="2"/>
  <c r="T1080" i="2"/>
  <c r="X1080" i="2"/>
  <c r="C1027" i="2" l="1"/>
  <c r="C1029" i="2"/>
  <c r="C1031" i="2"/>
  <c r="C1033" i="2"/>
  <c r="C1035" i="2"/>
  <c r="C1037" i="2"/>
  <c r="C1039" i="2"/>
  <c r="C1041" i="2"/>
  <c r="C1043" i="2"/>
  <c r="C1045" i="2"/>
  <c r="C1047" i="2"/>
  <c r="C1049" i="2"/>
  <c r="C1051" i="2"/>
  <c r="C1053" i="2"/>
  <c r="C1055" i="2"/>
  <c r="C1057" i="2"/>
  <c r="C1059" i="2"/>
  <c r="C1061" i="2"/>
  <c r="C1063" i="2"/>
  <c r="C1065" i="2"/>
  <c r="C1067" i="2"/>
  <c r="C1069" i="2"/>
  <c r="C1071" i="2"/>
  <c r="C1073" i="2"/>
  <c r="C1075" i="2"/>
  <c r="C1077" i="2"/>
  <c r="C1081" i="2"/>
  <c r="C1083" i="2"/>
  <c r="Z1082" i="2" l="1"/>
  <c r="AB1084" i="2"/>
  <c r="B1073" i="2"/>
  <c r="B1071" i="2"/>
  <c r="B1069" i="2"/>
  <c r="B1067" i="2"/>
  <c r="B1029" i="2"/>
  <c r="B1027" i="2"/>
  <c r="C1025" i="2"/>
  <c r="G1082" i="2" l="1"/>
  <c r="K1082" i="2"/>
  <c r="O1082" i="2"/>
  <c r="S1082" i="2"/>
  <c r="W1082" i="2"/>
  <c r="AA1082" i="2"/>
  <c r="D1082" i="2"/>
  <c r="H1082" i="2"/>
  <c r="L1082" i="2"/>
  <c r="P1082" i="2"/>
  <c r="T1082" i="2"/>
  <c r="X1082" i="2"/>
  <c r="AB1082" i="2"/>
  <c r="E1082" i="2"/>
  <c r="I1082" i="2"/>
  <c r="M1082" i="2"/>
  <c r="Q1082" i="2"/>
  <c r="U1082" i="2"/>
  <c r="Y1082" i="2"/>
  <c r="F1082" i="2"/>
  <c r="J1082" i="2"/>
  <c r="N1082" i="2"/>
  <c r="R1082" i="2"/>
  <c r="V1082" i="2"/>
  <c r="E1084" i="2"/>
  <c r="I1084" i="2"/>
  <c r="M1084" i="2"/>
  <c r="Q1084" i="2"/>
  <c r="U1084" i="2"/>
  <c r="Y1084" i="2"/>
  <c r="F1084" i="2"/>
  <c r="J1084" i="2"/>
  <c r="N1084" i="2"/>
  <c r="R1084" i="2"/>
  <c r="V1084" i="2"/>
  <c r="Z1084" i="2"/>
  <c r="G1084" i="2"/>
  <c r="K1084" i="2"/>
  <c r="O1084" i="2"/>
  <c r="S1084" i="2"/>
  <c r="W1084" i="2"/>
  <c r="AA1084" i="2"/>
  <c r="D1084" i="2"/>
  <c r="H1084" i="2"/>
  <c r="L1084" i="2"/>
  <c r="P1084" i="2"/>
  <c r="T1084" i="2"/>
  <c r="X1084" i="2"/>
  <c r="C1294" i="2" l="1"/>
  <c r="C1292" i="2"/>
  <c r="C1296" i="2" l="1"/>
  <c r="C1290" i="2"/>
  <c r="C1288" i="2"/>
  <c r="C1286" i="2"/>
  <c r="C1284" i="2"/>
  <c r="C1282" i="2"/>
  <c r="C1280" i="2"/>
  <c r="C1278" i="2"/>
  <c r="C1276" i="2"/>
  <c r="C1274" i="2"/>
  <c r="C1272" i="2"/>
  <c r="C1270" i="2"/>
  <c r="C1268" i="2"/>
  <c r="C1266" i="2"/>
  <c r="C1264" i="2"/>
  <c r="C1262" i="2"/>
  <c r="C1260" i="2"/>
  <c r="C1258" i="2" l="1"/>
  <c r="C1256" i="2"/>
  <c r="C1246" i="2" l="1"/>
  <c r="C1220" i="2" l="1"/>
  <c r="C1207" i="2" l="1"/>
  <c r="C1197" i="2"/>
  <c r="C1187" i="2"/>
  <c r="C1165" i="2"/>
  <c r="C1167" i="2"/>
  <c r="C1168" i="2"/>
  <c r="C1169" i="2"/>
  <c r="C1171" i="2"/>
  <c r="C1173" i="2"/>
  <c r="C1175" i="2"/>
  <c r="C1177" i="2"/>
  <c r="C1011" i="2"/>
  <c r="C1013" i="2"/>
  <c r="C1015" i="2"/>
  <c r="C1009" i="2"/>
  <c r="C1163" i="2"/>
  <c r="B178" i="2" l="1"/>
  <c r="C174" i="2" l="1"/>
  <c r="C176" i="2"/>
  <c r="B176" i="2"/>
  <c r="B174" i="2"/>
  <c r="C172" i="2"/>
  <c r="B172" i="2"/>
  <c r="C170" i="2"/>
  <c r="B170" i="2"/>
  <c r="B8" i="2" l="1"/>
  <c r="B679" i="2" l="1"/>
  <c r="B30" i="2" l="1"/>
  <c r="B28" i="2"/>
  <c r="B22" i="2"/>
  <c r="B24" i="2"/>
  <c r="B26" i="2"/>
  <c r="B14" i="2"/>
  <c r="B64" i="2"/>
  <c r="B60" i="2"/>
  <c r="B126" i="2"/>
  <c r="B124" i="2"/>
  <c r="B1155" i="2" l="1"/>
  <c r="B1153" i="2"/>
  <c r="B1151" i="2"/>
  <c r="B1145" i="2"/>
  <c r="B1143" i="2"/>
  <c r="B1107" i="2"/>
  <c r="B1105" i="2"/>
  <c r="B1103" i="2"/>
  <c r="B1101" i="2"/>
  <c r="B1095" i="2"/>
  <c r="B1093" i="2"/>
  <c r="B1001" i="2" l="1"/>
  <c r="B987" i="2" l="1"/>
  <c r="B919" i="2"/>
  <c r="B713" i="2" l="1"/>
  <c r="B709" i="2"/>
  <c r="B707" i="2"/>
  <c r="B705" i="2"/>
  <c r="B703" i="2"/>
  <c r="B701" i="2"/>
  <c r="B699" i="2"/>
  <c r="B697" i="2"/>
  <c r="B695" i="2"/>
  <c r="B685" i="2"/>
  <c r="B683" i="2"/>
  <c r="B681" i="2"/>
  <c r="B677" i="2"/>
  <c r="B675" i="2"/>
  <c r="B673" i="2"/>
  <c r="B671" i="2"/>
  <c r="D986" i="2" l="1"/>
  <c r="AB986" i="2"/>
  <c r="Z984" i="2"/>
  <c r="Z980" i="2"/>
  <c r="B967" i="2"/>
  <c r="B943" i="2"/>
  <c r="B941" i="2"/>
  <c r="B939" i="2"/>
  <c r="B937" i="2"/>
  <c r="B935" i="2"/>
  <c r="B933" i="2"/>
  <c r="B929" i="2"/>
  <c r="B931" i="2"/>
  <c r="B911" i="2"/>
  <c r="B909" i="2"/>
  <c r="B907" i="2"/>
  <c r="B905" i="2"/>
  <c r="C895" i="2"/>
  <c r="B895" i="2"/>
  <c r="B881" i="2"/>
  <c r="B879" i="2"/>
  <c r="C212" i="2"/>
  <c r="B212" i="2"/>
  <c r="C210" i="2"/>
  <c r="AB211" i="2" s="1"/>
  <c r="C208" i="2"/>
  <c r="AB209" i="2" s="1"/>
  <c r="B202" i="2"/>
  <c r="B200" i="2"/>
  <c r="B122" i="2"/>
  <c r="B162" i="2"/>
  <c r="B94" i="2"/>
  <c r="B92" i="2"/>
  <c r="B90" i="2"/>
  <c r="B88" i="2"/>
  <c r="Z982" i="2" l="1"/>
  <c r="J986" i="2"/>
  <c r="R986" i="2"/>
  <c r="E986" i="2"/>
  <c r="M986" i="2"/>
  <c r="U986" i="2"/>
  <c r="F986" i="2"/>
  <c r="N986" i="2"/>
  <c r="V986" i="2"/>
  <c r="I986" i="2"/>
  <c r="Q986" i="2"/>
  <c r="Y986" i="2"/>
  <c r="K984" i="2"/>
  <c r="W984" i="2"/>
  <c r="AA984" i="2"/>
  <c r="L984" i="2"/>
  <c r="T984" i="2"/>
  <c r="AB984" i="2"/>
  <c r="Z986" i="2"/>
  <c r="O984" i="2"/>
  <c r="H984" i="2"/>
  <c r="E984" i="2"/>
  <c r="I984" i="2"/>
  <c r="M984" i="2"/>
  <c r="Q984" i="2"/>
  <c r="U984" i="2"/>
  <c r="Y984" i="2"/>
  <c r="G986" i="2"/>
  <c r="K986" i="2"/>
  <c r="O986" i="2"/>
  <c r="S986" i="2"/>
  <c r="W986" i="2"/>
  <c r="AA986" i="2"/>
  <c r="G984" i="2"/>
  <c r="S984" i="2"/>
  <c r="D984" i="2"/>
  <c r="P984" i="2"/>
  <c r="X984" i="2"/>
  <c r="F984" i="2"/>
  <c r="J984" i="2"/>
  <c r="N984" i="2"/>
  <c r="R984" i="2"/>
  <c r="V984" i="2"/>
  <c r="H986" i="2"/>
  <c r="L986" i="2"/>
  <c r="P986" i="2"/>
  <c r="T986" i="2"/>
  <c r="X986" i="2"/>
  <c r="G982" i="2"/>
  <c r="K982" i="2"/>
  <c r="O982" i="2"/>
  <c r="S982" i="2"/>
  <c r="W982" i="2"/>
  <c r="AA982" i="2"/>
  <c r="D982" i="2"/>
  <c r="H982" i="2"/>
  <c r="L982" i="2"/>
  <c r="P982" i="2"/>
  <c r="T982" i="2"/>
  <c r="X982" i="2"/>
  <c r="AB982" i="2"/>
  <c r="E982" i="2"/>
  <c r="I982" i="2"/>
  <c r="M982" i="2"/>
  <c r="Q982" i="2"/>
  <c r="U982" i="2"/>
  <c r="Y982" i="2"/>
  <c r="F982" i="2"/>
  <c r="J982" i="2"/>
  <c r="N982" i="2"/>
  <c r="R982" i="2"/>
  <c r="V982" i="2"/>
  <c r="G980" i="2"/>
  <c r="K980" i="2"/>
  <c r="O980" i="2"/>
  <c r="S980" i="2"/>
  <c r="W980" i="2"/>
  <c r="AA980" i="2"/>
  <c r="D980" i="2"/>
  <c r="H980" i="2"/>
  <c r="L980" i="2"/>
  <c r="P980" i="2"/>
  <c r="T980" i="2"/>
  <c r="X980" i="2"/>
  <c r="AB980" i="2"/>
  <c r="E980" i="2"/>
  <c r="I980" i="2"/>
  <c r="M980" i="2"/>
  <c r="Q980" i="2"/>
  <c r="U980" i="2"/>
  <c r="Y980" i="2"/>
  <c r="F980" i="2"/>
  <c r="J980" i="2"/>
  <c r="N980" i="2"/>
  <c r="R980" i="2"/>
  <c r="V980" i="2"/>
  <c r="E211" i="2"/>
  <c r="I211" i="2"/>
  <c r="F211" i="2"/>
  <c r="J211" i="2"/>
  <c r="N211" i="2"/>
  <c r="R211" i="2"/>
  <c r="V211" i="2"/>
  <c r="Z211" i="2"/>
  <c r="G211" i="2"/>
  <c r="K211" i="2"/>
  <c r="O211" i="2"/>
  <c r="S211" i="2"/>
  <c r="W211" i="2"/>
  <c r="AA211" i="2"/>
  <c r="M211" i="2"/>
  <c r="Q211" i="2"/>
  <c r="U211" i="2"/>
  <c r="Y211" i="2"/>
  <c r="D211" i="2"/>
  <c r="H211" i="2"/>
  <c r="L211" i="2"/>
  <c r="P211" i="2"/>
  <c r="T211" i="2"/>
  <c r="X211" i="2"/>
  <c r="E209" i="2"/>
  <c r="M209" i="2"/>
  <c r="U209" i="2"/>
  <c r="F209" i="2"/>
  <c r="J209" i="2"/>
  <c r="N209" i="2"/>
  <c r="R209" i="2"/>
  <c r="V209" i="2"/>
  <c r="Z209" i="2"/>
  <c r="G209" i="2"/>
  <c r="K209" i="2"/>
  <c r="O209" i="2"/>
  <c r="S209" i="2"/>
  <c r="W209" i="2"/>
  <c r="AA209" i="2"/>
  <c r="I209" i="2"/>
  <c r="Q209" i="2"/>
  <c r="Y209" i="2"/>
  <c r="D209" i="2"/>
  <c r="H209" i="2"/>
  <c r="L209" i="2"/>
  <c r="P209" i="2"/>
  <c r="T209" i="2"/>
  <c r="X209" i="2"/>
  <c r="B86" i="2"/>
  <c r="B84" i="2"/>
  <c r="B44" i="2"/>
  <c r="B42" i="2"/>
  <c r="B38" i="2"/>
  <c r="B36" i="2"/>
  <c r="B1238" i="2" l="1"/>
  <c r="X1297" i="2" l="1"/>
  <c r="U1295" i="2"/>
  <c r="AB1295" i="2"/>
  <c r="O1293" i="2"/>
  <c r="AB1291" i="2"/>
  <c r="T1289" i="2"/>
  <c r="U1287" i="2"/>
  <c r="AB1287" i="2"/>
  <c r="K1285" i="2"/>
  <c r="AA1285" i="2"/>
  <c r="V1283" i="2"/>
  <c r="AB1283" i="2"/>
  <c r="AB1281" i="2"/>
  <c r="AA1281" i="2"/>
  <c r="Y1279" i="2"/>
  <c r="M1279" i="2"/>
  <c r="X1277" i="2"/>
  <c r="AA1275" i="2"/>
  <c r="T1271" i="2"/>
  <c r="S1269" i="2"/>
  <c r="R1267" i="2"/>
  <c r="AB1265" i="2"/>
  <c r="H1263" i="2"/>
  <c r="V1261" i="2"/>
  <c r="N1261" i="2"/>
  <c r="F1261" i="2"/>
  <c r="AB1261" i="2"/>
  <c r="P1259" i="2"/>
  <c r="I1259" i="2"/>
  <c r="B1248" i="2"/>
  <c r="AB1247" i="2"/>
  <c r="AB1248" i="2" s="1"/>
  <c r="S1237" i="2"/>
  <c r="Z1235" i="2"/>
  <c r="T1235" i="2"/>
  <c r="P1235" i="2"/>
  <c r="I1235" i="2"/>
  <c r="E1235" i="2"/>
  <c r="AA1235" i="2"/>
  <c r="R1233" i="2"/>
  <c r="B1222" i="2"/>
  <c r="S1221" i="2"/>
  <c r="S1222" i="2" s="1"/>
  <c r="B1212" i="2"/>
  <c r="N1208" i="2"/>
  <c r="N1212" i="2" s="1"/>
  <c r="C1212" i="2"/>
  <c r="B1199" i="2"/>
  <c r="B1189" i="2"/>
  <c r="AA1188" i="2"/>
  <c r="AA1189" i="2" s="1"/>
  <c r="B1179" i="2"/>
  <c r="I1178" i="2"/>
  <c r="O1176" i="2"/>
  <c r="W1174" i="2"/>
  <c r="W1172" i="2"/>
  <c r="Q1170" i="2"/>
  <c r="F1170" i="2"/>
  <c r="R1170" i="2"/>
  <c r="AA1168" i="2"/>
  <c r="M1166" i="2"/>
  <c r="V1166" i="2"/>
  <c r="T1154" i="2"/>
  <c r="Y1152" i="2"/>
  <c r="I1152" i="2"/>
  <c r="T1152" i="2"/>
  <c r="AB1150" i="2"/>
  <c r="AA1148" i="2"/>
  <c r="Z1146" i="2"/>
  <c r="T1146" i="2"/>
  <c r="P1146" i="2"/>
  <c r="J1146" i="2"/>
  <c r="F1146" i="2"/>
  <c r="D1146" i="2"/>
  <c r="AA1146" i="2"/>
  <c r="V1144" i="2"/>
  <c r="AA1142" i="2"/>
  <c r="V1140" i="2"/>
  <c r="AA1138" i="2"/>
  <c r="K1136" i="2"/>
  <c r="AA1134" i="2"/>
  <c r="V1132" i="2"/>
  <c r="AA1130" i="2"/>
  <c r="Z1128" i="2"/>
  <c r="AA1126" i="2"/>
  <c r="Z1124" i="2"/>
  <c r="R1124" i="2"/>
  <c r="AA1122" i="2"/>
  <c r="S1120" i="2"/>
  <c r="AA1118" i="2"/>
  <c r="Z1116" i="2"/>
  <c r="R1116" i="2"/>
  <c r="O1116" i="2"/>
  <c r="G1116" i="2"/>
  <c r="F1116" i="2"/>
  <c r="W1116" i="2"/>
  <c r="Z1114" i="2"/>
  <c r="Y1114" i="2"/>
  <c r="U1114" i="2"/>
  <c r="T1114" i="2"/>
  <c r="P1114" i="2"/>
  <c r="N1114" i="2"/>
  <c r="J1114" i="2"/>
  <c r="I1114" i="2"/>
  <c r="E1114" i="2"/>
  <c r="D1114" i="2"/>
  <c r="AA1114" i="2"/>
  <c r="O1112" i="2"/>
  <c r="AA1110" i="2"/>
  <c r="Z1108" i="2"/>
  <c r="Y1106" i="2"/>
  <c r="N1106" i="2"/>
  <c r="E1106" i="2"/>
  <c r="V1106" i="2"/>
  <c r="X1104" i="2"/>
  <c r="P1104" i="2"/>
  <c r="H1104" i="2"/>
  <c r="T1102" i="2"/>
  <c r="Z1100" i="2"/>
  <c r="AA1098" i="2"/>
  <c r="K1096" i="2"/>
  <c r="Y1094" i="2"/>
  <c r="I1094" i="2"/>
  <c r="V1094" i="2"/>
  <c r="AB1078" i="2"/>
  <c r="G1078" i="2"/>
  <c r="W1078" i="2"/>
  <c r="AB1076" i="2"/>
  <c r="AA1074" i="2"/>
  <c r="AB1072" i="2"/>
  <c r="P1070" i="2"/>
  <c r="H1070" i="2"/>
  <c r="X1070" i="2"/>
  <c r="Y1068" i="2"/>
  <c r="E1068" i="2"/>
  <c r="AB1068" i="2"/>
  <c r="W1066" i="2"/>
  <c r="P1066" i="2"/>
  <c r="Y1064" i="2"/>
  <c r="N1064" i="2"/>
  <c r="E1064" i="2"/>
  <c r="AB1064" i="2"/>
  <c r="W1062" i="2"/>
  <c r="U1060" i="2"/>
  <c r="I1060" i="2"/>
  <c r="AB1060" i="2"/>
  <c r="AA1058" i="2"/>
  <c r="K1058" i="2"/>
  <c r="AB1056" i="2"/>
  <c r="AB1054" i="2"/>
  <c r="X1050" i="2"/>
  <c r="G1048" i="2"/>
  <c r="W1048" i="2"/>
  <c r="G1046" i="2"/>
  <c r="AB1046" i="2"/>
  <c r="AA1044" i="2"/>
  <c r="W1044" i="2"/>
  <c r="U1042" i="2"/>
  <c r="Q1040" i="2"/>
  <c r="J1040" i="2"/>
  <c r="Z1040" i="2"/>
  <c r="K1038" i="2"/>
  <c r="AA1038" i="2"/>
  <c r="AB1036" i="2"/>
  <c r="H1034" i="2"/>
  <c r="P1034" i="2"/>
  <c r="V1032" i="2"/>
  <c r="F1032" i="2"/>
  <c r="AB1032" i="2"/>
  <c r="AB1030" i="2"/>
  <c r="X1030" i="2"/>
  <c r="T1030" i="2"/>
  <c r="P1030" i="2"/>
  <c r="O1030" i="2"/>
  <c r="H1030" i="2"/>
  <c r="G1030" i="2"/>
  <c r="D1030" i="2"/>
  <c r="W1030" i="2"/>
  <c r="R1028" i="2"/>
  <c r="M1026" i="2"/>
  <c r="Z1026" i="2"/>
  <c r="B1017" i="2"/>
  <c r="V1016" i="2"/>
  <c r="AA1014" i="2"/>
  <c r="K1012" i="2"/>
  <c r="AB1012" i="2"/>
  <c r="L1010" i="2"/>
  <c r="AA1010" i="2"/>
  <c r="V1000" i="2"/>
  <c r="V1001" i="2" s="1"/>
  <c r="K1000" i="2"/>
  <c r="K1001" i="2" s="1"/>
  <c r="R1000" i="2"/>
  <c r="R1001" i="2" s="1"/>
  <c r="N996" i="2"/>
  <c r="E996" i="2"/>
  <c r="I996" i="2"/>
  <c r="AB978" i="2"/>
  <c r="V978" i="2"/>
  <c r="R978" i="2"/>
  <c r="K978" i="2"/>
  <c r="G978" i="2"/>
  <c r="AA978" i="2"/>
  <c r="AB976" i="2"/>
  <c r="AB987" i="2" s="1"/>
  <c r="V976" i="2"/>
  <c r="V987" i="2" s="1"/>
  <c r="Q976" i="2"/>
  <c r="L976" i="2"/>
  <c r="F976" i="2"/>
  <c r="AA976" i="2"/>
  <c r="AA987" i="2" s="1"/>
  <c r="V966" i="2"/>
  <c r="U964" i="2"/>
  <c r="K964" i="2"/>
  <c r="AB964" i="2"/>
  <c r="Z962" i="2"/>
  <c r="AB960" i="2"/>
  <c r="AA960" i="2"/>
  <c r="U960" i="2"/>
  <c r="T960" i="2"/>
  <c r="O960" i="2"/>
  <c r="L960" i="2"/>
  <c r="G960" i="2"/>
  <c r="E960" i="2"/>
  <c r="Y960" i="2"/>
  <c r="Y956" i="2"/>
  <c r="I956" i="2"/>
  <c r="T956" i="2"/>
  <c r="W954" i="2"/>
  <c r="M954" i="2"/>
  <c r="N954" i="2"/>
  <c r="Q952" i="2"/>
  <c r="W952" i="2"/>
  <c r="AA950" i="2"/>
  <c r="R950" i="2"/>
  <c r="Q950" i="2"/>
  <c r="G950" i="2"/>
  <c r="F950" i="2"/>
  <c r="W950" i="2"/>
  <c r="AB948" i="2"/>
  <c r="AA948" i="2"/>
  <c r="U948" i="2"/>
  <c r="Q948" i="2"/>
  <c r="P948" i="2"/>
  <c r="K948" i="2"/>
  <c r="G948" i="2"/>
  <c r="E948" i="2"/>
  <c r="W948" i="2"/>
  <c r="V946" i="2"/>
  <c r="O946" i="2"/>
  <c r="G946" i="2"/>
  <c r="AA946" i="2"/>
  <c r="AA944" i="2"/>
  <c r="V942" i="2"/>
  <c r="W940" i="2"/>
  <c r="Q938" i="2"/>
  <c r="V938" i="2"/>
  <c r="W936" i="2"/>
  <c r="M936" i="2"/>
  <c r="Z934" i="2"/>
  <c r="S932" i="2"/>
  <c r="O932" i="2"/>
  <c r="U932" i="2"/>
  <c r="AB930" i="2"/>
  <c r="AA928" i="2"/>
  <c r="Y928" i="2"/>
  <c r="T928" i="2"/>
  <c r="Q928" i="2"/>
  <c r="L928" i="2"/>
  <c r="K928" i="2"/>
  <c r="E928" i="2"/>
  <c r="D928" i="2"/>
  <c r="W928" i="2"/>
  <c r="Z918" i="2"/>
  <c r="Y918" i="2"/>
  <c r="U918" i="2"/>
  <c r="T918" i="2"/>
  <c r="P918" i="2"/>
  <c r="N918" i="2"/>
  <c r="J918" i="2"/>
  <c r="I918" i="2"/>
  <c r="E918" i="2"/>
  <c r="D918" i="2"/>
  <c r="AA918" i="2"/>
  <c r="AA916" i="2"/>
  <c r="Z916" i="2"/>
  <c r="T916" i="2"/>
  <c r="R916" i="2"/>
  <c r="L916" i="2"/>
  <c r="K916" i="2"/>
  <c r="F916" i="2"/>
  <c r="D916" i="2"/>
  <c r="W916" i="2"/>
  <c r="Z914" i="2"/>
  <c r="Y914" i="2"/>
  <c r="U914" i="2"/>
  <c r="T914" i="2"/>
  <c r="P914" i="2"/>
  <c r="N914" i="2"/>
  <c r="J914" i="2"/>
  <c r="I914" i="2"/>
  <c r="E914" i="2"/>
  <c r="D914" i="2"/>
  <c r="AA914" i="2"/>
  <c r="J912" i="2"/>
  <c r="T912" i="2"/>
  <c r="Z910" i="2"/>
  <c r="U910" i="2"/>
  <c r="J910" i="2"/>
  <c r="F910" i="2"/>
  <c r="Q910" i="2"/>
  <c r="Z908" i="2"/>
  <c r="P908" i="2"/>
  <c r="V908" i="2"/>
  <c r="U906" i="2"/>
  <c r="X904" i="2"/>
  <c r="W894" i="2"/>
  <c r="M894" i="2"/>
  <c r="L894" i="2"/>
  <c r="V892" i="2"/>
  <c r="R892" i="2"/>
  <c r="K892" i="2"/>
  <c r="G892" i="2"/>
  <c r="AA892" i="2"/>
  <c r="AB890" i="2"/>
  <c r="AA890" i="2"/>
  <c r="Q890" i="2"/>
  <c r="P890" i="2"/>
  <c r="G890" i="2"/>
  <c r="E890" i="2"/>
  <c r="W890" i="2"/>
  <c r="V888" i="2"/>
  <c r="AB886" i="2"/>
  <c r="AA886" i="2"/>
  <c r="Y886" i="2"/>
  <c r="U886" i="2"/>
  <c r="T886" i="2"/>
  <c r="Q886" i="2"/>
  <c r="O886" i="2"/>
  <c r="L886" i="2"/>
  <c r="K886" i="2"/>
  <c r="G886" i="2"/>
  <c r="E886" i="2"/>
  <c r="D886" i="2"/>
  <c r="W886" i="2"/>
  <c r="O884" i="2"/>
  <c r="I884" i="2"/>
  <c r="U884" i="2"/>
  <c r="M882" i="2"/>
  <c r="T882" i="2"/>
  <c r="AA878" i="2"/>
  <c r="Z878" i="2"/>
  <c r="U878" i="2"/>
  <c r="R878" i="2"/>
  <c r="M878" i="2"/>
  <c r="K878" i="2"/>
  <c r="F878" i="2"/>
  <c r="E878" i="2"/>
  <c r="W878" i="2"/>
  <c r="Y876" i="2"/>
  <c r="Q876" i="2"/>
  <c r="K876" i="2"/>
  <c r="D876" i="2"/>
  <c r="W876" i="2"/>
  <c r="Z874" i="2"/>
  <c r="O874" i="2"/>
  <c r="E874" i="2"/>
  <c r="N874" i="2"/>
  <c r="H860" i="2"/>
  <c r="R860" i="2"/>
  <c r="J858" i="2"/>
  <c r="W858" i="2"/>
  <c r="R856" i="2"/>
  <c r="W854" i="2"/>
  <c r="M852" i="2"/>
  <c r="W850" i="2"/>
  <c r="R844" i="2"/>
  <c r="W842" i="2"/>
  <c r="R840" i="2"/>
  <c r="P838" i="2"/>
  <c r="W838" i="2"/>
  <c r="M836" i="2"/>
  <c r="R836" i="2"/>
  <c r="W834" i="2"/>
  <c r="M826" i="2"/>
  <c r="R826" i="2"/>
  <c r="Z824" i="2"/>
  <c r="T822" i="2"/>
  <c r="P822" i="2"/>
  <c r="I822" i="2"/>
  <c r="E822" i="2"/>
  <c r="V822" i="2"/>
  <c r="N820" i="2"/>
  <c r="R814" i="2"/>
  <c r="Y810" i="2"/>
  <c r="N810" i="2"/>
  <c r="I810" i="2"/>
  <c r="D810" i="2"/>
  <c r="AA810" i="2"/>
  <c r="O808" i="2"/>
  <c r="X806" i="2"/>
  <c r="O804" i="2"/>
  <c r="W804" i="2"/>
  <c r="AA802" i="2"/>
  <c r="S800" i="2"/>
  <c r="R798" i="2"/>
  <c r="AA796" i="2"/>
  <c r="V796" i="2"/>
  <c r="T794" i="2"/>
  <c r="I794" i="2"/>
  <c r="AA794" i="2"/>
  <c r="F792" i="2"/>
  <c r="Z792" i="2"/>
  <c r="Y790" i="2"/>
  <c r="N790" i="2"/>
  <c r="I790" i="2"/>
  <c r="D790" i="2"/>
  <c r="AA790" i="2"/>
  <c r="R788" i="2"/>
  <c r="J788" i="2"/>
  <c r="Z788" i="2"/>
  <c r="U786" i="2"/>
  <c r="J786" i="2"/>
  <c r="AA786" i="2"/>
  <c r="AA784" i="2"/>
  <c r="X782" i="2"/>
  <c r="J778" i="2"/>
  <c r="AA778" i="2"/>
  <c r="Z776" i="2"/>
  <c r="AA774" i="2"/>
  <c r="O772" i="2"/>
  <c r="Y770" i="2"/>
  <c r="N770" i="2"/>
  <c r="D770" i="2"/>
  <c r="AA770" i="2"/>
  <c r="O768" i="2"/>
  <c r="J768" i="2"/>
  <c r="D768" i="2"/>
  <c r="S768" i="2"/>
  <c r="AB766" i="2"/>
  <c r="F766" i="2"/>
  <c r="AA766" i="2"/>
  <c r="T764" i="2"/>
  <c r="Q762" i="2"/>
  <c r="L762" i="2"/>
  <c r="AA762" i="2"/>
  <c r="Z760" i="2"/>
  <c r="D760" i="2"/>
  <c r="S760" i="2"/>
  <c r="N758" i="2"/>
  <c r="AA758" i="2"/>
  <c r="S756" i="2"/>
  <c r="O756" i="2"/>
  <c r="AA754" i="2"/>
  <c r="S752" i="2"/>
  <c r="AB750" i="2"/>
  <c r="V750" i="2"/>
  <c r="L750" i="2"/>
  <c r="F750" i="2"/>
  <c r="E750" i="2"/>
  <c r="AA750" i="2"/>
  <c r="Z748" i="2"/>
  <c r="J748" i="2"/>
  <c r="T748" i="2"/>
  <c r="Q746" i="2"/>
  <c r="AA746" i="2"/>
  <c r="Z744" i="2"/>
  <c r="S744" i="2"/>
  <c r="AA742" i="2"/>
  <c r="O740" i="2"/>
  <c r="N738" i="2"/>
  <c r="I738" i="2"/>
  <c r="AA738" i="2"/>
  <c r="S736" i="2"/>
  <c r="Q734" i="2"/>
  <c r="AA734" i="2"/>
  <c r="Z732" i="2"/>
  <c r="J732" i="2"/>
  <c r="T732" i="2"/>
  <c r="S728" i="2"/>
  <c r="Z726" i="2"/>
  <c r="U726" i="2"/>
  <c r="J726" i="2"/>
  <c r="E726" i="2"/>
  <c r="D726" i="2"/>
  <c r="AA726" i="2"/>
  <c r="T724" i="2"/>
  <c r="S724" i="2"/>
  <c r="Z722" i="2"/>
  <c r="P722" i="2"/>
  <c r="J722" i="2"/>
  <c r="E722" i="2"/>
  <c r="AA722" i="2"/>
  <c r="S712" i="2"/>
  <c r="O712" i="2"/>
  <c r="G712" i="2"/>
  <c r="E712" i="2"/>
  <c r="U712" i="2"/>
  <c r="Q710" i="2"/>
  <c r="X708" i="2"/>
  <c r="J706" i="2"/>
  <c r="Z704" i="2"/>
  <c r="Y704" i="2"/>
  <c r="T704" i="2"/>
  <c r="Q704" i="2"/>
  <c r="L704" i="2"/>
  <c r="J704" i="2"/>
  <c r="E704" i="2"/>
  <c r="D704" i="2"/>
  <c r="V704" i="2"/>
  <c r="Y702" i="2"/>
  <c r="Q702" i="2"/>
  <c r="K702" i="2"/>
  <c r="D702" i="2"/>
  <c r="W702" i="2"/>
  <c r="W700" i="2"/>
  <c r="F700" i="2"/>
  <c r="S700" i="2"/>
  <c r="N698" i="2"/>
  <c r="M696" i="2"/>
  <c r="Q694" i="2"/>
  <c r="G694" i="2"/>
  <c r="Y694" i="2"/>
  <c r="N692" i="2"/>
  <c r="U690" i="2"/>
  <c r="Z688" i="2"/>
  <c r="O688" i="2"/>
  <c r="E688" i="2"/>
  <c r="AA688" i="2"/>
  <c r="AA686" i="2"/>
  <c r="S684" i="2"/>
  <c r="Y682" i="2"/>
  <c r="AB678" i="2"/>
  <c r="Q678" i="2"/>
  <c r="K678" i="2"/>
  <c r="D678" i="2"/>
  <c r="Y678" i="2"/>
  <c r="S676" i="2"/>
  <c r="H676" i="2"/>
  <c r="V676" i="2"/>
  <c r="S674" i="2"/>
  <c r="Z672" i="2"/>
  <c r="R658" i="2"/>
  <c r="AA658" i="2"/>
  <c r="AB656" i="2"/>
  <c r="U656" i="2"/>
  <c r="Q656" i="2"/>
  <c r="J656" i="2"/>
  <c r="F656" i="2"/>
  <c r="AA656" i="2"/>
  <c r="Z654" i="2"/>
  <c r="J654" i="2"/>
  <c r="AA654" i="2"/>
  <c r="AB652" i="2"/>
  <c r="U652" i="2"/>
  <c r="N652" i="2"/>
  <c r="F652" i="2"/>
  <c r="AA652" i="2"/>
  <c r="O650" i="2"/>
  <c r="Z650" i="2"/>
  <c r="S646" i="2"/>
  <c r="U644" i="2"/>
  <c r="Q644" i="2"/>
  <c r="Y640" i="2"/>
  <c r="AB640" i="2"/>
  <c r="E636" i="2"/>
  <c r="AB636" i="2"/>
  <c r="O634" i="2"/>
  <c r="U632" i="2"/>
  <c r="S630" i="2"/>
  <c r="AB628" i="2"/>
  <c r="Q624" i="2"/>
  <c r="Q620" i="2"/>
  <c r="AA618" i="2"/>
  <c r="O618" i="2"/>
  <c r="I616" i="2"/>
  <c r="E616" i="2"/>
  <c r="AB616" i="2"/>
  <c r="S614" i="2"/>
  <c r="M612" i="2"/>
  <c r="AB612" i="2"/>
  <c r="AA610" i="2"/>
  <c r="O610" i="2"/>
  <c r="U608" i="2"/>
  <c r="Q608" i="2"/>
  <c r="U604" i="2"/>
  <c r="W600" i="2"/>
  <c r="V598" i="2"/>
  <c r="N598" i="2"/>
  <c r="F598" i="2"/>
  <c r="U596" i="2"/>
  <c r="G594" i="2"/>
  <c r="G588" i="2"/>
  <c r="T586" i="2"/>
  <c r="P586" i="2"/>
  <c r="D586" i="2"/>
  <c r="T582" i="2"/>
  <c r="G580" i="2"/>
  <c r="T578" i="2"/>
  <c r="P578" i="2"/>
  <c r="D578" i="2"/>
  <c r="Q574" i="2"/>
  <c r="K572" i="2"/>
  <c r="Y570" i="2"/>
  <c r="U570" i="2"/>
  <c r="M570" i="2"/>
  <c r="I570" i="2"/>
  <c r="E570" i="2"/>
  <c r="W570" i="2"/>
  <c r="W568" i="2"/>
  <c r="O568" i="2"/>
  <c r="G568" i="2"/>
  <c r="Y568" i="2"/>
  <c r="AA564" i="2"/>
  <c r="X562" i="2"/>
  <c r="P562" i="2"/>
  <c r="H562" i="2"/>
  <c r="D562" i="2"/>
  <c r="AA556" i="2"/>
  <c r="X554" i="2"/>
  <c r="Y546" i="2"/>
  <c r="U546" i="2"/>
  <c r="M546" i="2"/>
  <c r="I546" i="2"/>
  <c r="E546" i="2"/>
  <c r="AB546" i="2"/>
  <c r="Z544" i="2"/>
  <c r="Y542" i="2"/>
  <c r="T540" i="2"/>
  <c r="T538" i="2"/>
  <c r="H538" i="2"/>
  <c r="Y538" i="2"/>
  <c r="Z536" i="2"/>
  <c r="T536" i="2"/>
  <c r="J536" i="2"/>
  <c r="H536" i="2"/>
  <c r="R536" i="2"/>
  <c r="V534" i="2"/>
  <c r="T532" i="2"/>
  <c r="L532" i="2"/>
  <c r="Y530" i="2"/>
  <c r="Z528" i="2"/>
  <c r="X526" i="2"/>
  <c r="V526" i="2"/>
  <c r="H526" i="2"/>
  <c r="F526" i="2"/>
  <c r="Y526" i="2"/>
  <c r="J524" i="2"/>
  <c r="AB524" i="2"/>
  <c r="N522" i="2"/>
  <c r="Y522" i="2"/>
  <c r="L520" i="2"/>
  <c r="AB520" i="2"/>
  <c r="V518" i="2"/>
  <c r="N518" i="2"/>
  <c r="F518" i="2"/>
  <c r="Y518" i="2"/>
  <c r="W514" i="2"/>
  <c r="Q510" i="2"/>
  <c r="AB508" i="2"/>
  <c r="L508" i="2"/>
  <c r="H508" i="2"/>
  <c r="D508" i="2"/>
  <c r="T508" i="2"/>
  <c r="X504" i="2"/>
  <c r="V504" i="2"/>
  <c r="H504" i="2"/>
  <c r="F504" i="2"/>
  <c r="Y504" i="2"/>
  <c r="AB502" i="2"/>
  <c r="X500" i="2"/>
  <c r="V500" i="2"/>
  <c r="H500" i="2"/>
  <c r="F500" i="2"/>
  <c r="Y500" i="2"/>
  <c r="AB498" i="2"/>
  <c r="T498" i="2"/>
  <c r="S496" i="2"/>
  <c r="J494" i="2"/>
  <c r="P492" i="2"/>
  <c r="T488" i="2"/>
  <c r="H488" i="2"/>
  <c r="Y488" i="2"/>
  <c r="P486" i="2"/>
  <c r="Y484" i="2"/>
  <c r="AB482" i="2"/>
  <c r="O480" i="2"/>
  <c r="Z478" i="2"/>
  <c r="L478" i="2"/>
  <c r="AB476" i="2"/>
  <c r="T476" i="2"/>
  <c r="P476" i="2"/>
  <c r="H476" i="2"/>
  <c r="F476" i="2"/>
  <c r="AA476" i="2"/>
  <c r="J474" i="2"/>
  <c r="AB472" i="2"/>
  <c r="T472" i="2"/>
  <c r="P472" i="2"/>
  <c r="H472" i="2"/>
  <c r="F472" i="2"/>
  <c r="Y472" i="2"/>
  <c r="R447" i="2"/>
  <c r="M445" i="2"/>
  <c r="AB445" i="2"/>
  <c r="O443" i="2"/>
  <c r="N441" i="2"/>
  <c r="AB439" i="2"/>
  <c r="J437" i="2"/>
  <c r="W435" i="2"/>
  <c r="Z433" i="2"/>
  <c r="Y431" i="2"/>
  <c r="W431" i="2"/>
  <c r="J429" i="2"/>
  <c r="M427" i="2"/>
  <c r="W427" i="2"/>
  <c r="R425" i="2"/>
  <c r="W423" i="2"/>
  <c r="Y421" i="2"/>
  <c r="X419" i="2"/>
  <c r="Y417" i="2"/>
  <c r="X415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R411" i="2"/>
  <c r="Y409" i="2"/>
  <c r="Y407" i="2"/>
  <c r="AA405" i="2"/>
  <c r="N403" i="2"/>
  <c r="Y403" i="2"/>
  <c r="X401" i="2"/>
  <c r="Q399" i="2"/>
  <c r="E399" i="2"/>
  <c r="W399" i="2"/>
  <c r="H397" i="2"/>
  <c r="Y397" i="2"/>
  <c r="AA395" i="2"/>
  <c r="X393" i="2"/>
  <c r="Q391" i="2"/>
  <c r="X389" i="2"/>
  <c r="N389" i="2"/>
  <c r="AA389" i="2"/>
  <c r="Y387" i="2"/>
  <c r="X385" i="2"/>
  <c r="Q383" i="2"/>
  <c r="X381" i="2"/>
  <c r="Q379" i="2"/>
  <c r="Y379" i="2"/>
  <c r="AA377" i="2"/>
  <c r="Y373" i="2"/>
  <c r="AA371" i="2"/>
  <c r="Y369" i="2"/>
  <c r="AA367" i="2"/>
  <c r="N365" i="2"/>
  <c r="Y365" i="2"/>
  <c r="AA363" i="2"/>
  <c r="Y361" i="2"/>
  <c r="D359" i="2"/>
  <c r="AA359" i="2"/>
  <c r="T357" i="2"/>
  <c r="AA355" i="2"/>
  <c r="T353" i="2"/>
  <c r="AB353" i="2"/>
  <c r="K351" i="2"/>
  <c r="X349" i="2"/>
  <c r="AA347" i="2"/>
  <c r="AA345" i="2"/>
  <c r="Y343" i="2"/>
  <c r="O341" i="2"/>
  <c r="AA339" i="2"/>
  <c r="AA337" i="2"/>
  <c r="W335" i="2"/>
  <c r="V333" i="2"/>
  <c r="AA331" i="2"/>
  <c r="AA329" i="2"/>
  <c r="AA327" i="2"/>
  <c r="V325" i="2"/>
  <c r="AA323" i="2"/>
  <c r="AA321" i="2"/>
  <c r="W319" i="2"/>
  <c r="AA317" i="2"/>
  <c r="AA315" i="2"/>
  <c r="O313" i="2"/>
  <c r="T311" i="2"/>
  <c r="D311" i="2"/>
  <c r="AA311" i="2"/>
  <c r="AA309" i="2"/>
  <c r="O307" i="2"/>
  <c r="W307" i="2"/>
  <c r="N305" i="2"/>
  <c r="M303" i="2"/>
  <c r="AA303" i="2"/>
  <c r="AA301" i="2"/>
  <c r="Z297" i="2"/>
  <c r="E295" i="2"/>
  <c r="AA295" i="2"/>
  <c r="K293" i="2"/>
  <c r="AA291" i="2"/>
  <c r="AA289" i="2"/>
  <c r="AA287" i="2"/>
  <c r="Z285" i="2"/>
  <c r="AA283" i="2"/>
  <c r="AA281" i="2"/>
  <c r="G279" i="2"/>
  <c r="AA277" i="2"/>
  <c r="AA275" i="2"/>
  <c r="O273" i="2"/>
  <c r="AA271" i="2"/>
  <c r="O269" i="2"/>
  <c r="V267" i="2"/>
  <c r="U265" i="2"/>
  <c r="AA265" i="2"/>
  <c r="W263" i="2"/>
  <c r="X261" i="2"/>
  <c r="AA261" i="2"/>
  <c r="K259" i="2"/>
  <c r="AA257" i="2"/>
  <c r="O255" i="2"/>
  <c r="AA253" i="2"/>
  <c r="AA251" i="2"/>
  <c r="AA249" i="2"/>
  <c r="AA247" i="2"/>
  <c r="O245" i="2"/>
  <c r="P243" i="2"/>
  <c r="AA243" i="2"/>
  <c r="AA241" i="2"/>
  <c r="W239" i="2"/>
  <c r="N237" i="2"/>
  <c r="M235" i="2"/>
  <c r="AA235" i="2"/>
  <c r="H233" i="2"/>
  <c r="AA233" i="2"/>
  <c r="S231" i="2"/>
  <c r="AA229" i="2"/>
  <c r="AA227" i="2"/>
  <c r="V225" i="2"/>
  <c r="X223" i="2"/>
  <c r="P223" i="2"/>
  <c r="AA223" i="2"/>
  <c r="Z221" i="2"/>
  <c r="AB207" i="2"/>
  <c r="Z207" i="2"/>
  <c r="V207" i="2"/>
  <c r="U207" i="2"/>
  <c r="Q207" i="2"/>
  <c r="P207" i="2"/>
  <c r="L207" i="2"/>
  <c r="J207" i="2"/>
  <c r="F207" i="2"/>
  <c r="E207" i="2"/>
  <c r="C206" i="2"/>
  <c r="AA207" i="2" s="1"/>
  <c r="AB205" i="2"/>
  <c r="X205" i="2"/>
  <c r="L205" i="2"/>
  <c r="H205" i="2"/>
  <c r="C204" i="2"/>
  <c r="AA205" i="2" s="1"/>
  <c r="AB201" i="2"/>
  <c r="AB212" i="2" s="1"/>
  <c r="U201" i="2"/>
  <c r="T201" i="2"/>
  <c r="M201" i="2"/>
  <c r="L201" i="2"/>
  <c r="E201" i="2"/>
  <c r="D201" i="2"/>
  <c r="C200" i="2"/>
  <c r="AA201" i="2" s="1"/>
  <c r="AA212" i="2" s="1"/>
  <c r="AB199" i="2"/>
  <c r="L199" i="2"/>
  <c r="C198" i="2"/>
  <c r="AA199" i="2" s="1"/>
  <c r="Z197" i="2"/>
  <c r="Y197" i="2"/>
  <c r="U197" i="2"/>
  <c r="T197" i="2"/>
  <c r="P197" i="2"/>
  <c r="N197" i="2"/>
  <c r="J197" i="2"/>
  <c r="I197" i="2"/>
  <c r="E197" i="2"/>
  <c r="D197" i="2"/>
  <c r="C196" i="2"/>
  <c r="AA197" i="2" s="1"/>
  <c r="AB195" i="2"/>
  <c r="X195" i="2"/>
  <c r="L195" i="2"/>
  <c r="H195" i="2"/>
  <c r="C194" i="2"/>
  <c r="AA195" i="2" s="1"/>
  <c r="AB193" i="2"/>
  <c r="Z193" i="2"/>
  <c r="V193" i="2"/>
  <c r="U193" i="2"/>
  <c r="Q193" i="2"/>
  <c r="P193" i="2"/>
  <c r="L193" i="2"/>
  <c r="J193" i="2"/>
  <c r="F193" i="2"/>
  <c r="E193" i="2"/>
  <c r="C192" i="2"/>
  <c r="AA193" i="2" s="1"/>
  <c r="AB191" i="2"/>
  <c r="X191" i="2"/>
  <c r="L191" i="2"/>
  <c r="H191" i="2"/>
  <c r="C190" i="2"/>
  <c r="AA191" i="2" s="1"/>
  <c r="Z189" i="2"/>
  <c r="U189" i="2"/>
  <c r="P189" i="2"/>
  <c r="J189" i="2"/>
  <c r="E189" i="2"/>
  <c r="C188" i="2"/>
  <c r="AA189" i="2" s="1"/>
  <c r="C186" i="2"/>
  <c r="AA187" i="2" s="1"/>
  <c r="AA177" i="2"/>
  <c r="AA175" i="2"/>
  <c r="W173" i="2"/>
  <c r="Z171" i="2"/>
  <c r="AA161" i="2"/>
  <c r="AB159" i="2"/>
  <c r="Z159" i="2"/>
  <c r="V159" i="2"/>
  <c r="U159" i="2"/>
  <c r="Q159" i="2"/>
  <c r="P159" i="2"/>
  <c r="L159" i="2"/>
  <c r="J159" i="2"/>
  <c r="F159" i="2"/>
  <c r="E159" i="2"/>
  <c r="AA159" i="2"/>
  <c r="AB157" i="2"/>
  <c r="X157" i="2"/>
  <c r="L157" i="2"/>
  <c r="H157" i="2"/>
  <c r="AA157" i="2"/>
  <c r="AB155" i="2"/>
  <c r="Z155" i="2"/>
  <c r="Y155" i="2"/>
  <c r="X155" i="2"/>
  <c r="V155" i="2"/>
  <c r="U155" i="2"/>
  <c r="T155" i="2"/>
  <c r="R155" i="2"/>
  <c r="Q155" i="2"/>
  <c r="P155" i="2"/>
  <c r="N155" i="2"/>
  <c r="M155" i="2"/>
  <c r="L155" i="2"/>
  <c r="J155" i="2"/>
  <c r="I155" i="2"/>
  <c r="H155" i="2"/>
  <c r="F155" i="2"/>
  <c r="E155" i="2"/>
  <c r="D155" i="2"/>
  <c r="AA155" i="2"/>
  <c r="T153" i="2"/>
  <c r="H153" i="2"/>
  <c r="AA153" i="2"/>
  <c r="AA151" i="2"/>
  <c r="AB149" i="2"/>
  <c r="V149" i="2"/>
  <c r="T149" i="2"/>
  <c r="N149" i="2"/>
  <c r="L149" i="2"/>
  <c r="F149" i="2"/>
  <c r="D149" i="2"/>
  <c r="AA149" i="2"/>
  <c r="AB147" i="2"/>
  <c r="V147" i="2"/>
  <c r="Q147" i="2"/>
  <c r="L147" i="2"/>
  <c r="F147" i="2"/>
  <c r="AA147" i="2"/>
  <c r="AB145" i="2"/>
  <c r="X145" i="2"/>
  <c r="V145" i="2"/>
  <c r="T145" i="2"/>
  <c r="P145" i="2"/>
  <c r="N145" i="2"/>
  <c r="L145" i="2"/>
  <c r="H145" i="2"/>
  <c r="F145" i="2"/>
  <c r="D145" i="2"/>
  <c r="AA145" i="2"/>
  <c r="AA143" i="2"/>
  <c r="AB141" i="2"/>
  <c r="V141" i="2"/>
  <c r="T141" i="2"/>
  <c r="N141" i="2"/>
  <c r="L141" i="2"/>
  <c r="F141" i="2"/>
  <c r="D141" i="2"/>
  <c r="AA141" i="2"/>
  <c r="Z139" i="2"/>
  <c r="Y139" i="2"/>
  <c r="U139" i="2"/>
  <c r="T139" i="2"/>
  <c r="P139" i="2"/>
  <c r="N139" i="2"/>
  <c r="J139" i="2"/>
  <c r="I139" i="2"/>
  <c r="E139" i="2"/>
  <c r="D139" i="2"/>
  <c r="AA139" i="2"/>
  <c r="AA137" i="2"/>
  <c r="AB135" i="2"/>
  <c r="V135" i="2"/>
  <c r="Q135" i="2"/>
  <c r="L135" i="2"/>
  <c r="F135" i="2"/>
  <c r="AA135" i="2"/>
  <c r="AB133" i="2"/>
  <c r="V133" i="2"/>
  <c r="T133" i="2"/>
  <c r="N133" i="2"/>
  <c r="L133" i="2"/>
  <c r="F133" i="2"/>
  <c r="D133" i="2"/>
  <c r="AA133" i="2"/>
  <c r="Z131" i="2"/>
  <c r="Y131" i="2"/>
  <c r="U131" i="2"/>
  <c r="T131" i="2"/>
  <c r="P131" i="2"/>
  <c r="N131" i="2"/>
  <c r="J131" i="2"/>
  <c r="I131" i="2"/>
  <c r="E131" i="2"/>
  <c r="D131" i="2"/>
  <c r="AA131" i="2"/>
  <c r="X129" i="2"/>
  <c r="P129" i="2"/>
  <c r="H129" i="2"/>
  <c r="AA129" i="2"/>
  <c r="N127" i="2"/>
  <c r="F127" i="2"/>
  <c r="AB125" i="2"/>
  <c r="AB123" i="2"/>
  <c r="L123" i="2"/>
  <c r="H123" i="2"/>
  <c r="X123" i="2"/>
  <c r="AA121" i="2"/>
  <c r="K121" i="2"/>
  <c r="O121" i="2"/>
  <c r="AB119" i="2"/>
  <c r="AB115" i="2"/>
  <c r="O113" i="2"/>
  <c r="AB111" i="2"/>
  <c r="AA109" i="2"/>
  <c r="M107" i="2"/>
  <c r="AB107" i="2"/>
  <c r="AA105" i="2"/>
  <c r="O105" i="2"/>
  <c r="Y103" i="2"/>
  <c r="U103" i="2"/>
  <c r="I103" i="2"/>
  <c r="E103" i="2"/>
  <c r="AB103" i="2"/>
  <c r="AA101" i="2"/>
  <c r="Y99" i="2"/>
  <c r="U99" i="2"/>
  <c r="I99" i="2"/>
  <c r="E99" i="2"/>
  <c r="AB99" i="2"/>
  <c r="O97" i="2"/>
  <c r="U95" i="2"/>
  <c r="M95" i="2"/>
  <c r="E95" i="2"/>
  <c r="AB95" i="2"/>
  <c r="AB93" i="2"/>
  <c r="W91" i="2"/>
  <c r="AA91" i="2"/>
  <c r="Z89" i="2"/>
  <c r="M87" i="2"/>
  <c r="W87" i="2"/>
  <c r="AB85" i="2"/>
  <c r="W83" i="2"/>
  <c r="AB81" i="2"/>
  <c r="V81" i="2"/>
  <c r="Q81" i="2"/>
  <c r="L81" i="2"/>
  <c r="F81" i="2"/>
  <c r="AA81" i="2"/>
  <c r="AA79" i="2"/>
  <c r="Z77" i="2"/>
  <c r="Y77" i="2"/>
  <c r="U77" i="2"/>
  <c r="T77" i="2"/>
  <c r="P77" i="2"/>
  <c r="N77" i="2"/>
  <c r="J77" i="2"/>
  <c r="I77" i="2"/>
  <c r="E77" i="2"/>
  <c r="D77" i="2"/>
  <c r="AA77" i="2"/>
  <c r="AA75" i="2"/>
  <c r="AB73" i="2"/>
  <c r="V73" i="2"/>
  <c r="Q73" i="2"/>
  <c r="L73" i="2"/>
  <c r="F73" i="2"/>
  <c r="AA73" i="2"/>
  <c r="AB71" i="2"/>
  <c r="T71" i="2"/>
  <c r="L71" i="2"/>
  <c r="D71" i="2"/>
  <c r="AA71" i="2"/>
  <c r="AB69" i="2"/>
  <c r="Z69" i="2"/>
  <c r="V69" i="2"/>
  <c r="U69" i="2"/>
  <c r="Q69" i="2"/>
  <c r="P69" i="2"/>
  <c r="L69" i="2"/>
  <c r="J69" i="2"/>
  <c r="F69" i="2"/>
  <c r="E69" i="2"/>
  <c r="AA69" i="2"/>
  <c r="AB67" i="2"/>
  <c r="V67" i="2"/>
  <c r="T67" i="2"/>
  <c r="N67" i="2"/>
  <c r="L67" i="2"/>
  <c r="F67" i="2"/>
  <c r="D67" i="2"/>
  <c r="AA67" i="2"/>
  <c r="N65" i="2"/>
  <c r="Y63" i="2"/>
  <c r="U63" i="2"/>
  <c r="Q63" i="2"/>
  <c r="M63" i="2"/>
  <c r="I63" i="2"/>
  <c r="E63" i="2"/>
  <c r="W63" i="2"/>
  <c r="B62" i="2"/>
  <c r="V61" i="2"/>
  <c r="M59" i="2"/>
  <c r="W59" i="2"/>
  <c r="W57" i="2"/>
  <c r="K57" i="2"/>
  <c r="Y55" i="2"/>
  <c r="U55" i="2"/>
  <c r="I55" i="2"/>
  <c r="E55" i="2"/>
  <c r="Q55" i="2"/>
  <c r="K53" i="2"/>
  <c r="M51" i="2"/>
  <c r="W51" i="2"/>
  <c r="W49" i="2"/>
  <c r="G49" i="2"/>
  <c r="S49" i="2"/>
  <c r="AA47" i="2"/>
  <c r="K47" i="2"/>
  <c r="F47" i="2"/>
  <c r="N47" i="2"/>
  <c r="K45" i="2"/>
  <c r="X45" i="2"/>
  <c r="AA41" i="2"/>
  <c r="W41" i="2"/>
  <c r="O41" i="2"/>
  <c r="K41" i="2"/>
  <c r="G41" i="2"/>
  <c r="Z41" i="2"/>
  <c r="Z39" i="2"/>
  <c r="Y35" i="2"/>
  <c r="U35" i="2"/>
  <c r="I35" i="2"/>
  <c r="E35" i="2"/>
  <c r="AB35" i="2"/>
  <c r="Z33" i="2"/>
  <c r="B20" i="2"/>
  <c r="Z15" i="2"/>
  <c r="AB13" i="2"/>
  <c r="Z13" i="2"/>
  <c r="X13" i="2"/>
  <c r="V13" i="2"/>
  <c r="T13" i="2"/>
  <c r="R13" i="2"/>
  <c r="P13" i="2"/>
  <c r="N13" i="2"/>
  <c r="L13" i="2"/>
  <c r="J13" i="2"/>
  <c r="H13" i="2"/>
  <c r="F13" i="2"/>
  <c r="E13" i="2"/>
  <c r="D13" i="2"/>
  <c r="Y13" i="2"/>
  <c r="Q9" i="2"/>
  <c r="H275" i="2" l="1"/>
  <c r="R429" i="2"/>
  <c r="F401" i="2"/>
  <c r="AB381" i="2"/>
  <c r="D395" i="2"/>
  <c r="T395" i="2"/>
  <c r="L329" i="2"/>
  <c r="N369" i="2"/>
  <c r="H389" i="2"/>
  <c r="L309" i="2"/>
  <c r="U295" i="2"/>
  <c r="D281" i="2"/>
  <c r="E359" i="2"/>
  <c r="R359" i="2"/>
  <c r="T359" i="2"/>
  <c r="H289" i="2"/>
  <c r="E265" i="2"/>
  <c r="D261" i="2"/>
  <c r="M261" i="2"/>
  <c r="AB233" i="2"/>
  <c r="X257" i="2"/>
  <c r="J225" i="2"/>
  <c r="N1237" i="2"/>
  <c r="J1235" i="2"/>
  <c r="U1235" i="2"/>
  <c r="D1235" i="2"/>
  <c r="N1235" i="2"/>
  <c r="Y1235" i="2"/>
  <c r="J1233" i="2"/>
  <c r="V1233" i="2"/>
  <c r="H856" i="2"/>
  <c r="M856" i="2"/>
  <c r="J854" i="2"/>
  <c r="P854" i="2"/>
  <c r="H852" i="2"/>
  <c r="R852" i="2"/>
  <c r="P850" i="2"/>
  <c r="H844" i="2"/>
  <c r="J842" i="2"/>
  <c r="H840" i="2"/>
  <c r="M840" i="2"/>
  <c r="J838" i="2"/>
  <c r="P834" i="2"/>
  <c r="H826" i="2"/>
  <c r="N824" i="2"/>
  <c r="J822" i="2"/>
  <c r="U822" i="2"/>
  <c r="D822" i="2"/>
  <c r="N822" i="2"/>
  <c r="AB822" i="2"/>
  <c r="M814" i="2"/>
  <c r="T810" i="2"/>
  <c r="R804" i="2"/>
  <c r="F804" i="2"/>
  <c r="Z804" i="2"/>
  <c r="G804" i="2"/>
  <c r="I802" i="2"/>
  <c r="T802" i="2"/>
  <c r="U802" i="2"/>
  <c r="D802" i="2"/>
  <c r="N802" i="2"/>
  <c r="Y802" i="2"/>
  <c r="J802" i="2"/>
  <c r="E802" i="2"/>
  <c r="P802" i="2"/>
  <c r="Z802" i="2"/>
  <c r="H798" i="2"/>
  <c r="F796" i="2"/>
  <c r="K796" i="2"/>
  <c r="J794" i="2"/>
  <c r="U794" i="2"/>
  <c r="D794" i="2"/>
  <c r="N794" i="2"/>
  <c r="Y794" i="2"/>
  <c r="E794" i="2"/>
  <c r="P794" i="2"/>
  <c r="Z794" i="2"/>
  <c r="V792" i="2"/>
  <c r="T790" i="2"/>
  <c r="V788" i="2"/>
  <c r="G788" i="2"/>
  <c r="L786" i="2"/>
  <c r="V786" i="2"/>
  <c r="E786" i="2"/>
  <c r="P786" i="2"/>
  <c r="Z786" i="2"/>
  <c r="F786" i="2"/>
  <c r="Q786" i="2"/>
  <c r="AB786" i="2"/>
  <c r="P778" i="2"/>
  <c r="D778" i="2"/>
  <c r="U778" i="2"/>
  <c r="E778" i="2"/>
  <c r="Z778" i="2"/>
  <c r="F776" i="2"/>
  <c r="V776" i="2"/>
  <c r="D774" i="2"/>
  <c r="Y774" i="2"/>
  <c r="T774" i="2"/>
  <c r="I774" i="2"/>
  <c r="N774" i="2"/>
  <c r="S772" i="2"/>
  <c r="D772" i="2"/>
  <c r="I770" i="2"/>
  <c r="T770" i="2"/>
  <c r="L766" i="2"/>
  <c r="D766" i="2"/>
  <c r="Q766" i="2"/>
  <c r="E766" i="2"/>
  <c r="V766" i="2"/>
  <c r="J764" i="2"/>
  <c r="Z764" i="2"/>
  <c r="V762" i="2"/>
  <c r="F762" i="2"/>
  <c r="AB762" i="2"/>
  <c r="T758" i="2"/>
  <c r="D758" i="2"/>
  <c r="Y758" i="2"/>
  <c r="I758" i="2"/>
  <c r="D756" i="2"/>
  <c r="T754" i="2"/>
  <c r="D754" i="2"/>
  <c r="I754" i="2"/>
  <c r="Y754" i="2"/>
  <c r="N754" i="2"/>
  <c r="J752" i="2"/>
  <c r="O752" i="2"/>
  <c r="Q750" i="2"/>
  <c r="F746" i="2"/>
  <c r="AB746" i="2"/>
  <c r="V746" i="2"/>
  <c r="L746" i="2"/>
  <c r="D744" i="2"/>
  <c r="D742" i="2"/>
  <c r="Y742" i="2"/>
  <c r="T742" i="2"/>
  <c r="I742" i="2"/>
  <c r="N742" i="2"/>
  <c r="D740" i="2"/>
  <c r="S740" i="2"/>
  <c r="D738" i="2"/>
  <c r="Y738" i="2"/>
  <c r="T738" i="2"/>
  <c r="O736" i="2"/>
  <c r="D736" i="2"/>
  <c r="V734" i="2"/>
  <c r="F734" i="2"/>
  <c r="AB734" i="2"/>
  <c r="L734" i="2"/>
  <c r="J728" i="2"/>
  <c r="P726" i="2"/>
  <c r="D724" i="2"/>
  <c r="H724" i="2"/>
  <c r="U722" i="2"/>
  <c r="L656" i="2"/>
  <c r="V656" i="2"/>
  <c r="E656" i="2"/>
  <c r="P656" i="2"/>
  <c r="Z656" i="2"/>
  <c r="O654" i="2"/>
  <c r="D654" i="2"/>
  <c r="R654" i="2"/>
  <c r="AB654" i="2"/>
  <c r="G654" i="2"/>
  <c r="T654" i="2"/>
  <c r="I652" i="2"/>
  <c r="P652" i="2"/>
  <c r="V652" i="2"/>
  <c r="D652" i="2"/>
  <c r="J652" i="2"/>
  <c r="Q652" i="2"/>
  <c r="Y652" i="2"/>
  <c r="E652" i="2"/>
  <c r="L652" i="2"/>
  <c r="T652" i="2"/>
  <c r="Z652" i="2"/>
  <c r="I640" i="2"/>
  <c r="M640" i="2"/>
  <c r="I636" i="2"/>
  <c r="M636" i="2"/>
  <c r="Y636" i="2"/>
  <c r="K634" i="2"/>
  <c r="AA634" i="2"/>
  <c r="E628" i="2"/>
  <c r="I628" i="2"/>
  <c r="Y628" i="2"/>
  <c r="U628" i="2"/>
  <c r="U616" i="2"/>
  <c r="Y616" i="2"/>
  <c r="G658" i="2"/>
  <c r="AB658" i="2"/>
  <c r="T658" i="2"/>
  <c r="J658" i="2"/>
  <c r="Y612" i="2"/>
  <c r="E612" i="2"/>
  <c r="I612" i="2"/>
  <c r="K610" i="2"/>
  <c r="G600" i="2"/>
  <c r="O600" i="2"/>
  <c r="AA572" i="2"/>
  <c r="K556" i="2"/>
  <c r="G650" i="2"/>
  <c r="P536" i="2"/>
  <c r="AB536" i="2"/>
  <c r="D536" i="2"/>
  <c r="D544" i="2"/>
  <c r="H544" i="2"/>
  <c r="T544" i="2"/>
  <c r="P544" i="2"/>
  <c r="AB544" i="2"/>
  <c r="R544" i="2"/>
  <c r="J544" i="2"/>
  <c r="J540" i="2"/>
  <c r="L538" i="2"/>
  <c r="V538" i="2"/>
  <c r="D538" i="2"/>
  <c r="N538" i="2"/>
  <c r="X538" i="2"/>
  <c r="F538" i="2"/>
  <c r="P538" i="2"/>
  <c r="AB538" i="2"/>
  <c r="J532" i="2"/>
  <c r="N526" i="2"/>
  <c r="P526" i="2"/>
  <c r="F542" i="2"/>
  <c r="P542" i="2"/>
  <c r="H542" i="2"/>
  <c r="T542" i="2"/>
  <c r="L542" i="2"/>
  <c r="V542" i="2"/>
  <c r="D542" i="2"/>
  <c r="N542" i="2"/>
  <c r="X542" i="2"/>
  <c r="AB542" i="2"/>
  <c r="M510" i="2"/>
  <c r="P504" i="2"/>
  <c r="N504" i="2"/>
  <c r="L502" i="2"/>
  <c r="L524" i="2"/>
  <c r="Z524" i="2"/>
  <c r="N500" i="2"/>
  <c r="P500" i="2"/>
  <c r="P522" i="2"/>
  <c r="F522" i="2"/>
  <c r="V522" i="2"/>
  <c r="H522" i="2"/>
  <c r="X522" i="2"/>
  <c r="T520" i="2"/>
  <c r="D520" i="2"/>
  <c r="Z520" i="2"/>
  <c r="J520" i="2"/>
  <c r="Z494" i="2"/>
  <c r="H518" i="2"/>
  <c r="X518" i="2"/>
  <c r="P518" i="2"/>
  <c r="AA480" i="2"/>
  <c r="E644" i="2"/>
  <c r="L488" i="2"/>
  <c r="D488" i="2"/>
  <c r="N488" i="2"/>
  <c r="X488" i="2"/>
  <c r="V488" i="2"/>
  <c r="F488" i="2"/>
  <c r="P488" i="2"/>
  <c r="AB488" i="2"/>
  <c r="Z486" i="2"/>
  <c r="J486" i="2"/>
  <c r="H486" i="2"/>
  <c r="X486" i="2"/>
  <c r="N484" i="2"/>
  <c r="E484" i="2"/>
  <c r="T484" i="2"/>
  <c r="F484" i="2"/>
  <c r="V484" i="2"/>
  <c r="L484" i="2"/>
  <c r="AB484" i="2"/>
  <c r="D476" i="2"/>
  <c r="N476" i="2"/>
  <c r="X476" i="2"/>
  <c r="L476" i="2"/>
  <c r="V476" i="2"/>
  <c r="P474" i="2"/>
  <c r="X474" i="2"/>
  <c r="H474" i="2"/>
  <c r="Z474" i="2"/>
  <c r="V472" i="2"/>
  <c r="L472" i="2"/>
  <c r="D472" i="2"/>
  <c r="N472" i="2"/>
  <c r="X472" i="2"/>
  <c r="O1078" i="2"/>
  <c r="P1078" i="2"/>
  <c r="D1078" i="2"/>
  <c r="X1078" i="2"/>
  <c r="N1072" i="2"/>
  <c r="E1072" i="2"/>
  <c r="F1072" i="2"/>
  <c r="V1072" i="2"/>
  <c r="U1072" i="2"/>
  <c r="M1072" i="2"/>
  <c r="F1068" i="2"/>
  <c r="N1068" i="2"/>
  <c r="Q1068" i="2"/>
  <c r="I1068" i="2"/>
  <c r="U1068" i="2"/>
  <c r="M1068" i="2"/>
  <c r="V1068" i="2"/>
  <c r="S1058" i="2"/>
  <c r="M1076" i="2"/>
  <c r="V1076" i="2"/>
  <c r="E1076" i="2"/>
  <c r="N1076" i="2"/>
  <c r="Y1076" i="2"/>
  <c r="F1076" i="2"/>
  <c r="Q1076" i="2"/>
  <c r="I1076" i="2"/>
  <c r="U1076" i="2"/>
  <c r="F1044" i="2"/>
  <c r="Q1044" i="2"/>
  <c r="L1046" i="2"/>
  <c r="Q1046" i="2"/>
  <c r="X1066" i="2"/>
  <c r="G1066" i="2"/>
  <c r="H1066" i="2"/>
  <c r="F1064" i="2"/>
  <c r="Q1064" i="2"/>
  <c r="I1064" i="2"/>
  <c r="U1064" i="2"/>
  <c r="M1064" i="2"/>
  <c r="V1064" i="2"/>
  <c r="P1062" i="2"/>
  <c r="D1062" i="2"/>
  <c r="X1062" i="2"/>
  <c r="G1062" i="2"/>
  <c r="AB1062" i="2"/>
  <c r="O1062" i="2"/>
  <c r="F1060" i="2"/>
  <c r="Q1060" i="2"/>
  <c r="M1060" i="2"/>
  <c r="V1060" i="2"/>
  <c r="E1060" i="2"/>
  <c r="N1060" i="2"/>
  <c r="Y1060" i="2"/>
  <c r="U1040" i="2"/>
  <c r="F1040" i="2"/>
  <c r="AA1040" i="2"/>
  <c r="O1038" i="2"/>
  <c r="Q1036" i="2"/>
  <c r="F1036" i="2"/>
  <c r="V1036" i="2"/>
  <c r="I1036" i="2"/>
  <c r="Y1036" i="2"/>
  <c r="N1036" i="2"/>
  <c r="O1034" i="2"/>
  <c r="W1034" i="2"/>
  <c r="G1034" i="2"/>
  <c r="X1034" i="2"/>
  <c r="I1032" i="2"/>
  <c r="Y1032" i="2"/>
  <c r="N1032" i="2"/>
  <c r="Q1032" i="2"/>
  <c r="K1028" i="2"/>
  <c r="Z1028" i="2"/>
  <c r="U1026" i="2"/>
  <c r="E1026" i="2"/>
  <c r="E1295" i="2"/>
  <c r="M1295" i="2"/>
  <c r="E1291" i="2"/>
  <c r="M1291" i="2"/>
  <c r="U1291" i="2"/>
  <c r="E1287" i="2"/>
  <c r="M1287" i="2"/>
  <c r="F1283" i="2"/>
  <c r="N1283" i="2"/>
  <c r="G1281" i="2"/>
  <c r="S1281" i="2"/>
  <c r="K1275" i="2"/>
  <c r="O1275" i="2"/>
  <c r="F1265" i="2"/>
  <c r="V1265" i="2"/>
  <c r="I1265" i="2"/>
  <c r="Y1265" i="2"/>
  <c r="Q1265" i="2"/>
  <c r="N1265" i="2"/>
  <c r="S1263" i="2"/>
  <c r="I1261" i="2"/>
  <c r="Y1261" i="2"/>
  <c r="Q1261" i="2"/>
  <c r="N1247" i="2"/>
  <c r="N1248" i="2" s="1"/>
  <c r="V1247" i="2"/>
  <c r="V1248" i="2" s="1"/>
  <c r="F1247" i="2"/>
  <c r="F1248" i="2" s="1"/>
  <c r="C1248" i="2"/>
  <c r="G1174" i="2"/>
  <c r="M1174" i="2"/>
  <c r="S1174" i="2"/>
  <c r="V1170" i="2"/>
  <c r="K1170" i="2"/>
  <c r="E1166" i="2"/>
  <c r="U1166" i="2"/>
  <c r="Q1166" i="2"/>
  <c r="I1166" i="2"/>
  <c r="Z1166" i="2"/>
  <c r="V1012" i="2"/>
  <c r="Q1010" i="2"/>
  <c r="V1010" i="2"/>
  <c r="F1010" i="2"/>
  <c r="AB1010" i="2"/>
  <c r="H177" i="2"/>
  <c r="P177" i="2"/>
  <c r="X177" i="2"/>
  <c r="E212" i="2"/>
  <c r="W1259" i="2"/>
  <c r="H1277" i="2"/>
  <c r="K1281" i="2"/>
  <c r="T1281" i="2"/>
  <c r="I1283" i="2"/>
  <c r="Q1283" i="2"/>
  <c r="Y1283" i="2"/>
  <c r="S1285" i="2"/>
  <c r="F1287" i="2"/>
  <c r="N1287" i="2"/>
  <c r="V1287" i="2"/>
  <c r="D1289" i="2"/>
  <c r="O1289" i="2"/>
  <c r="X1289" i="2"/>
  <c r="F1291" i="2"/>
  <c r="N1291" i="2"/>
  <c r="V1291" i="2"/>
  <c r="G1293" i="2"/>
  <c r="W1293" i="2"/>
  <c r="F1295" i="2"/>
  <c r="N1295" i="2"/>
  <c r="V1295" i="2"/>
  <c r="H1297" i="2"/>
  <c r="L1289" i="2"/>
  <c r="W1289" i="2"/>
  <c r="P1293" i="2"/>
  <c r="E1259" i="2"/>
  <c r="J1261" i="2"/>
  <c r="R1261" i="2"/>
  <c r="Z1261" i="2"/>
  <c r="J1265" i="2"/>
  <c r="R1265" i="2"/>
  <c r="Z1265" i="2"/>
  <c r="W1275" i="2"/>
  <c r="L1277" i="2"/>
  <c r="I1279" i="2"/>
  <c r="D1281" i="2"/>
  <c r="L1281" i="2"/>
  <c r="W1281" i="2"/>
  <c r="D1283" i="2"/>
  <c r="J1283" i="2"/>
  <c r="R1283" i="2"/>
  <c r="Z1283" i="2"/>
  <c r="I1287" i="2"/>
  <c r="Q1287" i="2"/>
  <c r="Y1287" i="2"/>
  <c r="G1289" i="2"/>
  <c r="P1289" i="2"/>
  <c r="AB1289" i="2"/>
  <c r="I1291" i="2"/>
  <c r="Q1291" i="2"/>
  <c r="Y1291" i="2"/>
  <c r="H1293" i="2"/>
  <c r="X1293" i="2"/>
  <c r="I1295" i="2"/>
  <c r="Q1295" i="2"/>
  <c r="Y1295" i="2"/>
  <c r="P1297" i="2"/>
  <c r="AB1277" i="2"/>
  <c r="E1261" i="2"/>
  <c r="M1261" i="2"/>
  <c r="U1261" i="2"/>
  <c r="E1265" i="2"/>
  <c r="M1265" i="2"/>
  <c r="U1265" i="2"/>
  <c r="G1275" i="2"/>
  <c r="F1281" i="2"/>
  <c r="O1281" i="2"/>
  <c r="E1283" i="2"/>
  <c r="M1283" i="2"/>
  <c r="U1283" i="2"/>
  <c r="J1287" i="2"/>
  <c r="R1287" i="2"/>
  <c r="Z1287" i="2"/>
  <c r="H1289" i="2"/>
  <c r="J1291" i="2"/>
  <c r="R1291" i="2"/>
  <c r="Z1291" i="2"/>
  <c r="J1295" i="2"/>
  <c r="R1295" i="2"/>
  <c r="Z1295" i="2"/>
  <c r="I1247" i="2"/>
  <c r="I1248" i="2" s="1"/>
  <c r="Q1247" i="2"/>
  <c r="Q1248" i="2" s="1"/>
  <c r="Y1247" i="2"/>
  <c r="Y1248" i="2" s="1"/>
  <c r="J1247" i="2"/>
  <c r="J1248" i="2" s="1"/>
  <c r="R1247" i="2"/>
  <c r="R1248" i="2" s="1"/>
  <c r="Z1247" i="2"/>
  <c r="Z1248" i="2" s="1"/>
  <c r="E1247" i="2"/>
  <c r="E1248" i="2" s="1"/>
  <c r="M1247" i="2"/>
  <c r="M1248" i="2" s="1"/>
  <c r="U1247" i="2"/>
  <c r="U1248" i="2" s="1"/>
  <c r="AA1231" i="2"/>
  <c r="N1233" i="2"/>
  <c r="W1233" i="2"/>
  <c r="F1233" i="2"/>
  <c r="O1233" i="2"/>
  <c r="Z1233" i="2"/>
  <c r="F1235" i="2"/>
  <c r="L1235" i="2"/>
  <c r="Q1235" i="2"/>
  <c r="V1235" i="2"/>
  <c r="AB1235" i="2"/>
  <c r="G1233" i="2"/>
  <c r="H1235" i="2"/>
  <c r="M1235" i="2"/>
  <c r="R1235" i="2"/>
  <c r="X1235" i="2"/>
  <c r="W1221" i="2"/>
  <c r="W1222" i="2" s="1"/>
  <c r="I1221" i="2"/>
  <c r="I1222" i="2" s="1"/>
  <c r="M1221" i="2"/>
  <c r="M1222" i="2" s="1"/>
  <c r="C1222" i="2"/>
  <c r="T1208" i="2"/>
  <c r="T1212" i="2" s="1"/>
  <c r="J1208" i="2"/>
  <c r="J1212" i="2" s="1"/>
  <c r="H1188" i="2"/>
  <c r="H1189" i="2" s="1"/>
  <c r="D1188" i="2"/>
  <c r="D1189" i="2" s="1"/>
  <c r="I1188" i="2"/>
  <c r="I1189" i="2" s="1"/>
  <c r="N1188" i="2"/>
  <c r="N1189" i="2" s="1"/>
  <c r="T1188" i="2"/>
  <c r="T1189" i="2" s="1"/>
  <c r="Y1188" i="2"/>
  <c r="Y1189" i="2" s="1"/>
  <c r="C1189" i="2"/>
  <c r="E1188" i="2"/>
  <c r="E1189" i="2" s="1"/>
  <c r="J1188" i="2"/>
  <c r="J1189" i="2" s="1"/>
  <c r="P1188" i="2"/>
  <c r="P1189" i="2" s="1"/>
  <c r="U1188" i="2"/>
  <c r="U1189" i="2" s="1"/>
  <c r="Z1188" i="2"/>
  <c r="Z1189" i="2" s="1"/>
  <c r="M1188" i="2"/>
  <c r="M1189" i="2" s="1"/>
  <c r="R1188" i="2"/>
  <c r="R1189" i="2" s="1"/>
  <c r="X1188" i="2"/>
  <c r="X1189" i="2" s="1"/>
  <c r="F1188" i="2"/>
  <c r="F1189" i="2" s="1"/>
  <c r="L1188" i="2"/>
  <c r="L1189" i="2" s="1"/>
  <c r="Q1188" i="2"/>
  <c r="Q1189" i="2" s="1"/>
  <c r="V1188" i="2"/>
  <c r="V1189" i="2" s="1"/>
  <c r="AB1188" i="2"/>
  <c r="AB1189" i="2" s="1"/>
  <c r="G1168" i="2"/>
  <c r="Q1168" i="2"/>
  <c r="AB1168" i="2"/>
  <c r="J1178" i="2"/>
  <c r="J1166" i="2"/>
  <c r="R1166" i="2"/>
  <c r="AA1166" i="2"/>
  <c r="K1168" i="2"/>
  <c r="U1168" i="2"/>
  <c r="M1170" i="2"/>
  <c r="W1170" i="2"/>
  <c r="R1174" i="2"/>
  <c r="S1178" i="2"/>
  <c r="L1168" i="2"/>
  <c r="W1168" i="2"/>
  <c r="AA1170" i="2"/>
  <c r="U1178" i="2"/>
  <c r="F1166" i="2"/>
  <c r="N1166" i="2"/>
  <c r="E1168" i="2"/>
  <c r="P1168" i="2"/>
  <c r="G1170" i="2"/>
  <c r="I1174" i="2"/>
  <c r="I1054" i="2"/>
  <c r="W1054" i="2"/>
  <c r="R1056" i="2"/>
  <c r="F1026" i="2"/>
  <c r="N1026" i="2"/>
  <c r="V1026" i="2"/>
  <c r="AA1028" i="2"/>
  <c r="J1032" i="2"/>
  <c r="R1032" i="2"/>
  <c r="Z1032" i="2"/>
  <c r="J1036" i="2"/>
  <c r="R1036" i="2"/>
  <c r="Z1036" i="2"/>
  <c r="K1040" i="2"/>
  <c r="V1040" i="2"/>
  <c r="E1042" i="2"/>
  <c r="P1042" i="2"/>
  <c r="AA1042" i="2"/>
  <c r="G1044" i="2"/>
  <c r="R1044" i="2"/>
  <c r="W1046" i="2"/>
  <c r="M1048" i="2"/>
  <c r="H1050" i="2"/>
  <c r="D1054" i="2"/>
  <c r="K1054" i="2"/>
  <c r="Q1054" i="2"/>
  <c r="Y1054" i="2"/>
  <c r="E1056" i="2"/>
  <c r="M1056" i="2"/>
  <c r="U1056" i="2"/>
  <c r="J1060" i="2"/>
  <c r="R1060" i="2"/>
  <c r="Z1060" i="2"/>
  <c r="H1062" i="2"/>
  <c r="T1062" i="2"/>
  <c r="J1064" i="2"/>
  <c r="R1064" i="2"/>
  <c r="Z1064" i="2"/>
  <c r="O1066" i="2"/>
  <c r="J1068" i="2"/>
  <c r="R1068" i="2"/>
  <c r="Z1068" i="2"/>
  <c r="I1072" i="2"/>
  <c r="Q1072" i="2"/>
  <c r="Y1072" i="2"/>
  <c r="J1076" i="2"/>
  <c r="R1076" i="2"/>
  <c r="Z1076" i="2"/>
  <c r="H1078" i="2"/>
  <c r="T1078" i="2"/>
  <c r="L1042" i="2"/>
  <c r="Z1056" i="2"/>
  <c r="I1026" i="2"/>
  <c r="Q1026" i="2"/>
  <c r="Y1026" i="2"/>
  <c r="J1028" i="2"/>
  <c r="L1030" i="2"/>
  <c r="E1032" i="2"/>
  <c r="M1032" i="2"/>
  <c r="U1032" i="2"/>
  <c r="E1036" i="2"/>
  <c r="M1036" i="2"/>
  <c r="U1036" i="2"/>
  <c r="E1040" i="2"/>
  <c r="O1040" i="2"/>
  <c r="G1042" i="2"/>
  <c r="Q1042" i="2"/>
  <c r="AB1042" i="2"/>
  <c r="K1044" i="2"/>
  <c r="V1044" i="2"/>
  <c r="R1048" i="2"/>
  <c r="E1054" i="2"/>
  <c r="L1054" i="2"/>
  <c r="T1054" i="2"/>
  <c r="AA1054" i="2"/>
  <c r="F1056" i="2"/>
  <c r="N1056" i="2"/>
  <c r="V1056" i="2"/>
  <c r="L1062" i="2"/>
  <c r="J1072" i="2"/>
  <c r="R1072" i="2"/>
  <c r="Z1072" i="2"/>
  <c r="L1078" i="2"/>
  <c r="W1042" i="2"/>
  <c r="P1054" i="2"/>
  <c r="J1056" i="2"/>
  <c r="J1026" i="2"/>
  <c r="R1026" i="2"/>
  <c r="K1042" i="2"/>
  <c r="M1044" i="2"/>
  <c r="G1054" i="2"/>
  <c r="O1054" i="2"/>
  <c r="U1054" i="2"/>
  <c r="I1056" i="2"/>
  <c r="Q1056" i="2"/>
  <c r="Y1056" i="2"/>
  <c r="H1014" i="2"/>
  <c r="M1014" i="2"/>
  <c r="R1014" i="2"/>
  <c r="X1014" i="2"/>
  <c r="L1016" i="2"/>
  <c r="H1010" i="2"/>
  <c r="M1010" i="2"/>
  <c r="R1010" i="2"/>
  <c r="X1010" i="2"/>
  <c r="L1012" i="2"/>
  <c r="W1012" i="2"/>
  <c r="D1014" i="2"/>
  <c r="I1014" i="2"/>
  <c r="N1014" i="2"/>
  <c r="T1014" i="2"/>
  <c r="Y1014" i="2"/>
  <c r="F1016" i="2"/>
  <c r="P1016" i="2"/>
  <c r="AA1016" i="2"/>
  <c r="W1016" i="2"/>
  <c r="D1010" i="2"/>
  <c r="I1010" i="2"/>
  <c r="N1010" i="2"/>
  <c r="T1010" i="2"/>
  <c r="Y1010" i="2"/>
  <c r="F1012" i="2"/>
  <c r="P1012" i="2"/>
  <c r="AA1012" i="2"/>
  <c r="E1014" i="2"/>
  <c r="J1014" i="2"/>
  <c r="P1014" i="2"/>
  <c r="U1014" i="2"/>
  <c r="Z1014" i="2"/>
  <c r="G1016" i="2"/>
  <c r="R1016" i="2"/>
  <c r="AB1016" i="2"/>
  <c r="E1010" i="2"/>
  <c r="J1010" i="2"/>
  <c r="P1010" i="2"/>
  <c r="U1010" i="2"/>
  <c r="Z1010" i="2"/>
  <c r="G1012" i="2"/>
  <c r="R1012" i="2"/>
  <c r="F1014" i="2"/>
  <c r="L1014" i="2"/>
  <c r="Q1014" i="2"/>
  <c r="V1014" i="2"/>
  <c r="AB1014" i="2"/>
  <c r="K1016" i="2"/>
  <c r="AA730" i="2"/>
  <c r="Z730" i="2"/>
  <c r="U730" i="2"/>
  <c r="Y730" i="2"/>
  <c r="X730" i="2"/>
  <c r="R730" i="2"/>
  <c r="F722" i="2"/>
  <c r="L722" i="2"/>
  <c r="Q722" i="2"/>
  <c r="V722" i="2"/>
  <c r="AB722" i="2"/>
  <c r="J724" i="2"/>
  <c r="J865" i="2" s="1"/>
  <c r="Z724" i="2"/>
  <c r="Z865" i="2" s="1"/>
  <c r="F726" i="2"/>
  <c r="L726" i="2"/>
  <c r="Q726" i="2"/>
  <c r="V726" i="2"/>
  <c r="AB726" i="2"/>
  <c r="O728" i="2"/>
  <c r="D730" i="2"/>
  <c r="I730" i="2"/>
  <c r="N730" i="2"/>
  <c r="T730" i="2"/>
  <c r="AA848" i="2"/>
  <c r="AB848" i="2"/>
  <c r="V848" i="2"/>
  <c r="Q848" i="2"/>
  <c r="L848" i="2"/>
  <c r="F848" i="2"/>
  <c r="Z848" i="2"/>
  <c r="U848" i="2"/>
  <c r="P848" i="2"/>
  <c r="J848" i="2"/>
  <c r="E848" i="2"/>
  <c r="Y848" i="2"/>
  <c r="T848" i="2"/>
  <c r="N848" i="2"/>
  <c r="I848" i="2"/>
  <c r="D848" i="2"/>
  <c r="R848" i="2"/>
  <c r="M848" i="2"/>
  <c r="H848" i="2"/>
  <c r="X848" i="2"/>
  <c r="M730" i="2"/>
  <c r="AA806" i="2"/>
  <c r="AB806" i="2"/>
  <c r="V806" i="2"/>
  <c r="Q806" i="2"/>
  <c r="L806" i="2"/>
  <c r="F806" i="2"/>
  <c r="Z806" i="2"/>
  <c r="U806" i="2"/>
  <c r="P806" i="2"/>
  <c r="J806" i="2"/>
  <c r="E806" i="2"/>
  <c r="Y806" i="2"/>
  <c r="T806" i="2"/>
  <c r="N806" i="2"/>
  <c r="I806" i="2"/>
  <c r="D806" i="2"/>
  <c r="R806" i="2"/>
  <c r="M806" i="2"/>
  <c r="H806" i="2"/>
  <c r="H722" i="2"/>
  <c r="M722" i="2"/>
  <c r="R722" i="2"/>
  <c r="X722" i="2"/>
  <c r="O724" i="2"/>
  <c r="H726" i="2"/>
  <c r="M726" i="2"/>
  <c r="R726" i="2"/>
  <c r="X726" i="2"/>
  <c r="T728" i="2"/>
  <c r="E730" i="2"/>
  <c r="J730" i="2"/>
  <c r="P730" i="2"/>
  <c r="V730" i="2"/>
  <c r="AA782" i="2"/>
  <c r="AB782" i="2"/>
  <c r="V782" i="2"/>
  <c r="Q782" i="2"/>
  <c r="L782" i="2"/>
  <c r="F782" i="2"/>
  <c r="Z782" i="2"/>
  <c r="U782" i="2"/>
  <c r="P782" i="2"/>
  <c r="J782" i="2"/>
  <c r="E782" i="2"/>
  <c r="T782" i="2"/>
  <c r="I782" i="2"/>
  <c r="R782" i="2"/>
  <c r="H782" i="2"/>
  <c r="Y782" i="2"/>
  <c r="N782" i="2"/>
  <c r="D782" i="2"/>
  <c r="AA818" i="2"/>
  <c r="AB818" i="2"/>
  <c r="V818" i="2"/>
  <c r="Q818" i="2"/>
  <c r="L818" i="2"/>
  <c r="F818" i="2"/>
  <c r="Z818" i="2"/>
  <c r="U818" i="2"/>
  <c r="P818" i="2"/>
  <c r="J818" i="2"/>
  <c r="E818" i="2"/>
  <c r="Y818" i="2"/>
  <c r="T818" i="2"/>
  <c r="N818" i="2"/>
  <c r="I818" i="2"/>
  <c r="D818" i="2"/>
  <c r="R818" i="2"/>
  <c r="M818" i="2"/>
  <c r="H818" i="2"/>
  <c r="AB830" i="2"/>
  <c r="V830" i="2"/>
  <c r="O830" i="2"/>
  <c r="G830" i="2"/>
  <c r="AA830" i="2"/>
  <c r="T830" i="2"/>
  <c r="L830" i="2"/>
  <c r="F830" i="2"/>
  <c r="Z830" i="2"/>
  <c r="R830" i="2"/>
  <c r="K830" i="2"/>
  <c r="D830" i="2"/>
  <c r="W830" i="2"/>
  <c r="P830" i="2"/>
  <c r="J830" i="2"/>
  <c r="H730" i="2"/>
  <c r="D722" i="2"/>
  <c r="I722" i="2"/>
  <c r="N722" i="2"/>
  <c r="T722" i="2"/>
  <c r="Y722" i="2"/>
  <c r="I726" i="2"/>
  <c r="N726" i="2"/>
  <c r="T726" i="2"/>
  <c r="Y726" i="2"/>
  <c r="D728" i="2"/>
  <c r="Z728" i="2"/>
  <c r="F730" i="2"/>
  <c r="L730" i="2"/>
  <c r="Q730" i="2"/>
  <c r="AB730" i="2"/>
  <c r="M782" i="2"/>
  <c r="X818" i="2"/>
  <c r="O732" i="2"/>
  <c r="H734" i="2"/>
  <c r="M734" i="2"/>
  <c r="R734" i="2"/>
  <c r="X734" i="2"/>
  <c r="T736" i="2"/>
  <c r="E738" i="2"/>
  <c r="J738" i="2"/>
  <c r="P738" i="2"/>
  <c r="U738" i="2"/>
  <c r="Z738" i="2"/>
  <c r="H740" i="2"/>
  <c r="T740" i="2"/>
  <c r="E742" i="2"/>
  <c r="J742" i="2"/>
  <c r="P742" i="2"/>
  <c r="U742" i="2"/>
  <c r="Z742" i="2"/>
  <c r="J744" i="2"/>
  <c r="H746" i="2"/>
  <c r="M746" i="2"/>
  <c r="R746" i="2"/>
  <c r="X746" i="2"/>
  <c r="O748" i="2"/>
  <c r="H750" i="2"/>
  <c r="M750" i="2"/>
  <c r="R750" i="2"/>
  <c r="X750" i="2"/>
  <c r="T752" i="2"/>
  <c r="E754" i="2"/>
  <c r="J754" i="2"/>
  <c r="P754" i="2"/>
  <c r="U754" i="2"/>
  <c r="Z754" i="2"/>
  <c r="H756" i="2"/>
  <c r="T756" i="2"/>
  <c r="E758" i="2"/>
  <c r="J758" i="2"/>
  <c r="P758" i="2"/>
  <c r="U758" i="2"/>
  <c r="Z758" i="2"/>
  <c r="J760" i="2"/>
  <c r="H762" i="2"/>
  <c r="M762" i="2"/>
  <c r="R762" i="2"/>
  <c r="X762" i="2"/>
  <c r="O764" i="2"/>
  <c r="H766" i="2"/>
  <c r="M766" i="2"/>
  <c r="R766" i="2"/>
  <c r="X766" i="2"/>
  <c r="T768" i="2"/>
  <c r="E770" i="2"/>
  <c r="J770" i="2"/>
  <c r="P770" i="2"/>
  <c r="U770" i="2"/>
  <c r="Z770" i="2"/>
  <c r="H772" i="2"/>
  <c r="T772" i="2"/>
  <c r="E774" i="2"/>
  <c r="J774" i="2"/>
  <c r="P774" i="2"/>
  <c r="U774" i="2"/>
  <c r="Z774" i="2"/>
  <c r="G776" i="2"/>
  <c r="W776" i="2"/>
  <c r="F778" i="2"/>
  <c r="L778" i="2"/>
  <c r="Q778" i="2"/>
  <c r="V778" i="2"/>
  <c r="AB778" i="2"/>
  <c r="AA798" i="2"/>
  <c r="AB798" i="2"/>
  <c r="V798" i="2"/>
  <c r="Q798" i="2"/>
  <c r="L798" i="2"/>
  <c r="F798" i="2"/>
  <c r="Z798" i="2"/>
  <c r="U798" i="2"/>
  <c r="P798" i="2"/>
  <c r="J798" i="2"/>
  <c r="E798" i="2"/>
  <c r="Y798" i="2"/>
  <c r="T798" i="2"/>
  <c r="N798" i="2"/>
  <c r="I798" i="2"/>
  <c r="D798" i="2"/>
  <c r="X798" i="2"/>
  <c r="Z808" i="2"/>
  <c r="N808" i="2"/>
  <c r="W808" i="2"/>
  <c r="G808" i="2"/>
  <c r="V808" i="2"/>
  <c r="F808" i="2"/>
  <c r="V820" i="2"/>
  <c r="J820" i="2"/>
  <c r="R820" i="2"/>
  <c r="G820" i="2"/>
  <c r="Z820" i="2"/>
  <c r="O820" i="2"/>
  <c r="F820" i="2"/>
  <c r="AA832" i="2"/>
  <c r="AB832" i="2"/>
  <c r="V832" i="2"/>
  <c r="Q832" i="2"/>
  <c r="L832" i="2"/>
  <c r="F832" i="2"/>
  <c r="Z832" i="2"/>
  <c r="U832" i="2"/>
  <c r="P832" i="2"/>
  <c r="J832" i="2"/>
  <c r="E832" i="2"/>
  <c r="Y832" i="2"/>
  <c r="T832" i="2"/>
  <c r="N832" i="2"/>
  <c r="I832" i="2"/>
  <c r="D832" i="2"/>
  <c r="R832" i="2"/>
  <c r="M832" i="2"/>
  <c r="H832" i="2"/>
  <c r="D732" i="2"/>
  <c r="S732" i="2"/>
  <c r="D734" i="2"/>
  <c r="I734" i="2"/>
  <c r="N734" i="2"/>
  <c r="T734" i="2"/>
  <c r="Y734" i="2"/>
  <c r="Z736" i="2"/>
  <c r="F738" i="2"/>
  <c r="L738" i="2"/>
  <c r="Q738" i="2"/>
  <c r="V738" i="2"/>
  <c r="AB738" i="2"/>
  <c r="J740" i="2"/>
  <c r="Z740" i="2"/>
  <c r="F742" i="2"/>
  <c r="L742" i="2"/>
  <c r="Q742" i="2"/>
  <c r="V742" i="2"/>
  <c r="AB742" i="2"/>
  <c r="O744" i="2"/>
  <c r="D746" i="2"/>
  <c r="I746" i="2"/>
  <c r="N746" i="2"/>
  <c r="T746" i="2"/>
  <c r="Y746" i="2"/>
  <c r="D748" i="2"/>
  <c r="S748" i="2"/>
  <c r="D750" i="2"/>
  <c r="I750" i="2"/>
  <c r="N750" i="2"/>
  <c r="T750" i="2"/>
  <c r="Y750" i="2"/>
  <c r="D752" i="2"/>
  <c r="Z752" i="2"/>
  <c r="F754" i="2"/>
  <c r="L754" i="2"/>
  <c r="Q754" i="2"/>
  <c r="V754" i="2"/>
  <c r="AB754" i="2"/>
  <c r="J756" i="2"/>
  <c r="Z756" i="2"/>
  <c r="F758" i="2"/>
  <c r="L758" i="2"/>
  <c r="Q758" i="2"/>
  <c r="V758" i="2"/>
  <c r="AB758" i="2"/>
  <c r="O760" i="2"/>
  <c r="D762" i="2"/>
  <c r="I762" i="2"/>
  <c r="N762" i="2"/>
  <c r="T762" i="2"/>
  <c r="Y762" i="2"/>
  <c r="D764" i="2"/>
  <c r="S764" i="2"/>
  <c r="I766" i="2"/>
  <c r="N766" i="2"/>
  <c r="T766" i="2"/>
  <c r="Y766" i="2"/>
  <c r="Z768" i="2"/>
  <c r="F770" i="2"/>
  <c r="L770" i="2"/>
  <c r="Q770" i="2"/>
  <c r="V770" i="2"/>
  <c r="AB770" i="2"/>
  <c r="J772" i="2"/>
  <c r="Z772" i="2"/>
  <c r="F774" i="2"/>
  <c r="L774" i="2"/>
  <c r="Q774" i="2"/>
  <c r="V774" i="2"/>
  <c r="AB774" i="2"/>
  <c r="N776" i="2"/>
  <c r="H778" i="2"/>
  <c r="M778" i="2"/>
  <c r="R778" i="2"/>
  <c r="X778" i="2"/>
  <c r="N780" i="2"/>
  <c r="AA780" i="2"/>
  <c r="Z784" i="2"/>
  <c r="R784" i="2"/>
  <c r="K784" i="2"/>
  <c r="AA814" i="2"/>
  <c r="AB814" i="2"/>
  <c r="V814" i="2"/>
  <c r="Q814" i="2"/>
  <c r="L814" i="2"/>
  <c r="F814" i="2"/>
  <c r="Z814" i="2"/>
  <c r="U814" i="2"/>
  <c r="P814" i="2"/>
  <c r="J814" i="2"/>
  <c r="E814" i="2"/>
  <c r="Y814" i="2"/>
  <c r="T814" i="2"/>
  <c r="N814" i="2"/>
  <c r="I814" i="2"/>
  <c r="D814" i="2"/>
  <c r="X814" i="2"/>
  <c r="X832" i="2"/>
  <c r="H732" i="2"/>
  <c r="E734" i="2"/>
  <c r="J734" i="2"/>
  <c r="P734" i="2"/>
  <c r="U734" i="2"/>
  <c r="Z734" i="2"/>
  <c r="J736" i="2"/>
  <c r="H738" i="2"/>
  <c r="M738" i="2"/>
  <c r="R738" i="2"/>
  <c r="X738" i="2"/>
  <c r="H742" i="2"/>
  <c r="M742" i="2"/>
  <c r="R742" i="2"/>
  <c r="X742" i="2"/>
  <c r="T744" i="2"/>
  <c r="E746" i="2"/>
  <c r="J746" i="2"/>
  <c r="P746" i="2"/>
  <c r="U746" i="2"/>
  <c r="Z746" i="2"/>
  <c r="H748" i="2"/>
  <c r="J750" i="2"/>
  <c r="P750" i="2"/>
  <c r="U750" i="2"/>
  <c r="Z750" i="2"/>
  <c r="H754" i="2"/>
  <c r="M754" i="2"/>
  <c r="R754" i="2"/>
  <c r="X754" i="2"/>
  <c r="H758" i="2"/>
  <c r="M758" i="2"/>
  <c r="R758" i="2"/>
  <c r="X758" i="2"/>
  <c r="T760" i="2"/>
  <c r="E762" i="2"/>
  <c r="J762" i="2"/>
  <c r="P762" i="2"/>
  <c r="U762" i="2"/>
  <c r="Z762" i="2"/>
  <c r="H764" i="2"/>
  <c r="J766" i="2"/>
  <c r="P766" i="2"/>
  <c r="U766" i="2"/>
  <c r="Z766" i="2"/>
  <c r="H770" i="2"/>
  <c r="M770" i="2"/>
  <c r="R770" i="2"/>
  <c r="X770" i="2"/>
  <c r="H774" i="2"/>
  <c r="M774" i="2"/>
  <c r="R774" i="2"/>
  <c r="X774" i="2"/>
  <c r="O776" i="2"/>
  <c r="I778" i="2"/>
  <c r="N778" i="2"/>
  <c r="T778" i="2"/>
  <c r="Y778" i="2"/>
  <c r="K780" i="2"/>
  <c r="J784" i="2"/>
  <c r="M798" i="2"/>
  <c r="H814" i="2"/>
  <c r="AA816" i="2"/>
  <c r="Z816" i="2"/>
  <c r="R816" i="2"/>
  <c r="J816" i="2"/>
  <c r="W820" i="2"/>
  <c r="AB846" i="2"/>
  <c r="V846" i="2"/>
  <c r="O846" i="2"/>
  <c r="G846" i="2"/>
  <c r="AA846" i="2"/>
  <c r="T846" i="2"/>
  <c r="L846" i="2"/>
  <c r="F846" i="2"/>
  <c r="Z846" i="2"/>
  <c r="R846" i="2"/>
  <c r="K846" i="2"/>
  <c r="D846" i="2"/>
  <c r="W846" i="2"/>
  <c r="P846" i="2"/>
  <c r="J846" i="2"/>
  <c r="AB862" i="2"/>
  <c r="V862" i="2"/>
  <c r="O862" i="2"/>
  <c r="G862" i="2"/>
  <c r="AA862" i="2"/>
  <c r="T862" i="2"/>
  <c r="L862" i="2"/>
  <c r="F862" i="2"/>
  <c r="Z862" i="2"/>
  <c r="R862" i="2"/>
  <c r="K862" i="2"/>
  <c r="D862" i="2"/>
  <c r="W862" i="2"/>
  <c r="P862" i="2"/>
  <c r="J862" i="2"/>
  <c r="H786" i="2"/>
  <c r="M786" i="2"/>
  <c r="R786" i="2"/>
  <c r="X786" i="2"/>
  <c r="N788" i="2"/>
  <c r="W788" i="2"/>
  <c r="E790" i="2"/>
  <c r="J790" i="2"/>
  <c r="P790" i="2"/>
  <c r="U790" i="2"/>
  <c r="Z790" i="2"/>
  <c r="G792" i="2"/>
  <c r="W792" i="2"/>
  <c r="F794" i="2"/>
  <c r="L794" i="2"/>
  <c r="Q794" i="2"/>
  <c r="V794" i="2"/>
  <c r="AB794" i="2"/>
  <c r="N796" i="2"/>
  <c r="F802" i="2"/>
  <c r="L802" i="2"/>
  <c r="Q802" i="2"/>
  <c r="V802" i="2"/>
  <c r="AB802" i="2"/>
  <c r="J804" i="2"/>
  <c r="V804" i="2"/>
  <c r="E810" i="2"/>
  <c r="J810" i="2"/>
  <c r="P810" i="2"/>
  <c r="U810" i="2"/>
  <c r="Z810" i="2"/>
  <c r="F822" i="2"/>
  <c r="L822" i="2"/>
  <c r="Q822" i="2"/>
  <c r="AB834" i="2"/>
  <c r="V834" i="2"/>
  <c r="O834" i="2"/>
  <c r="G834" i="2"/>
  <c r="AA834" i="2"/>
  <c r="T834" i="2"/>
  <c r="L834" i="2"/>
  <c r="F834" i="2"/>
  <c r="Z834" i="2"/>
  <c r="R834" i="2"/>
  <c r="K834" i="2"/>
  <c r="D834" i="2"/>
  <c r="AA836" i="2"/>
  <c r="AB836" i="2"/>
  <c r="V836" i="2"/>
  <c r="Q836" i="2"/>
  <c r="L836" i="2"/>
  <c r="F836" i="2"/>
  <c r="Z836" i="2"/>
  <c r="U836" i="2"/>
  <c r="P836" i="2"/>
  <c r="J836" i="2"/>
  <c r="E836" i="2"/>
  <c r="Y836" i="2"/>
  <c r="T836" i="2"/>
  <c r="N836" i="2"/>
  <c r="I836" i="2"/>
  <c r="D836" i="2"/>
  <c r="X836" i="2"/>
  <c r="P842" i="2"/>
  <c r="M844" i="2"/>
  <c r="AB850" i="2"/>
  <c r="V850" i="2"/>
  <c r="O850" i="2"/>
  <c r="G850" i="2"/>
  <c r="AA850" i="2"/>
  <c r="T850" i="2"/>
  <c r="L850" i="2"/>
  <c r="F850" i="2"/>
  <c r="Z850" i="2"/>
  <c r="R850" i="2"/>
  <c r="K850" i="2"/>
  <c r="D850" i="2"/>
  <c r="AA852" i="2"/>
  <c r="AB852" i="2"/>
  <c r="V852" i="2"/>
  <c r="Q852" i="2"/>
  <c r="L852" i="2"/>
  <c r="F852" i="2"/>
  <c r="Z852" i="2"/>
  <c r="U852" i="2"/>
  <c r="P852" i="2"/>
  <c r="J852" i="2"/>
  <c r="E852" i="2"/>
  <c r="Y852" i="2"/>
  <c r="T852" i="2"/>
  <c r="N852" i="2"/>
  <c r="I852" i="2"/>
  <c r="D852" i="2"/>
  <c r="X852" i="2"/>
  <c r="P858" i="2"/>
  <c r="M860" i="2"/>
  <c r="D786" i="2"/>
  <c r="I786" i="2"/>
  <c r="N786" i="2"/>
  <c r="T786" i="2"/>
  <c r="Y786" i="2"/>
  <c r="F788" i="2"/>
  <c r="O788" i="2"/>
  <c r="F790" i="2"/>
  <c r="L790" i="2"/>
  <c r="Q790" i="2"/>
  <c r="V790" i="2"/>
  <c r="AB790" i="2"/>
  <c r="N792" i="2"/>
  <c r="H794" i="2"/>
  <c r="M794" i="2"/>
  <c r="R794" i="2"/>
  <c r="X794" i="2"/>
  <c r="H802" i="2"/>
  <c r="M802" i="2"/>
  <c r="R802" i="2"/>
  <c r="X802" i="2"/>
  <c r="N804" i="2"/>
  <c r="F810" i="2"/>
  <c r="L810" i="2"/>
  <c r="Q810" i="2"/>
  <c r="V810" i="2"/>
  <c r="AB810" i="2"/>
  <c r="AA822" i="2"/>
  <c r="Z822" i="2"/>
  <c r="Y822" i="2"/>
  <c r="H822" i="2"/>
  <c r="M822" i="2"/>
  <c r="R822" i="2"/>
  <c r="X822" i="2"/>
  <c r="AA826" i="2"/>
  <c r="AB826" i="2"/>
  <c r="V826" i="2"/>
  <c r="Q826" i="2"/>
  <c r="L826" i="2"/>
  <c r="F826" i="2"/>
  <c r="Z826" i="2"/>
  <c r="U826" i="2"/>
  <c r="P826" i="2"/>
  <c r="J826" i="2"/>
  <c r="E826" i="2"/>
  <c r="Y826" i="2"/>
  <c r="T826" i="2"/>
  <c r="N826" i="2"/>
  <c r="I826" i="2"/>
  <c r="D826" i="2"/>
  <c r="X826" i="2"/>
  <c r="J834" i="2"/>
  <c r="H836" i="2"/>
  <c r="AB838" i="2"/>
  <c r="V838" i="2"/>
  <c r="O838" i="2"/>
  <c r="G838" i="2"/>
  <c r="AA838" i="2"/>
  <c r="T838" i="2"/>
  <c r="L838" i="2"/>
  <c r="F838" i="2"/>
  <c r="Z838" i="2"/>
  <c r="R838" i="2"/>
  <c r="K838" i="2"/>
  <c r="D838" i="2"/>
  <c r="AA840" i="2"/>
  <c r="AB840" i="2"/>
  <c r="V840" i="2"/>
  <c r="Q840" i="2"/>
  <c r="L840" i="2"/>
  <c r="F840" i="2"/>
  <c r="Z840" i="2"/>
  <c r="U840" i="2"/>
  <c r="P840" i="2"/>
  <c r="J840" i="2"/>
  <c r="E840" i="2"/>
  <c r="Y840" i="2"/>
  <c r="T840" i="2"/>
  <c r="N840" i="2"/>
  <c r="I840" i="2"/>
  <c r="D840" i="2"/>
  <c r="X840" i="2"/>
  <c r="J850" i="2"/>
  <c r="AB854" i="2"/>
  <c r="V854" i="2"/>
  <c r="O854" i="2"/>
  <c r="G854" i="2"/>
  <c r="AA854" i="2"/>
  <c r="T854" i="2"/>
  <c r="L854" i="2"/>
  <c r="F854" i="2"/>
  <c r="Z854" i="2"/>
  <c r="R854" i="2"/>
  <c r="K854" i="2"/>
  <c r="D854" i="2"/>
  <c r="AA856" i="2"/>
  <c r="AB856" i="2"/>
  <c r="V856" i="2"/>
  <c r="Q856" i="2"/>
  <c r="L856" i="2"/>
  <c r="F856" i="2"/>
  <c r="Z856" i="2"/>
  <c r="U856" i="2"/>
  <c r="P856" i="2"/>
  <c r="J856" i="2"/>
  <c r="E856" i="2"/>
  <c r="Y856" i="2"/>
  <c r="T856" i="2"/>
  <c r="N856" i="2"/>
  <c r="I856" i="2"/>
  <c r="D856" i="2"/>
  <c r="X856" i="2"/>
  <c r="H790" i="2"/>
  <c r="M790" i="2"/>
  <c r="R790" i="2"/>
  <c r="X790" i="2"/>
  <c r="O792" i="2"/>
  <c r="H810" i="2"/>
  <c r="M810" i="2"/>
  <c r="R810" i="2"/>
  <c r="X810" i="2"/>
  <c r="AA828" i="2"/>
  <c r="V828" i="2"/>
  <c r="N828" i="2"/>
  <c r="F828" i="2"/>
  <c r="AB842" i="2"/>
  <c r="V842" i="2"/>
  <c r="O842" i="2"/>
  <c r="G842" i="2"/>
  <c r="AA842" i="2"/>
  <c r="T842" i="2"/>
  <c r="L842" i="2"/>
  <c r="F842" i="2"/>
  <c r="Z842" i="2"/>
  <c r="R842" i="2"/>
  <c r="K842" i="2"/>
  <c r="D842" i="2"/>
  <c r="AA844" i="2"/>
  <c r="AB844" i="2"/>
  <c r="V844" i="2"/>
  <c r="Q844" i="2"/>
  <c r="L844" i="2"/>
  <c r="F844" i="2"/>
  <c r="Z844" i="2"/>
  <c r="U844" i="2"/>
  <c r="P844" i="2"/>
  <c r="J844" i="2"/>
  <c r="E844" i="2"/>
  <c r="Y844" i="2"/>
  <c r="T844" i="2"/>
  <c r="N844" i="2"/>
  <c r="I844" i="2"/>
  <c r="D844" i="2"/>
  <c r="X844" i="2"/>
  <c r="AB858" i="2"/>
  <c r="V858" i="2"/>
  <c r="O858" i="2"/>
  <c r="G858" i="2"/>
  <c r="AA858" i="2"/>
  <c r="T858" i="2"/>
  <c r="L858" i="2"/>
  <c r="F858" i="2"/>
  <c r="Z858" i="2"/>
  <c r="R858" i="2"/>
  <c r="K858" i="2"/>
  <c r="D858" i="2"/>
  <c r="AA860" i="2"/>
  <c r="AB860" i="2"/>
  <c r="V860" i="2"/>
  <c r="Q860" i="2"/>
  <c r="L860" i="2"/>
  <c r="F860" i="2"/>
  <c r="Z860" i="2"/>
  <c r="U860" i="2"/>
  <c r="P860" i="2"/>
  <c r="J860" i="2"/>
  <c r="E860" i="2"/>
  <c r="Y860" i="2"/>
  <c r="T860" i="2"/>
  <c r="N860" i="2"/>
  <c r="I860" i="2"/>
  <c r="D860" i="2"/>
  <c r="X860" i="2"/>
  <c r="O824" i="2"/>
  <c r="F824" i="2"/>
  <c r="V824" i="2"/>
  <c r="G824" i="2"/>
  <c r="W824" i="2"/>
  <c r="N530" i="2"/>
  <c r="E530" i="2"/>
  <c r="F530" i="2"/>
  <c r="L530" i="2"/>
  <c r="AB530" i="2"/>
  <c r="T530" i="2"/>
  <c r="V530" i="2"/>
  <c r="O506" i="2"/>
  <c r="AA506" i="2"/>
  <c r="N548" i="2"/>
  <c r="J548" i="2"/>
  <c r="Z548" i="2"/>
  <c r="T558" i="2"/>
  <c r="D558" i="2"/>
  <c r="P558" i="2"/>
  <c r="L558" i="2"/>
  <c r="H558" i="2"/>
  <c r="AB558" i="2"/>
  <c r="Y478" i="2"/>
  <c r="X478" i="2"/>
  <c r="P478" i="2"/>
  <c r="J478" i="2"/>
  <c r="E478" i="2"/>
  <c r="V478" i="2"/>
  <c r="N478" i="2"/>
  <c r="I478" i="2"/>
  <c r="D478" i="2"/>
  <c r="M478" i="2"/>
  <c r="AB478" i="2"/>
  <c r="T482" i="2"/>
  <c r="K490" i="2"/>
  <c r="G490" i="2"/>
  <c r="Y494" i="2"/>
  <c r="V494" i="2"/>
  <c r="N494" i="2"/>
  <c r="F494" i="2"/>
  <c r="AB494" i="2"/>
  <c r="T494" i="2"/>
  <c r="L494" i="2"/>
  <c r="E494" i="2"/>
  <c r="P494" i="2"/>
  <c r="AA502" i="2"/>
  <c r="X502" i="2"/>
  <c r="P502" i="2"/>
  <c r="H502" i="2"/>
  <c r="V502" i="2"/>
  <c r="N502" i="2"/>
  <c r="F502" i="2"/>
  <c r="R502" i="2"/>
  <c r="K506" i="2"/>
  <c r="G514" i="2"/>
  <c r="AA528" i="2"/>
  <c r="X528" i="2"/>
  <c r="P528" i="2"/>
  <c r="H528" i="2"/>
  <c r="AB528" i="2"/>
  <c r="T528" i="2"/>
  <c r="D528" i="2"/>
  <c r="V528" i="2"/>
  <c r="N528" i="2"/>
  <c r="F528" i="2"/>
  <c r="L528" i="2"/>
  <c r="L534" i="2"/>
  <c r="X558" i="2"/>
  <c r="M566" i="2"/>
  <c r="Q566" i="2"/>
  <c r="I566" i="2"/>
  <c r="Y566" i="2"/>
  <c r="E566" i="2"/>
  <c r="F478" i="2"/>
  <c r="R478" i="2"/>
  <c r="O490" i="2"/>
  <c r="D494" i="2"/>
  <c r="R494" i="2"/>
  <c r="D502" i="2"/>
  <c r="T502" i="2"/>
  <c r="V512" i="2"/>
  <c r="N512" i="2"/>
  <c r="AA524" i="2"/>
  <c r="X524" i="2"/>
  <c r="P524" i="2"/>
  <c r="H524" i="2"/>
  <c r="N524" i="2"/>
  <c r="V524" i="2"/>
  <c r="F524" i="2"/>
  <c r="R524" i="2"/>
  <c r="J528" i="2"/>
  <c r="T552" i="2"/>
  <c r="AB552" i="2"/>
  <c r="L552" i="2"/>
  <c r="D552" i="2"/>
  <c r="U566" i="2"/>
  <c r="AB592" i="2"/>
  <c r="Y592" i="2"/>
  <c r="I592" i="2"/>
  <c r="U592" i="2"/>
  <c r="E592" i="2"/>
  <c r="Q592" i="2"/>
  <c r="M592" i="2"/>
  <c r="L482" i="2"/>
  <c r="D482" i="2"/>
  <c r="O514" i="2"/>
  <c r="K514" i="2"/>
  <c r="Y534" i="2"/>
  <c r="Z534" i="2"/>
  <c r="R534" i="2"/>
  <c r="J534" i="2"/>
  <c r="D534" i="2"/>
  <c r="T534" i="2"/>
  <c r="H534" i="2"/>
  <c r="AB534" i="2"/>
  <c r="P534" i="2"/>
  <c r="F534" i="2"/>
  <c r="N534" i="2"/>
  <c r="X534" i="2"/>
  <c r="E534" i="2"/>
  <c r="Y474" i="2"/>
  <c r="V474" i="2"/>
  <c r="N474" i="2"/>
  <c r="F474" i="2"/>
  <c r="AB474" i="2"/>
  <c r="T474" i="2"/>
  <c r="D474" i="2"/>
  <c r="L474" i="2"/>
  <c r="R474" i="2"/>
  <c r="H478" i="2"/>
  <c r="T478" i="2"/>
  <c r="AA486" i="2"/>
  <c r="V486" i="2"/>
  <c r="N486" i="2"/>
  <c r="F486" i="2"/>
  <c r="L486" i="2"/>
  <c r="AB486" i="2"/>
  <c r="T486" i="2"/>
  <c r="D486" i="2"/>
  <c r="R486" i="2"/>
  <c r="W490" i="2"/>
  <c r="H494" i="2"/>
  <c r="X494" i="2"/>
  <c r="X498" i="2"/>
  <c r="L498" i="2"/>
  <c r="D498" i="2"/>
  <c r="J502" i="2"/>
  <c r="Z502" i="2"/>
  <c r="AB510" i="2"/>
  <c r="Y510" i="2"/>
  <c r="I510" i="2"/>
  <c r="E510" i="2"/>
  <c r="U510" i="2"/>
  <c r="F512" i="2"/>
  <c r="AA520" i="2"/>
  <c r="X520" i="2"/>
  <c r="P520" i="2"/>
  <c r="H520" i="2"/>
  <c r="V520" i="2"/>
  <c r="N520" i="2"/>
  <c r="F520" i="2"/>
  <c r="R520" i="2"/>
  <c r="D524" i="2"/>
  <c r="T524" i="2"/>
  <c r="R528" i="2"/>
  <c r="Z554" i="2"/>
  <c r="I554" i="2"/>
  <c r="Q554" i="2"/>
  <c r="M554" i="2"/>
  <c r="E554" i="2"/>
  <c r="AA540" i="2"/>
  <c r="V540" i="2"/>
  <c r="N540" i="2"/>
  <c r="F540" i="2"/>
  <c r="L540" i="2"/>
  <c r="X540" i="2"/>
  <c r="Y576" i="2"/>
  <c r="W576" i="2"/>
  <c r="O576" i="2"/>
  <c r="V582" i="2"/>
  <c r="AB582" i="2"/>
  <c r="L582" i="2"/>
  <c r="X582" i="2"/>
  <c r="H582" i="2"/>
  <c r="X590" i="2"/>
  <c r="T590" i="2"/>
  <c r="L590" i="2"/>
  <c r="O626" i="2"/>
  <c r="AA626" i="2"/>
  <c r="AB632" i="2"/>
  <c r="M632" i="2"/>
  <c r="Y632" i="2"/>
  <c r="I632" i="2"/>
  <c r="AA648" i="2"/>
  <c r="I648" i="2"/>
  <c r="Y648" i="2"/>
  <c r="E648" i="2"/>
  <c r="H484" i="2"/>
  <c r="X484" i="2"/>
  <c r="R500" i="2"/>
  <c r="Z500" i="2"/>
  <c r="J504" i="2"/>
  <c r="Z504" i="2"/>
  <c r="R518" i="2"/>
  <c r="Z522" i="2"/>
  <c r="J526" i="2"/>
  <c r="R526" i="2"/>
  <c r="X530" i="2"/>
  <c r="AA532" i="2"/>
  <c r="X532" i="2"/>
  <c r="P532" i="2"/>
  <c r="H532" i="2"/>
  <c r="V532" i="2"/>
  <c r="Y584" i="2"/>
  <c r="W584" i="2"/>
  <c r="O584" i="2"/>
  <c r="AB596" i="2"/>
  <c r="M596" i="2"/>
  <c r="Y596" i="2"/>
  <c r="I596" i="2"/>
  <c r="AB604" i="2"/>
  <c r="M604" i="2"/>
  <c r="Y604" i="2"/>
  <c r="I604" i="2"/>
  <c r="P484" i="2"/>
  <c r="J500" i="2"/>
  <c r="R504" i="2"/>
  <c r="J518" i="2"/>
  <c r="Z518" i="2"/>
  <c r="J522" i="2"/>
  <c r="R522" i="2"/>
  <c r="Z526" i="2"/>
  <c r="H530" i="2"/>
  <c r="P530" i="2"/>
  <c r="D532" i="2"/>
  <c r="N532" i="2"/>
  <c r="Z532" i="2"/>
  <c r="D540" i="2"/>
  <c r="P540" i="2"/>
  <c r="Z540" i="2"/>
  <c r="O550" i="2"/>
  <c r="AA550" i="2"/>
  <c r="AA560" i="2"/>
  <c r="S560" i="2"/>
  <c r="K564" i="2"/>
  <c r="Y574" i="2"/>
  <c r="I574" i="2"/>
  <c r="U574" i="2"/>
  <c r="E574" i="2"/>
  <c r="G576" i="2"/>
  <c r="D582" i="2"/>
  <c r="G584" i="2"/>
  <c r="D590" i="2"/>
  <c r="E596" i="2"/>
  <c r="E604" i="2"/>
  <c r="AB608" i="2"/>
  <c r="M608" i="2"/>
  <c r="Y608" i="2"/>
  <c r="I608" i="2"/>
  <c r="AB620" i="2"/>
  <c r="Y620" i="2"/>
  <c r="I620" i="2"/>
  <c r="U620" i="2"/>
  <c r="E620" i="2"/>
  <c r="AB624" i="2"/>
  <c r="Y624" i="2"/>
  <c r="I624" i="2"/>
  <c r="U624" i="2"/>
  <c r="E624" i="2"/>
  <c r="K626" i="2"/>
  <c r="E632" i="2"/>
  <c r="O642" i="2"/>
  <c r="AA642" i="2"/>
  <c r="K642" i="2"/>
  <c r="M648" i="2"/>
  <c r="J472" i="2"/>
  <c r="R472" i="2"/>
  <c r="Z472" i="2"/>
  <c r="J476" i="2"/>
  <c r="R476" i="2"/>
  <c r="Z476" i="2"/>
  <c r="K480" i="2"/>
  <c r="D484" i="2"/>
  <c r="J484" i="2"/>
  <c r="R484" i="2"/>
  <c r="Z484" i="2"/>
  <c r="J488" i="2"/>
  <c r="R488" i="2"/>
  <c r="Z488" i="2"/>
  <c r="D500" i="2"/>
  <c r="L500" i="2"/>
  <c r="T500" i="2"/>
  <c r="AB500" i="2"/>
  <c r="D504" i="2"/>
  <c r="L504" i="2"/>
  <c r="T504" i="2"/>
  <c r="AB504" i="2"/>
  <c r="D518" i="2"/>
  <c r="L518" i="2"/>
  <c r="T518" i="2"/>
  <c r="AB518" i="2"/>
  <c r="D522" i="2"/>
  <c r="L522" i="2"/>
  <c r="T522" i="2"/>
  <c r="AB522" i="2"/>
  <c r="D526" i="2"/>
  <c r="L526" i="2"/>
  <c r="T526" i="2"/>
  <c r="AB526" i="2"/>
  <c r="D530" i="2"/>
  <c r="J530" i="2"/>
  <c r="R530" i="2"/>
  <c r="Z530" i="2"/>
  <c r="F532" i="2"/>
  <c r="R532" i="2"/>
  <c r="AB532" i="2"/>
  <c r="AA536" i="2"/>
  <c r="V536" i="2"/>
  <c r="N536" i="2"/>
  <c r="F536" i="2"/>
  <c r="L536" i="2"/>
  <c r="X536" i="2"/>
  <c r="H540" i="2"/>
  <c r="R540" i="2"/>
  <c r="AB540" i="2"/>
  <c r="AA544" i="2"/>
  <c r="V544" i="2"/>
  <c r="N544" i="2"/>
  <c r="F544" i="2"/>
  <c r="L544" i="2"/>
  <c r="X544" i="2"/>
  <c r="K550" i="2"/>
  <c r="AB562" i="2"/>
  <c r="L562" i="2"/>
  <c r="T562" i="2"/>
  <c r="S564" i="2"/>
  <c r="M574" i="2"/>
  <c r="V578" i="2"/>
  <c r="AB578" i="2"/>
  <c r="L578" i="2"/>
  <c r="X578" i="2"/>
  <c r="H578" i="2"/>
  <c r="Y580" i="2"/>
  <c r="W580" i="2"/>
  <c r="O580" i="2"/>
  <c r="P582" i="2"/>
  <c r="V586" i="2"/>
  <c r="AB586" i="2"/>
  <c r="L586" i="2"/>
  <c r="X586" i="2"/>
  <c r="H586" i="2"/>
  <c r="Y588" i="2"/>
  <c r="W588" i="2"/>
  <c r="O588" i="2"/>
  <c r="AB590" i="2"/>
  <c r="AA594" i="2"/>
  <c r="W594" i="2"/>
  <c r="O594" i="2"/>
  <c r="Q596" i="2"/>
  <c r="Q604" i="2"/>
  <c r="E608" i="2"/>
  <c r="M620" i="2"/>
  <c r="M624" i="2"/>
  <c r="Q632" i="2"/>
  <c r="AB644" i="2"/>
  <c r="M644" i="2"/>
  <c r="Y644" i="2"/>
  <c r="I644" i="2"/>
  <c r="Q648" i="2"/>
  <c r="Q612" i="2"/>
  <c r="M616" i="2"/>
  <c r="M628" i="2"/>
  <c r="Q636" i="2"/>
  <c r="Q640" i="2"/>
  <c r="W650" i="2"/>
  <c r="H656" i="2"/>
  <c r="M656" i="2"/>
  <c r="R656" i="2"/>
  <c r="X656" i="2"/>
  <c r="L658" i="2"/>
  <c r="W658" i="2"/>
  <c r="J538" i="2"/>
  <c r="R538" i="2"/>
  <c r="Z538" i="2"/>
  <c r="J542" i="2"/>
  <c r="R542" i="2"/>
  <c r="Z542" i="2"/>
  <c r="Q546" i="2"/>
  <c r="Q570" i="2"/>
  <c r="U612" i="2"/>
  <c r="Q616" i="2"/>
  <c r="K618" i="2"/>
  <c r="Q628" i="2"/>
  <c r="U636" i="2"/>
  <c r="E640" i="2"/>
  <c r="U640" i="2"/>
  <c r="H652" i="2"/>
  <c r="M652" i="2"/>
  <c r="R652" i="2"/>
  <c r="X652" i="2"/>
  <c r="L654" i="2"/>
  <c r="W654" i="2"/>
  <c r="D656" i="2"/>
  <c r="I656" i="2"/>
  <c r="N656" i="2"/>
  <c r="T656" i="2"/>
  <c r="Y656" i="2"/>
  <c r="D658" i="2"/>
  <c r="O658" i="2"/>
  <c r="Z658" i="2"/>
  <c r="AB385" i="2"/>
  <c r="H331" i="2"/>
  <c r="F333" i="2"/>
  <c r="G335" i="2"/>
  <c r="E339" i="2"/>
  <c r="U339" i="2"/>
  <c r="F343" i="2"/>
  <c r="V343" i="2"/>
  <c r="K347" i="2"/>
  <c r="AA351" i="2"/>
  <c r="F361" i="2"/>
  <c r="P365" i="2"/>
  <c r="P369" i="2"/>
  <c r="U379" i="2"/>
  <c r="F385" i="2"/>
  <c r="D393" i="2"/>
  <c r="F395" i="2"/>
  <c r="V395" i="2"/>
  <c r="P397" i="2"/>
  <c r="G399" i="2"/>
  <c r="U399" i="2"/>
  <c r="V401" i="2"/>
  <c r="V403" i="2"/>
  <c r="E409" i="2"/>
  <c r="J411" i="2"/>
  <c r="D415" i="2"/>
  <c r="D419" i="2"/>
  <c r="E421" i="2"/>
  <c r="I423" i="2"/>
  <c r="Z425" i="2"/>
  <c r="Y427" i="2"/>
  <c r="Z429" i="2"/>
  <c r="Z437" i="2"/>
  <c r="AA443" i="2"/>
  <c r="Y445" i="2"/>
  <c r="P343" i="2"/>
  <c r="P331" i="2"/>
  <c r="J333" i="2"/>
  <c r="K335" i="2"/>
  <c r="L337" i="2"/>
  <c r="H339" i="2"/>
  <c r="X339" i="2"/>
  <c r="H343" i="2"/>
  <c r="X343" i="2"/>
  <c r="J359" i="2"/>
  <c r="Z359" i="2"/>
  <c r="N361" i="2"/>
  <c r="F365" i="2"/>
  <c r="V365" i="2"/>
  <c r="F369" i="2"/>
  <c r="V369" i="2"/>
  <c r="U373" i="2"/>
  <c r="G379" i="2"/>
  <c r="I383" i="2"/>
  <c r="L385" i="2"/>
  <c r="P389" i="2"/>
  <c r="I391" i="2"/>
  <c r="T393" i="2"/>
  <c r="L395" i="2"/>
  <c r="AB395" i="2"/>
  <c r="X397" i="2"/>
  <c r="I399" i="2"/>
  <c r="Y399" i="2"/>
  <c r="M409" i="2"/>
  <c r="Z411" i="2"/>
  <c r="L415" i="2"/>
  <c r="L419" i="2"/>
  <c r="G421" i="2"/>
  <c r="M423" i="2"/>
  <c r="AA335" i="2"/>
  <c r="P339" i="2"/>
  <c r="X331" i="2"/>
  <c r="Z333" i="2"/>
  <c r="O335" i="2"/>
  <c r="AB337" i="2"/>
  <c r="M339" i="2"/>
  <c r="N343" i="2"/>
  <c r="H353" i="2"/>
  <c r="L359" i="2"/>
  <c r="AB359" i="2"/>
  <c r="V361" i="2"/>
  <c r="H365" i="2"/>
  <c r="X365" i="2"/>
  <c r="H369" i="2"/>
  <c r="X369" i="2"/>
  <c r="I379" i="2"/>
  <c r="L381" i="2"/>
  <c r="U383" i="2"/>
  <c r="V385" i="2"/>
  <c r="F389" i="2"/>
  <c r="V389" i="2"/>
  <c r="U391" i="2"/>
  <c r="N395" i="2"/>
  <c r="O399" i="2"/>
  <c r="F403" i="2"/>
  <c r="U409" i="2"/>
  <c r="T419" i="2"/>
  <c r="O421" i="2"/>
  <c r="Y423" i="2"/>
  <c r="I427" i="2"/>
  <c r="I431" i="2"/>
  <c r="M435" i="2"/>
  <c r="I445" i="2"/>
  <c r="T329" i="2"/>
  <c r="D329" i="2"/>
  <c r="X329" i="2"/>
  <c r="H329" i="2"/>
  <c r="AB329" i="2"/>
  <c r="D323" i="2"/>
  <c r="M323" i="2"/>
  <c r="X323" i="2"/>
  <c r="U323" i="2"/>
  <c r="E323" i="2"/>
  <c r="P323" i="2"/>
  <c r="AB323" i="2"/>
  <c r="L323" i="2"/>
  <c r="H323" i="2"/>
  <c r="T323" i="2"/>
  <c r="L321" i="2"/>
  <c r="AB321" i="2"/>
  <c r="M317" i="2"/>
  <c r="P317" i="2"/>
  <c r="E317" i="2"/>
  <c r="U317" i="2"/>
  <c r="H317" i="2"/>
  <c r="X317" i="2"/>
  <c r="E311" i="2"/>
  <c r="U311" i="2"/>
  <c r="L311" i="2"/>
  <c r="AB311" i="2"/>
  <c r="M311" i="2"/>
  <c r="X309" i="2"/>
  <c r="AB309" i="2"/>
  <c r="H309" i="2"/>
  <c r="G307" i="2"/>
  <c r="AA307" i="2"/>
  <c r="K307" i="2"/>
  <c r="P303" i="2"/>
  <c r="E303" i="2"/>
  <c r="U303" i="2"/>
  <c r="H303" i="2"/>
  <c r="X303" i="2"/>
  <c r="L295" i="2"/>
  <c r="AB295" i="2"/>
  <c r="M295" i="2"/>
  <c r="D295" i="2"/>
  <c r="T295" i="2"/>
  <c r="O293" i="2"/>
  <c r="M291" i="2"/>
  <c r="D291" i="2"/>
  <c r="T291" i="2"/>
  <c r="E291" i="2"/>
  <c r="U291" i="2"/>
  <c r="L291" i="2"/>
  <c r="AB291" i="2"/>
  <c r="L289" i="2"/>
  <c r="X289" i="2"/>
  <c r="AB289" i="2"/>
  <c r="H281" i="2"/>
  <c r="T281" i="2"/>
  <c r="X281" i="2"/>
  <c r="O279" i="2"/>
  <c r="W279" i="2"/>
  <c r="T275" i="2"/>
  <c r="X275" i="2"/>
  <c r="D275" i="2"/>
  <c r="K273" i="2"/>
  <c r="H271" i="2"/>
  <c r="P271" i="2"/>
  <c r="X271" i="2"/>
  <c r="H265" i="2"/>
  <c r="X265" i="2"/>
  <c r="M265" i="2"/>
  <c r="P265" i="2"/>
  <c r="E261" i="2"/>
  <c r="P261" i="2"/>
  <c r="AB261" i="2"/>
  <c r="H261" i="2"/>
  <c r="T261" i="2"/>
  <c r="L261" i="2"/>
  <c r="U261" i="2"/>
  <c r="O259" i="2"/>
  <c r="H257" i="2"/>
  <c r="P257" i="2"/>
  <c r="E253" i="2"/>
  <c r="M253" i="2"/>
  <c r="U253" i="2"/>
  <c r="K249" i="2"/>
  <c r="O249" i="2"/>
  <c r="X243" i="2"/>
  <c r="H243" i="2"/>
  <c r="X241" i="2"/>
  <c r="AB241" i="2"/>
  <c r="H241" i="2"/>
  <c r="L241" i="2"/>
  <c r="AA239" i="2"/>
  <c r="G239" i="2"/>
  <c r="K239" i="2"/>
  <c r="P235" i="2"/>
  <c r="E235" i="2"/>
  <c r="U235" i="2"/>
  <c r="H235" i="2"/>
  <c r="X235" i="2"/>
  <c r="L233" i="2"/>
  <c r="T233" i="2"/>
  <c r="D233" i="2"/>
  <c r="X233" i="2"/>
  <c r="K227" i="2"/>
  <c r="Z225" i="2"/>
  <c r="F225" i="2"/>
  <c r="H223" i="2"/>
  <c r="I177" i="2"/>
  <c r="Q177" i="2"/>
  <c r="Y177" i="2"/>
  <c r="D177" i="2"/>
  <c r="L177" i="2"/>
  <c r="T177" i="2"/>
  <c r="AB177" i="2"/>
  <c r="E177" i="2"/>
  <c r="M177" i="2"/>
  <c r="U177" i="2"/>
  <c r="P175" i="2"/>
  <c r="D175" i="2"/>
  <c r="T175" i="2"/>
  <c r="H175" i="2"/>
  <c r="X175" i="2"/>
  <c r="L175" i="2"/>
  <c r="AB175" i="2"/>
  <c r="T680" i="2"/>
  <c r="D680" i="2"/>
  <c r="L680" i="2"/>
  <c r="E680" i="2"/>
  <c r="N680" i="2"/>
  <c r="Y680" i="2"/>
  <c r="I680" i="2"/>
  <c r="V680" i="2"/>
  <c r="F680" i="2"/>
  <c r="Q680" i="2"/>
  <c r="AB680" i="2"/>
  <c r="I1154" i="2"/>
  <c r="D1152" i="2"/>
  <c r="S1152" i="2"/>
  <c r="O1152" i="2"/>
  <c r="H1152" i="2"/>
  <c r="J1150" i="2"/>
  <c r="P1150" i="2"/>
  <c r="W1150" i="2"/>
  <c r="D1150" i="2"/>
  <c r="K1150" i="2"/>
  <c r="R1150" i="2"/>
  <c r="Z1150" i="2"/>
  <c r="F1150" i="2"/>
  <c r="L1150" i="2"/>
  <c r="T1150" i="2"/>
  <c r="AA1150" i="2"/>
  <c r="G1150" i="2"/>
  <c r="O1150" i="2"/>
  <c r="V1150" i="2"/>
  <c r="X1148" i="2"/>
  <c r="D1148" i="2"/>
  <c r="I1148" i="2"/>
  <c r="N1148" i="2"/>
  <c r="T1148" i="2"/>
  <c r="Y1148" i="2"/>
  <c r="H1148" i="2"/>
  <c r="R1148" i="2"/>
  <c r="E1148" i="2"/>
  <c r="J1148" i="2"/>
  <c r="P1148" i="2"/>
  <c r="U1148" i="2"/>
  <c r="Z1148" i="2"/>
  <c r="M1148" i="2"/>
  <c r="F1148" i="2"/>
  <c r="L1148" i="2"/>
  <c r="Q1148" i="2"/>
  <c r="V1148" i="2"/>
  <c r="AB1148" i="2"/>
  <c r="O1146" i="2"/>
  <c r="K1144" i="2"/>
  <c r="L1140" i="2"/>
  <c r="W1140" i="2"/>
  <c r="F1140" i="2"/>
  <c r="P1140" i="2"/>
  <c r="AA1140" i="2"/>
  <c r="G1140" i="2"/>
  <c r="R1140" i="2"/>
  <c r="AB1140" i="2"/>
  <c r="K1140" i="2"/>
  <c r="H1138" i="2"/>
  <c r="M1138" i="2"/>
  <c r="R1138" i="2"/>
  <c r="X1138" i="2"/>
  <c r="D1138" i="2"/>
  <c r="I1138" i="2"/>
  <c r="N1138" i="2"/>
  <c r="T1138" i="2"/>
  <c r="Y1138" i="2"/>
  <c r="E1138" i="2"/>
  <c r="J1138" i="2"/>
  <c r="P1138" i="2"/>
  <c r="U1138" i="2"/>
  <c r="Z1138" i="2"/>
  <c r="F1138" i="2"/>
  <c r="L1138" i="2"/>
  <c r="Q1138" i="2"/>
  <c r="V1138" i="2"/>
  <c r="AB1138" i="2"/>
  <c r="E1134" i="2"/>
  <c r="J1134" i="2"/>
  <c r="P1134" i="2"/>
  <c r="U1134" i="2"/>
  <c r="Z1134" i="2"/>
  <c r="F1134" i="2"/>
  <c r="L1134" i="2"/>
  <c r="Q1134" i="2"/>
  <c r="V1134" i="2"/>
  <c r="AB1134" i="2"/>
  <c r="H1134" i="2"/>
  <c r="M1134" i="2"/>
  <c r="R1134" i="2"/>
  <c r="X1134" i="2"/>
  <c r="D1134" i="2"/>
  <c r="I1134" i="2"/>
  <c r="N1134" i="2"/>
  <c r="T1134" i="2"/>
  <c r="Y1134" i="2"/>
  <c r="W1132" i="2"/>
  <c r="F1132" i="2"/>
  <c r="O1132" i="2"/>
  <c r="Z1132" i="2"/>
  <c r="G1132" i="2"/>
  <c r="R1132" i="2"/>
  <c r="N1132" i="2"/>
  <c r="J1132" i="2"/>
  <c r="R1130" i="2"/>
  <c r="D1130" i="2"/>
  <c r="I1130" i="2"/>
  <c r="N1130" i="2"/>
  <c r="T1130" i="2"/>
  <c r="Y1130" i="2"/>
  <c r="M1130" i="2"/>
  <c r="E1130" i="2"/>
  <c r="J1130" i="2"/>
  <c r="P1130" i="2"/>
  <c r="U1130" i="2"/>
  <c r="Z1130" i="2"/>
  <c r="H1130" i="2"/>
  <c r="X1130" i="2"/>
  <c r="F1130" i="2"/>
  <c r="L1130" i="2"/>
  <c r="Q1130" i="2"/>
  <c r="V1130" i="2"/>
  <c r="AB1130" i="2"/>
  <c r="O1128" i="2"/>
  <c r="R1128" i="2"/>
  <c r="G1128" i="2"/>
  <c r="W1128" i="2"/>
  <c r="J1128" i="2"/>
  <c r="H1126" i="2"/>
  <c r="X1126" i="2"/>
  <c r="I1126" i="2"/>
  <c r="Y1126" i="2"/>
  <c r="F1126" i="2"/>
  <c r="L1126" i="2"/>
  <c r="Q1126" i="2"/>
  <c r="V1126" i="2"/>
  <c r="AB1126" i="2"/>
  <c r="M1126" i="2"/>
  <c r="R1126" i="2"/>
  <c r="D1126" i="2"/>
  <c r="N1126" i="2"/>
  <c r="T1126" i="2"/>
  <c r="E1126" i="2"/>
  <c r="J1126" i="2"/>
  <c r="P1126" i="2"/>
  <c r="U1126" i="2"/>
  <c r="Z1126" i="2"/>
  <c r="J1124" i="2"/>
  <c r="F1122" i="2"/>
  <c r="L1122" i="2"/>
  <c r="Q1122" i="2"/>
  <c r="V1122" i="2"/>
  <c r="AB1122" i="2"/>
  <c r="H1122" i="2"/>
  <c r="M1122" i="2"/>
  <c r="R1122" i="2"/>
  <c r="X1122" i="2"/>
  <c r="D1122" i="2"/>
  <c r="I1122" i="2"/>
  <c r="N1122" i="2"/>
  <c r="T1122" i="2"/>
  <c r="Y1122" i="2"/>
  <c r="E1122" i="2"/>
  <c r="J1122" i="2"/>
  <c r="P1122" i="2"/>
  <c r="U1122" i="2"/>
  <c r="Z1122" i="2"/>
  <c r="AA1120" i="2"/>
  <c r="K1120" i="2"/>
  <c r="F1118" i="2"/>
  <c r="L1118" i="2"/>
  <c r="Q1118" i="2"/>
  <c r="V1118" i="2"/>
  <c r="AB1118" i="2"/>
  <c r="H1118" i="2"/>
  <c r="M1118" i="2"/>
  <c r="R1118" i="2"/>
  <c r="X1118" i="2"/>
  <c r="D1118" i="2"/>
  <c r="I1118" i="2"/>
  <c r="N1118" i="2"/>
  <c r="T1118" i="2"/>
  <c r="Y1118" i="2"/>
  <c r="E1118" i="2"/>
  <c r="J1118" i="2"/>
  <c r="P1118" i="2"/>
  <c r="U1118" i="2"/>
  <c r="Z1118" i="2"/>
  <c r="J1116" i="2"/>
  <c r="V1116" i="2"/>
  <c r="N1116" i="2"/>
  <c r="F1114" i="2"/>
  <c r="L1114" i="2"/>
  <c r="Q1114" i="2"/>
  <c r="V1114" i="2"/>
  <c r="AB1114" i="2"/>
  <c r="H1114" i="2"/>
  <c r="M1114" i="2"/>
  <c r="R1114" i="2"/>
  <c r="X1114" i="2"/>
  <c r="G1112" i="2"/>
  <c r="W1112" i="2"/>
  <c r="R1112" i="2"/>
  <c r="J1112" i="2"/>
  <c r="Z1112" i="2"/>
  <c r="H1110" i="2"/>
  <c r="M1110" i="2"/>
  <c r="R1110" i="2"/>
  <c r="X1110" i="2"/>
  <c r="D1110" i="2"/>
  <c r="I1110" i="2"/>
  <c r="N1110" i="2"/>
  <c r="T1110" i="2"/>
  <c r="Y1110" i="2"/>
  <c r="E1110" i="2"/>
  <c r="J1110" i="2"/>
  <c r="P1110" i="2"/>
  <c r="U1110" i="2"/>
  <c r="Z1110" i="2"/>
  <c r="F1110" i="2"/>
  <c r="L1110" i="2"/>
  <c r="Q1110" i="2"/>
  <c r="V1110" i="2"/>
  <c r="AB1110" i="2"/>
  <c r="R1108" i="2"/>
  <c r="F1106" i="2"/>
  <c r="Q1106" i="2"/>
  <c r="I1106" i="2"/>
  <c r="U1106" i="2"/>
  <c r="M1106" i="2"/>
  <c r="L1102" i="2"/>
  <c r="D1102" i="2"/>
  <c r="O1102" i="2"/>
  <c r="X1102" i="2"/>
  <c r="G1102" i="2"/>
  <c r="P1102" i="2"/>
  <c r="AB1102" i="2"/>
  <c r="W1102" i="2"/>
  <c r="H1102" i="2"/>
  <c r="H1142" i="2"/>
  <c r="M1142" i="2"/>
  <c r="R1142" i="2"/>
  <c r="X1142" i="2"/>
  <c r="D1142" i="2"/>
  <c r="I1142" i="2"/>
  <c r="N1142" i="2"/>
  <c r="T1142" i="2"/>
  <c r="Y1142" i="2"/>
  <c r="E1142" i="2"/>
  <c r="J1142" i="2"/>
  <c r="P1142" i="2"/>
  <c r="U1142" i="2"/>
  <c r="Z1142" i="2"/>
  <c r="F1142" i="2"/>
  <c r="L1142" i="2"/>
  <c r="Q1142" i="2"/>
  <c r="V1142" i="2"/>
  <c r="AB1142" i="2"/>
  <c r="J1100" i="2"/>
  <c r="R1100" i="2"/>
  <c r="H1098" i="2"/>
  <c r="M1098" i="2"/>
  <c r="R1098" i="2"/>
  <c r="X1098" i="2"/>
  <c r="D1098" i="2"/>
  <c r="I1098" i="2"/>
  <c r="N1098" i="2"/>
  <c r="T1098" i="2"/>
  <c r="Y1098" i="2"/>
  <c r="E1098" i="2"/>
  <c r="J1098" i="2"/>
  <c r="P1098" i="2"/>
  <c r="U1098" i="2"/>
  <c r="Z1098" i="2"/>
  <c r="F1098" i="2"/>
  <c r="L1098" i="2"/>
  <c r="Q1098" i="2"/>
  <c r="V1098" i="2"/>
  <c r="AB1098" i="2"/>
  <c r="N1094" i="2"/>
  <c r="Q1094" i="2"/>
  <c r="F1094" i="2"/>
  <c r="M1000" i="2"/>
  <c r="M1001" i="2" s="1"/>
  <c r="W1000" i="2"/>
  <c r="W1001" i="2" s="1"/>
  <c r="F1000" i="2"/>
  <c r="Q1000" i="2"/>
  <c r="Q1001" i="2" s="1"/>
  <c r="AA1000" i="2"/>
  <c r="AA1001" i="2" s="1"/>
  <c r="G1000" i="2"/>
  <c r="F996" i="2"/>
  <c r="G996" i="2"/>
  <c r="J996" i="2"/>
  <c r="I712" i="2"/>
  <c r="W712" i="2"/>
  <c r="M712" i="2"/>
  <c r="Z712" i="2"/>
  <c r="I710" i="2"/>
  <c r="X710" i="2"/>
  <c r="P708" i="2"/>
  <c r="N706" i="2"/>
  <c r="F706" i="2"/>
  <c r="Y706" i="2"/>
  <c r="F704" i="2"/>
  <c r="N704" i="2"/>
  <c r="U704" i="2"/>
  <c r="AB704" i="2"/>
  <c r="I704" i="2"/>
  <c r="P704" i="2"/>
  <c r="E702" i="2"/>
  <c r="L702" i="2"/>
  <c r="T702" i="2"/>
  <c r="AA702" i="2"/>
  <c r="G702" i="2"/>
  <c r="O702" i="2"/>
  <c r="U702" i="2"/>
  <c r="AB702" i="2"/>
  <c r="I702" i="2"/>
  <c r="P702" i="2"/>
  <c r="H700" i="2"/>
  <c r="AA700" i="2"/>
  <c r="L700" i="2"/>
  <c r="K698" i="2"/>
  <c r="Y698" i="2"/>
  <c r="T696" i="2"/>
  <c r="F696" i="2"/>
  <c r="I696" i="2"/>
  <c r="AB696" i="2"/>
  <c r="X696" i="2"/>
  <c r="I694" i="2"/>
  <c r="T694" i="2"/>
  <c r="D694" i="2"/>
  <c r="L694" i="2"/>
  <c r="W694" i="2"/>
  <c r="E694" i="2"/>
  <c r="O694" i="2"/>
  <c r="S690" i="2"/>
  <c r="H690" i="2"/>
  <c r="G688" i="2"/>
  <c r="R688" i="2"/>
  <c r="J688" i="2"/>
  <c r="U688" i="2"/>
  <c r="M688" i="2"/>
  <c r="W688" i="2"/>
  <c r="P686" i="2"/>
  <c r="D686" i="2"/>
  <c r="K686" i="2"/>
  <c r="Q686" i="2"/>
  <c r="AB686" i="2"/>
  <c r="I686" i="2"/>
  <c r="E686" i="2"/>
  <c r="L686" i="2"/>
  <c r="T686" i="2"/>
  <c r="Y686" i="2"/>
  <c r="G686" i="2"/>
  <c r="O686" i="2"/>
  <c r="W686" i="2"/>
  <c r="P684" i="2"/>
  <c r="V684" i="2"/>
  <c r="F684" i="2"/>
  <c r="AA684" i="2"/>
  <c r="K684" i="2"/>
  <c r="N682" i="2"/>
  <c r="E678" i="2"/>
  <c r="L678" i="2"/>
  <c r="T678" i="2"/>
  <c r="G678" i="2"/>
  <c r="O678" i="2"/>
  <c r="W678" i="2"/>
  <c r="I678" i="2"/>
  <c r="P678" i="2"/>
  <c r="V674" i="2"/>
  <c r="F674" i="2"/>
  <c r="AA674" i="2"/>
  <c r="K674" i="2"/>
  <c r="Q674" i="2"/>
  <c r="V672" i="2"/>
  <c r="F672" i="2"/>
  <c r="Q672" i="2"/>
  <c r="AB672" i="2"/>
  <c r="L672" i="2"/>
  <c r="D672" i="2"/>
  <c r="N672" i="2"/>
  <c r="Y672" i="2"/>
  <c r="I672" i="2"/>
  <c r="T672" i="2"/>
  <c r="L978" i="2"/>
  <c r="L987" i="2" s="1"/>
  <c r="W978" i="2"/>
  <c r="F978" i="2"/>
  <c r="F987" i="2" s="1"/>
  <c r="P978" i="2"/>
  <c r="H976" i="2"/>
  <c r="M976" i="2"/>
  <c r="M987" i="2" s="1"/>
  <c r="R976" i="2"/>
  <c r="R987" i="2" s="1"/>
  <c r="X976" i="2"/>
  <c r="D976" i="2"/>
  <c r="I976" i="2"/>
  <c r="I987" i="2" s="1"/>
  <c r="N976" i="2"/>
  <c r="T976" i="2"/>
  <c r="Y976" i="2"/>
  <c r="E976" i="2"/>
  <c r="J976" i="2"/>
  <c r="P976" i="2"/>
  <c r="P987" i="2" s="1"/>
  <c r="U976" i="2"/>
  <c r="Z976" i="2"/>
  <c r="Z987" i="2" s="1"/>
  <c r="M966" i="2"/>
  <c r="F966" i="2"/>
  <c r="AA966" i="2"/>
  <c r="G966" i="2"/>
  <c r="R966" i="2"/>
  <c r="W966" i="2"/>
  <c r="Q966" i="2"/>
  <c r="K966" i="2"/>
  <c r="W964" i="2"/>
  <c r="E964" i="2"/>
  <c r="P964" i="2"/>
  <c r="AA964" i="2"/>
  <c r="L964" i="2"/>
  <c r="G964" i="2"/>
  <c r="Q964" i="2"/>
  <c r="F962" i="2"/>
  <c r="M962" i="2"/>
  <c r="U962" i="2"/>
  <c r="AA962" i="2"/>
  <c r="G962" i="2"/>
  <c r="O962" i="2"/>
  <c r="V962" i="2"/>
  <c r="J962" i="2"/>
  <c r="Q962" i="2"/>
  <c r="W962" i="2"/>
  <c r="E962" i="2"/>
  <c r="K962" i="2"/>
  <c r="R962" i="2"/>
  <c r="I960" i="2"/>
  <c r="P960" i="2"/>
  <c r="W960" i="2"/>
  <c r="D960" i="2"/>
  <c r="K960" i="2"/>
  <c r="Q960" i="2"/>
  <c r="S952" i="2"/>
  <c r="G952" i="2"/>
  <c r="AB952" i="2"/>
  <c r="H952" i="2"/>
  <c r="K950" i="2"/>
  <c r="V950" i="2"/>
  <c r="M950" i="2"/>
  <c r="L948" i="2"/>
  <c r="Q946" i="2"/>
  <c r="E946" i="2"/>
  <c r="K946" i="2"/>
  <c r="R946" i="2"/>
  <c r="Z946" i="2"/>
  <c r="J946" i="2"/>
  <c r="W946" i="2"/>
  <c r="F946" i="2"/>
  <c r="M946" i="2"/>
  <c r="U946" i="2"/>
  <c r="G944" i="2"/>
  <c r="O944" i="2"/>
  <c r="U944" i="2"/>
  <c r="AB944" i="2"/>
  <c r="I944" i="2"/>
  <c r="P944" i="2"/>
  <c r="D944" i="2"/>
  <c r="K944" i="2"/>
  <c r="Q944" i="2"/>
  <c r="Y944" i="2"/>
  <c r="W944" i="2"/>
  <c r="E944" i="2"/>
  <c r="L944" i="2"/>
  <c r="T944" i="2"/>
  <c r="F942" i="2"/>
  <c r="P942" i="2"/>
  <c r="R942" i="2"/>
  <c r="AA942" i="2"/>
  <c r="G942" i="2"/>
  <c r="AB942" i="2"/>
  <c r="R938" i="2"/>
  <c r="F938" i="2"/>
  <c r="AB938" i="2"/>
  <c r="H938" i="2"/>
  <c r="L936" i="2"/>
  <c r="O934" i="2"/>
  <c r="S934" i="2"/>
  <c r="H934" i="2"/>
  <c r="T934" i="2"/>
  <c r="D934" i="2"/>
  <c r="J934" i="2"/>
  <c r="V930" i="2"/>
  <c r="D930" i="2"/>
  <c r="J930" i="2"/>
  <c r="Q930" i="2"/>
  <c r="Y930" i="2"/>
  <c r="I930" i="2"/>
  <c r="E930" i="2"/>
  <c r="L930" i="2"/>
  <c r="T930" i="2"/>
  <c r="Z930" i="2"/>
  <c r="P930" i="2"/>
  <c r="F930" i="2"/>
  <c r="N930" i="2"/>
  <c r="U930" i="2"/>
  <c r="E932" i="2"/>
  <c r="Z932" i="2"/>
  <c r="I932" i="2"/>
  <c r="O956" i="2"/>
  <c r="D956" i="2"/>
  <c r="S956" i="2"/>
  <c r="H956" i="2"/>
  <c r="G928" i="2"/>
  <c r="O928" i="2"/>
  <c r="U928" i="2"/>
  <c r="AB928" i="2"/>
  <c r="I928" i="2"/>
  <c r="P928" i="2"/>
  <c r="F918" i="2"/>
  <c r="L918" i="2"/>
  <c r="Q918" i="2"/>
  <c r="V918" i="2"/>
  <c r="AB918" i="2"/>
  <c r="H918" i="2"/>
  <c r="M918" i="2"/>
  <c r="R918" i="2"/>
  <c r="X918" i="2"/>
  <c r="G916" i="2"/>
  <c r="O916" i="2"/>
  <c r="V916" i="2"/>
  <c r="AB916" i="2"/>
  <c r="J916" i="2"/>
  <c r="P916" i="2"/>
  <c r="F914" i="2"/>
  <c r="L914" i="2"/>
  <c r="Q914" i="2"/>
  <c r="V914" i="2"/>
  <c r="AB914" i="2"/>
  <c r="H914" i="2"/>
  <c r="M914" i="2"/>
  <c r="R914" i="2"/>
  <c r="X914" i="2"/>
  <c r="K912" i="2"/>
  <c r="O910" i="2"/>
  <c r="AA910" i="2"/>
  <c r="E910" i="2"/>
  <c r="E908" i="2"/>
  <c r="F908" i="2"/>
  <c r="Q908" i="2"/>
  <c r="AB908" i="2"/>
  <c r="J908" i="2"/>
  <c r="U908" i="2"/>
  <c r="L908" i="2"/>
  <c r="W906" i="2"/>
  <c r="AA906" i="2"/>
  <c r="G906" i="2"/>
  <c r="Q906" i="2"/>
  <c r="AB906" i="2"/>
  <c r="L906" i="2"/>
  <c r="E906" i="2"/>
  <c r="P906" i="2"/>
  <c r="K906" i="2"/>
  <c r="M892" i="2"/>
  <c r="W892" i="2"/>
  <c r="F892" i="2"/>
  <c r="Q892" i="2"/>
  <c r="K890" i="2"/>
  <c r="U890" i="2"/>
  <c r="L890" i="2"/>
  <c r="J888" i="2"/>
  <c r="Q888" i="2"/>
  <c r="W888" i="2"/>
  <c r="K888" i="2"/>
  <c r="Z888" i="2"/>
  <c r="F888" i="2"/>
  <c r="M888" i="2"/>
  <c r="U888" i="2"/>
  <c r="AA888" i="2"/>
  <c r="E888" i="2"/>
  <c r="R888" i="2"/>
  <c r="G888" i="2"/>
  <c r="O888" i="2"/>
  <c r="I886" i="2"/>
  <c r="P886" i="2"/>
  <c r="S884" i="2"/>
  <c r="E884" i="2"/>
  <c r="Z884" i="2"/>
  <c r="G878" i="2"/>
  <c r="O878" i="2"/>
  <c r="V878" i="2"/>
  <c r="J878" i="2"/>
  <c r="Q878" i="2"/>
  <c r="E876" i="2"/>
  <c r="L876" i="2"/>
  <c r="T876" i="2"/>
  <c r="AA876" i="2"/>
  <c r="G876" i="2"/>
  <c r="O876" i="2"/>
  <c r="U876" i="2"/>
  <c r="AB876" i="2"/>
  <c r="I876" i="2"/>
  <c r="P876" i="2"/>
  <c r="H207" i="2"/>
  <c r="M207" i="2"/>
  <c r="R207" i="2"/>
  <c r="X207" i="2"/>
  <c r="D207" i="2"/>
  <c r="I207" i="2"/>
  <c r="N207" i="2"/>
  <c r="T207" i="2"/>
  <c r="Y207" i="2"/>
  <c r="P205" i="2"/>
  <c r="D205" i="2"/>
  <c r="T205" i="2"/>
  <c r="H201" i="2"/>
  <c r="P201" i="2"/>
  <c r="P212" i="2" s="1"/>
  <c r="X201" i="2"/>
  <c r="I201" i="2"/>
  <c r="I212" i="2" s="1"/>
  <c r="Q201" i="2"/>
  <c r="Y201" i="2"/>
  <c r="F197" i="2"/>
  <c r="L197" i="2"/>
  <c r="Q197" i="2"/>
  <c r="V197" i="2"/>
  <c r="AB197" i="2"/>
  <c r="H197" i="2"/>
  <c r="M197" i="2"/>
  <c r="R197" i="2"/>
  <c r="X197" i="2"/>
  <c r="H199" i="2"/>
  <c r="X199" i="2"/>
  <c r="P199" i="2"/>
  <c r="D199" i="2"/>
  <c r="T199" i="2"/>
  <c r="P195" i="2"/>
  <c r="D195" i="2"/>
  <c r="T195" i="2"/>
  <c r="H193" i="2"/>
  <c r="M193" i="2"/>
  <c r="R193" i="2"/>
  <c r="X193" i="2"/>
  <c r="D193" i="2"/>
  <c r="I193" i="2"/>
  <c r="N193" i="2"/>
  <c r="T193" i="2"/>
  <c r="Y193" i="2"/>
  <c r="P191" i="2"/>
  <c r="D191" i="2"/>
  <c r="T191" i="2"/>
  <c r="H187" i="2"/>
  <c r="X187" i="2"/>
  <c r="P187" i="2"/>
  <c r="D187" i="2"/>
  <c r="T187" i="2"/>
  <c r="L187" i="2"/>
  <c r="AB187" i="2"/>
  <c r="F189" i="2"/>
  <c r="L189" i="2"/>
  <c r="Q189" i="2"/>
  <c r="V189" i="2"/>
  <c r="AB189" i="2"/>
  <c r="H189" i="2"/>
  <c r="M189" i="2"/>
  <c r="R189" i="2"/>
  <c r="X189" i="2"/>
  <c r="D189" i="2"/>
  <c r="I189" i="2"/>
  <c r="N189" i="2"/>
  <c r="T189" i="2"/>
  <c r="Y189" i="2"/>
  <c r="I125" i="2"/>
  <c r="Y125" i="2"/>
  <c r="T123" i="2"/>
  <c r="D123" i="2"/>
  <c r="V127" i="2"/>
  <c r="H161" i="2"/>
  <c r="T161" i="2"/>
  <c r="X161" i="2"/>
  <c r="D161" i="2"/>
  <c r="L161" i="2"/>
  <c r="AB161" i="2"/>
  <c r="P161" i="2"/>
  <c r="D159" i="2"/>
  <c r="I159" i="2"/>
  <c r="N159" i="2"/>
  <c r="T159" i="2"/>
  <c r="Y159" i="2"/>
  <c r="H159" i="2"/>
  <c r="M159" i="2"/>
  <c r="R159" i="2"/>
  <c r="X159" i="2"/>
  <c r="D157" i="2"/>
  <c r="T157" i="2"/>
  <c r="P157" i="2"/>
  <c r="J153" i="2"/>
  <c r="X153" i="2"/>
  <c r="D153" i="2"/>
  <c r="L153" i="2"/>
  <c r="AB153" i="2"/>
  <c r="F153" i="2"/>
  <c r="P153" i="2"/>
  <c r="F151" i="2"/>
  <c r="L151" i="2"/>
  <c r="Q151" i="2"/>
  <c r="V151" i="2"/>
  <c r="AB151" i="2"/>
  <c r="H151" i="2"/>
  <c r="M151" i="2"/>
  <c r="R151" i="2"/>
  <c r="X151" i="2"/>
  <c r="D151" i="2"/>
  <c r="I151" i="2"/>
  <c r="N151" i="2"/>
  <c r="T151" i="2"/>
  <c r="Y151" i="2"/>
  <c r="E151" i="2"/>
  <c r="J151" i="2"/>
  <c r="P151" i="2"/>
  <c r="U151" i="2"/>
  <c r="Z151" i="2"/>
  <c r="H149" i="2"/>
  <c r="P149" i="2"/>
  <c r="X149" i="2"/>
  <c r="J149" i="2"/>
  <c r="R149" i="2"/>
  <c r="Z149" i="2"/>
  <c r="H147" i="2"/>
  <c r="M147" i="2"/>
  <c r="R147" i="2"/>
  <c r="X147" i="2"/>
  <c r="D147" i="2"/>
  <c r="I147" i="2"/>
  <c r="N147" i="2"/>
  <c r="T147" i="2"/>
  <c r="Y147" i="2"/>
  <c r="E147" i="2"/>
  <c r="J147" i="2"/>
  <c r="P147" i="2"/>
  <c r="U147" i="2"/>
  <c r="Z147" i="2"/>
  <c r="J145" i="2"/>
  <c r="R145" i="2"/>
  <c r="Z145" i="2"/>
  <c r="H143" i="2"/>
  <c r="M143" i="2"/>
  <c r="R143" i="2"/>
  <c r="X143" i="2"/>
  <c r="D143" i="2"/>
  <c r="I143" i="2"/>
  <c r="N143" i="2"/>
  <c r="T143" i="2"/>
  <c r="Y143" i="2"/>
  <c r="E143" i="2"/>
  <c r="J143" i="2"/>
  <c r="P143" i="2"/>
  <c r="U143" i="2"/>
  <c r="Z143" i="2"/>
  <c r="F143" i="2"/>
  <c r="L143" i="2"/>
  <c r="Q143" i="2"/>
  <c r="V143" i="2"/>
  <c r="AB143" i="2"/>
  <c r="H141" i="2"/>
  <c r="P141" i="2"/>
  <c r="X141" i="2"/>
  <c r="J141" i="2"/>
  <c r="R141" i="2"/>
  <c r="Z141" i="2"/>
  <c r="F139" i="2"/>
  <c r="L139" i="2"/>
  <c r="Q139" i="2"/>
  <c r="V139" i="2"/>
  <c r="AB139" i="2"/>
  <c r="H139" i="2"/>
  <c r="M139" i="2"/>
  <c r="R139" i="2"/>
  <c r="X139" i="2"/>
  <c r="D137" i="2"/>
  <c r="L137" i="2"/>
  <c r="T137" i="2"/>
  <c r="AB137" i="2"/>
  <c r="F137" i="2"/>
  <c r="N137" i="2"/>
  <c r="V137" i="2"/>
  <c r="H137" i="2"/>
  <c r="P137" i="2"/>
  <c r="X137" i="2"/>
  <c r="J137" i="2"/>
  <c r="R137" i="2"/>
  <c r="Z137" i="2"/>
  <c r="H135" i="2"/>
  <c r="R135" i="2"/>
  <c r="D135" i="2"/>
  <c r="I135" i="2"/>
  <c r="N135" i="2"/>
  <c r="T135" i="2"/>
  <c r="Y135" i="2"/>
  <c r="M135" i="2"/>
  <c r="X135" i="2"/>
  <c r="E135" i="2"/>
  <c r="J135" i="2"/>
  <c r="P135" i="2"/>
  <c r="U135" i="2"/>
  <c r="Z135" i="2"/>
  <c r="H133" i="2"/>
  <c r="P133" i="2"/>
  <c r="X133" i="2"/>
  <c r="J133" i="2"/>
  <c r="R133" i="2"/>
  <c r="Z133" i="2"/>
  <c r="F131" i="2"/>
  <c r="L131" i="2"/>
  <c r="Q131" i="2"/>
  <c r="V131" i="2"/>
  <c r="AB131" i="2"/>
  <c r="H131" i="2"/>
  <c r="M131" i="2"/>
  <c r="R131" i="2"/>
  <c r="X131" i="2"/>
  <c r="R129" i="2"/>
  <c r="D129" i="2"/>
  <c r="L129" i="2"/>
  <c r="T129" i="2"/>
  <c r="AB129" i="2"/>
  <c r="J129" i="2"/>
  <c r="Z129" i="2"/>
  <c r="F129" i="2"/>
  <c r="N129" i="2"/>
  <c r="V129" i="2"/>
  <c r="M125" i="2"/>
  <c r="Q125" i="2"/>
  <c r="E125" i="2"/>
  <c r="U125" i="2"/>
  <c r="Q119" i="2"/>
  <c r="U119" i="2"/>
  <c r="I119" i="2"/>
  <c r="Y119" i="2"/>
  <c r="E119" i="2"/>
  <c r="M119" i="2"/>
  <c r="E115" i="2"/>
  <c r="I115" i="2"/>
  <c r="Y115" i="2"/>
  <c r="Q115" i="2"/>
  <c r="U115" i="2"/>
  <c r="M115" i="2"/>
  <c r="H81" i="2"/>
  <c r="R81" i="2"/>
  <c r="D81" i="2"/>
  <c r="I81" i="2"/>
  <c r="N81" i="2"/>
  <c r="T81" i="2"/>
  <c r="Y81" i="2"/>
  <c r="M81" i="2"/>
  <c r="X81" i="2"/>
  <c r="E81" i="2"/>
  <c r="J81" i="2"/>
  <c r="P81" i="2"/>
  <c r="U81" i="2"/>
  <c r="Z81" i="2"/>
  <c r="H77" i="2"/>
  <c r="M77" i="2"/>
  <c r="R77" i="2"/>
  <c r="X77" i="2"/>
  <c r="F77" i="2"/>
  <c r="L77" i="2"/>
  <c r="Q77" i="2"/>
  <c r="V77" i="2"/>
  <c r="AB77" i="2"/>
  <c r="H67" i="2"/>
  <c r="P67" i="2"/>
  <c r="X67" i="2"/>
  <c r="J67" i="2"/>
  <c r="R67" i="2"/>
  <c r="Z67" i="2"/>
  <c r="Q111" i="2"/>
  <c r="U111" i="2"/>
  <c r="I111" i="2"/>
  <c r="Y111" i="2"/>
  <c r="E111" i="2"/>
  <c r="M111" i="2"/>
  <c r="R75" i="2"/>
  <c r="L75" i="2"/>
  <c r="AB75" i="2"/>
  <c r="F75" i="2"/>
  <c r="N75" i="2"/>
  <c r="V75" i="2"/>
  <c r="J75" i="2"/>
  <c r="Z75" i="2"/>
  <c r="D75" i="2"/>
  <c r="T75" i="2"/>
  <c r="H75" i="2"/>
  <c r="P75" i="2"/>
  <c r="X75" i="2"/>
  <c r="K113" i="2"/>
  <c r="AA113" i="2"/>
  <c r="S109" i="2"/>
  <c r="M73" i="2"/>
  <c r="X73" i="2"/>
  <c r="D73" i="2"/>
  <c r="I73" i="2"/>
  <c r="N73" i="2"/>
  <c r="T73" i="2"/>
  <c r="Y73" i="2"/>
  <c r="H73" i="2"/>
  <c r="R73" i="2"/>
  <c r="E73" i="2"/>
  <c r="J73" i="2"/>
  <c r="P73" i="2"/>
  <c r="U73" i="2"/>
  <c r="Z73" i="2"/>
  <c r="F71" i="2"/>
  <c r="N71" i="2"/>
  <c r="V71" i="2"/>
  <c r="H71" i="2"/>
  <c r="P71" i="2"/>
  <c r="X71" i="2"/>
  <c r="J71" i="2"/>
  <c r="R71" i="2"/>
  <c r="Z71" i="2"/>
  <c r="Q107" i="2"/>
  <c r="E107" i="2"/>
  <c r="U107" i="2"/>
  <c r="I107" i="2"/>
  <c r="Y107" i="2"/>
  <c r="H69" i="2"/>
  <c r="M69" i="2"/>
  <c r="R69" i="2"/>
  <c r="X69" i="2"/>
  <c r="D69" i="2"/>
  <c r="I69" i="2"/>
  <c r="N69" i="2"/>
  <c r="T69" i="2"/>
  <c r="Y69" i="2"/>
  <c r="K105" i="2"/>
  <c r="M103" i="2"/>
  <c r="Q103" i="2"/>
  <c r="M99" i="2"/>
  <c r="Q99" i="2"/>
  <c r="J79" i="2"/>
  <c r="Z79" i="2"/>
  <c r="D79" i="2"/>
  <c r="T79" i="2"/>
  <c r="F79" i="2"/>
  <c r="N79" i="2"/>
  <c r="V79" i="2"/>
  <c r="R79" i="2"/>
  <c r="L79" i="2"/>
  <c r="AB79" i="2"/>
  <c r="H79" i="2"/>
  <c r="P79" i="2"/>
  <c r="X79" i="2"/>
  <c r="K97" i="2"/>
  <c r="AA97" i="2"/>
  <c r="Q95" i="2"/>
  <c r="I95" i="2"/>
  <c r="Y95" i="2"/>
  <c r="H93" i="2"/>
  <c r="X93" i="2"/>
  <c r="G91" i="2"/>
  <c r="O91" i="2"/>
  <c r="N89" i="2"/>
  <c r="F89" i="2"/>
  <c r="V89" i="2"/>
  <c r="M55" i="2"/>
  <c r="Q87" i="2"/>
  <c r="E87" i="2"/>
  <c r="U87" i="2"/>
  <c r="I87" i="2"/>
  <c r="Y87" i="2"/>
  <c r="Q59" i="2"/>
  <c r="E59" i="2"/>
  <c r="U59" i="2"/>
  <c r="I59" i="2"/>
  <c r="Y59" i="2"/>
  <c r="G57" i="2"/>
  <c r="O57" i="2"/>
  <c r="E83" i="2"/>
  <c r="U83" i="2"/>
  <c r="Q83" i="2"/>
  <c r="I83" i="2"/>
  <c r="Y83" i="2"/>
  <c r="M83" i="2"/>
  <c r="U51" i="2"/>
  <c r="I51" i="2"/>
  <c r="Y51" i="2"/>
  <c r="Q51" i="2"/>
  <c r="E51" i="2"/>
  <c r="K49" i="2"/>
  <c r="AA49" i="2"/>
  <c r="O49" i="2"/>
  <c r="D49" i="2"/>
  <c r="V47" i="2"/>
  <c r="Q47" i="2"/>
  <c r="P45" i="2"/>
  <c r="U45" i="2"/>
  <c r="E45" i="2"/>
  <c r="AA45" i="2"/>
  <c r="S41" i="2"/>
  <c r="M35" i="2"/>
  <c r="Q35" i="2"/>
  <c r="Q445" i="2"/>
  <c r="E445" i="2"/>
  <c r="U445" i="2"/>
  <c r="K443" i="2"/>
  <c r="J441" i="2"/>
  <c r="Z441" i="2"/>
  <c r="E439" i="2"/>
  <c r="U439" i="2"/>
  <c r="I439" i="2"/>
  <c r="Y439" i="2"/>
  <c r="Q439" i="2"/>
  <c r="M439" i="2"/>
  <c r="E435" i="2"/>
  <c r="U435" i="2"/>
  <c r="Q435" i="2"/>
  <c r="I435" i="2"/>
  <c r="Y435" i="2"/>
  <c r="J433" i="2"/>
  <c r="M431" i="2"/>
  <c r="Q431" i="2"/>
  <c r="E431" i="2"/>
  <c r="U431" i="2"/>
  <c r="Q427" i="2"/>
  <c r="E427" i="2"/>
  <c r="U427" i="2"/>
  <c r="J425" i="2"/>
  <c r="Q423" i="2"/>
  <c r="E423" i="2"/>
  <c r="U423" i="2"/>
  <c r="W421" i="2"/>
  <c r="AB419" i="2"/>
  <c r="O417" i="2"/>
  <c r="U417" i="2"/>
  <c r="G417" i="2"/>
  <c r="W417" i="2"/>
  <c r="E417" i="2"/>
  <c r="M417" i="2"/>
  <c r="T415" i="2"/>
  <c r="AB415" i="2"/>
  <c r="J407" i="2"/>
  <c r="R407" i="2"/>
  <c r="Z407" i="2"/>
  <c r="D407" i="2"/>
  <c r="L407" i="2"/>
  <c r="T407" i="2"/>
  <c r="AB407" i="2"/>
  <c r="F407" i="2"/>
  <c r="N407" i="2"/>
  <c r="V407" i="2"/>
  <c r="H407" i="2"/>
  <c r="P407" i="2"/>
  <c r="X407" i="2"/>
  <c r="J405" i="2"/>
  <c r="R405" i="2"/>
  <c r="Z405" i="2"/>
  <c r="D405" i="2"/>
  <c r="L405" i="2"/>
  <c r="T405" i="2"/>
  <c r="AB405" i="2"/>
  <c r="F405" i="2"/>
  <c r="N405" i="2"/>
  <c r="V405" i="2"/>
  <c r="H405" i="2"/>
  <c r="P405" i="2"/>
  <c r="X405" i="2"/>
  <c r="H403" i="2"/>
  <c r="P403" i="2"/>
  <c r="X403" i="2"/>
  <c r="J403" i="2"/>
  <c r="R403" i="2"/>
  <c r="Z403" i="2"/>
  <c r="D403" i="2"/>
  <c r="L403" i="2"/>
  <c r="T403" i="2"/>
  <c r="AB403" i="2"/>
  <c r="L401" i="2"/>
  <c r="AB401" i="2"/>
  <c r="N401" i="2"/>
  <c r="D401" i="2"/>
  <c r="T401" i="2"/>
  <c r="M399" i="2"/>
  <c r="Z397" i="2"/>
  <c r="D397" i="2"/>
  <c r="T397" i="2"/>
  <c r="AB397" i="2"/>
  <c r="J397" i="2"/>
  <c r="R397" i="2"/>
  <c r="L397" i="2"/>
  <c r="F397" i="2"/>
  <c r="N397" i="2"/>
  <c r="V397" i="2"/>
  <c r="H395" i="2"/>
  <c r="P395" i="2"/>
  <c r="X395" i="2"/>
  <c r="J395" i="2"/>
  <c r="R395" i="2"/>
  <c r="Z395" i="2"/>
  <c r="F393" i="2"/>
  <c r="V393" i="2"/>
  <c r="L393" i="2"/>
  <c r="AB393" i="2"/>
  <c r="N393" i="2"/>
  <c r="M391" i="2"/>
  <c r="W391" i="2"/>
  <c r="E391" i="2"/>
  <c r="O391" i="2"/>
  <c r="Y391" i="2"/>
  <c r="G391" i="2"/>
  <c r="J389" i="2"/>
  <c r="R389" i="2"/>
  <c r="Z389" i="2"/>
  <c r="D389" i="2"/>
  <c r="L389" i="2"/>
  <c r="T389" i="2"/>
  <c r="AB389" i="2"/>
  <c r="J387" i="2"/>
  <c r="R387" i="2"/>
  <c r="D387" i="2"/>
  <c r="T387" i="2"/>
  <c r="F387" i="2"/>
  <c r="N387" i="2"/>
  <c r="V387" i="2"/>
  <c r="Z387" i="2"/>
  <c r="L387" i="2"/>
  <c r="AB387" i="2"/>
  <c r="H387" i="2"/>
  <c r="P387" i="2"/>
  <c r="X387" i="2"/>
  <c r="N385" i="2"/>
  <c r="D385" i="2"/>
  <c r="T385" i="2"/>
  <c r="M383" i="2"/>
  <c r="W383" i="2"/>
  <c r="E383" i="2"/>
  <c r="O383" i="2"/>
  <c r="Y383" i="2"/>
  <c r="G383" i="2"/>
  <c r="D381" i="2"/>
  <c r="T381" i="2"/>
  <c r="N381" i="2"/>
  <c r="F381" i="2"/>
  <c r="V381" i="2"/>
  <c r="M379" i="2"/>
  <c r="W379" i="2"/>
  <c r="E379" i="2"/>
  <c r="O379" i="2"/>
  <c r="J377" i="2"/>
  <c r="Z377" i="2"/>
  <c r="D377" i="2"/>
  <c r="T377" i="2"/>
  <c r="F377" i="2"/>
  <c r="N377" i="2"/>
  <c r="V377" i="2"/>
  <c r="R377" i="2"/>
  <c r="L377" i="2"/>
  <c r="AB377" i="2"/>
  <c r="H377" i="2"/>
  <c r="P377" i="2"/>
  <c r="X377" i="2"/>
  <c r="E373" i="2"/>
  <c r="M373" i="2"/>
  <c r="J371" i="2"/>
  <c r="Z371" i="2"/>
  <c r="L371" i="2"/>
  <c r="T371" i="2"/>
  <c r="F371" i="2"/>
  <c r="N371" i="2"/>
  <c r="V371" i="2"/>
  <c r="R371" i="2"/>
  <c r="D371" i="2"/>
  <c r="AB371" i="2"/>
  <c r="H371" i="2"/>
  <c r="P371" i="2"/>
  <c r="X371" i="2"/>
  <c r="J369" i="2"/>
  <c r="R369" i="2"/>
  <c r="Z369" i="2"/>
  <c r="D369" i="2"/>
  <c r="L369" i="2"/>
  <c r="T369" i="2"/>
  <c r="AB369" i="2"/>
  <c r="J367" i="2"/>
  <c r="Z367" i="2"/>
  <c r="D367" i="2"/>
  <c r="AB367" i="2"/>
  <c r="F367" i="2"/>
  <c r="N367" i="2"/>
  <c r="V367" i="2"/>
  <c r="R367" i="2"/>
  <c r="L367" i="2"/>
  <c r="T367" i="2"/>
  <c r="H367" i="2"/>
  <c r="P367" i="2"/>
  <c r="X367" i="2"/>
  <c r="J365" i="2"/>
  <c r="R365" i="2"/>
  <c r="Z365" i="2"/>
  <c r="D365" i="2"/>
  <c r="L365" i="2"/>
  <c r="T365" i="2"/>
  <c r="AB365" i="2"/>
  <c r="J363" i="2"/>
  <c r="Z363" i="2"/>
  <c r="L363" i="2"/>
  <c r="T363" i="2"/>
  <c r="F363" i="2"/>
  <c r="N363" i="2"/>
  <c r="V363" i="2"/>
  <c r="R363" i="2"/>
  <c r="D363" i="2"/>
  <c r="AB363" i="2"/>
  <c r="H363" i="2"/>
  <c r="P363" i="2"/>
  <c r="X363" i="2"/>
  <c r="H361" i="2"/>
  <c r="P361" i="2"/>
  <c r="X361" i="2"/>
  <c r="J361" i="2"/>
  <c r="R361" i="2"/>
  <c r="Z361" i="2"/>
  <c r="D361" i="2"/>
  <c r="L361" i="2"/>
  <c r="T361" i="2"/>
  <c r="AB361" i="2"/>
  <c r="F359" i="2"/>
  <c r="N359" i="2"/>
  <c r="V359" i="2"/>
  <c r="H359" i="2"/>
  <c r="P359" i="2"/>
  <c r="X359" i="2"/>
  <c r="V357" i="2"/>
  <c r="X357" i="2"/>
  <c r="F357" i="2"/>
  <c r="P357" i="2"/>
  <c r="AB357" i="2"/>
  <c r="L357" i="2"/>
  <c r="D357" i="2"/>
  <c r="N357" i="2"/>
  <c r="H357" i="2"/>
  <c r="K355" i="2"/>
  <c r="V353" i="2"/>
  <c r="D353" i="2"/>
  <c r="N353" i="2"/>
  <c r="X353" i="2"/>
  <c r="L353" i="2"/>
  <c r="F353" i="2"/>
  <c r="P353" i="2"/>
  <c r="F349" i="2"/>
  <c r="P349" i="2"/>
  <c r="AB349" i="2"/>
  <c r="H349" i="2"/>
  <c r="T349" i="2"/>
  <c r="L349" i="2"/>
  <c r="V349" i="2"/>
  <c r="D349" i="2"/>
  <c r="N349" i="2"/>
  <c r="R345" i="2"/>
  <c r="D345" i="2"/>
  <c r="AB345" i="2"/>
  <c r="F345" i="2"/>
  <c r="N345" i="2"/>
  <c r="V345" i="2"/>
  <c r="J345" i="2"/>
  <c r="Z345" i="2"/>
  <c r="L345" i="2"/>
  <c r="T345" i="2"/>
  <c r="H345" i="2"/>
  <c r="P345" i="2"/>
  <c r="X345" i="2"/>
  <c r="J343" i="2"/>
  <c r="R343" i="2"/>
  <c r="Z343" i="2"/>
  <c r="D343" i="2"/>
  <c r="L343" i="2"/>
  <c r="T343" i="2"/>
  <c r="AB343" i="2"/>
  <c r="K341" i="2"/>
  <c r="I339" i="2"/>
  <c r="Q339" i="2"/>
  <c r="Y339" i="2"/>
  <c r="D339" i="2"/>
  <c r="L339" i="2"/>
  <c r="T339" i="2"/>
  <c r="AB339" i="2"/>
  <c r="P337" i="2"/>
  <c r="D337" i="2"/>
  <c r="T337" i="2"/>
  <c r="H337" i="2"/>
  <c r="X337" i="2"/>
  <c r="N333" i="2"/>
  <c r="I331" i="2"/>
  <c r="Y331" i="2"/>
  <c r="D331" i="2"/>
  <c r="L331" i="2"/>
  <c r="T331" i="2"/>
  <c r="AB331" i="2"/>
  <c r="Q331" i="2"/>
  <c r="E331" i="2"/>
  <c r="M331" i="2"/>
  <c r="U331" i="2"/>
  <c r="P329" i="2"/>
  <c r="I323" i="2"/>
  <c r="Q323" i="2"/>
  <c r="Y323" i="2"/>
  <c r="P321" i="2"/>
  <c r="D321" i="2"/>
  <c r="T321" i="2"/>
  <c r="H321" i="2"/>
  <c r="X321" i="2"/>
  <c r="O319" i="2"/>
  <c r="G319" i="2"/>
  <c r="I317" i="2"/>
  <c r="Q317" i="2"/>
  <c r="Y317" i="2"/>
  <c r="D317" i="2"/>
  <c r="L317" i="2"/>
  <c r="T317" i="2"/>
  <c r="AB317" i="2"/>
  <c r="P315" i="2"/>
  <c r="D315" i="2"/>
  <c r="T315" i="2"/>
  <c r="H315" i="2"/>
  <c r="X315" i="2"/>
  <c r="L315" i="2"/>
  <c r="AB315" i="2"/>
  <c r="K313" i="2"/>
  <c r="AA313" i="2"/>
  <c r="H311" i="2"/>
  <c r="P311" i="2"/>
  <c r="X311" i="2"/>
  <c r="I311" i="2"/>
  <c r="Q311" i="2"/>
  <c r="Y311" i="2"/>
  <c r="P309" i="2"/>
  <c r="D309" i="2"/>
  <c r="T309" i="2"/>
  <c r="Z305" i="2"/>
  <c r="J305" i="2"/>
  <c r="V305" i="2"/>
  <c r="F305" i="2"/>
  <c r="I303" i="2"/>
  <c r="Q303" i="2"/>
  <c r="Y303" i="2"/>
  <c r="D303" i="2"/>
  <c r="L303" i="2"/>
  <c r="T303" i="2"/>
  <c r="AB303" i="2"/>
  <c r="P301" i="2"/>
  <c r="D301" i="2"/>
  <c r="T301" i="2"/>
  <c r="H301" i="2"/>
  <c r="X301" i="2"/>
  <c r="L301" i="2"/>
  <c r="AB301" i="2"/>
  <c r="H295" i="2"/>
  <c r="P295" i="2"/>
  <c r="X295" i="2"/>
  <c r="I295" i="2"/>
  <c r="Q295" i="2"/>
  <c r="Y295" i="2"/>
  <c r="W293" i="2"/>
  <c r="G293" i="2"/>
  <c r="AA293" i="2"/>
  <c r="H291" i="2"/>
  <c r="P291" i="2"/>
  <c r="X291" i="2"/>
  <c r="I291" i="2"/>
  <c r="Q291" i="2"/>
  <c r="Y291" i="2"/>
  <c r="P289" i="2"/>
  <c r="D289" i="2"/>
  <c r="T289" i="2"/>
  <c r="L283" i="2"/>
  <c r="T283" i="2"/>
  <c r="E283" i="2"/>
  <c r="M283" i="2"/>
  <c r="U283" i="2"/>
  <c r="I283" i="2"/>
  <c r="Q283" i="2"/>
  <c r="Y283" i="2"/>
  <c r="D283" i="2"/>
  <c r="AB283" i="2"/>
  <c r="H283" i="2"/>
  <c r="P283" i="2"/>
  <c r="X283" i="2"/>
  <c r="L281" i="2"/>
  <c r="AB281" i="2"/>
  <c r="P281" i="2"/>
  <c r="I277" i="2"/>
  <c r="Q277" i="2"/>
  <c r="Y277" i="2"/>
  <c r="T277" i="2"/>
  <c r="E277" i="2"/>
  <c r="M277" i="2"/>
  <c r="U277" i="2"/>
  <c r="D277" i="2"/>
  <c r="L277" i="2"/>
  <c r="AB277" i="2"/>
  <c r="H277" i="2"/>
  <c r="P277" i="2"/>
  <c r="X277" i="2"/>
  <c r="L275" i="2"/>
  <c r="AB275" i="2"/>
  <c r="P275" i="2"/>
  <c r="AA273" i="2"/>
  <c r="Y271" i="2"/>
  <c r="I271" i="2"/>
  <c r="D271" i="2"/>
  <c r="L271" i="2"/>
  <c r="T271" i="2"/>
  <c r="AB271" i="2"/>
  <c r="Q271" i="2"/>
  <c r="E271" i="2"/>
  <c r="M271" i="2"/>
  <c r="U271" i="2"/>
  <c r="W269" i="2"/>
  <c r="G269" i="2"/>
  <c r="F267" i="2"/>
  <c r="N267" i="2"/>
  <c r="I265" i="2"/>
  <c r="Q265" i="2"/>
  <c r="Y265" i="2"/>
  <c r="D265" i="2"/>
  <c r="L265" i="2"/>
  <c r="T265" i="2"/>
  <c r="AB265" i="2"/>
  <c r="I261" i="2"/>
  <c r="Q261" i="2"/>
  <c r="Y261" i="2"/>
  <c r="G259" i="2"/>
  <c r="AA259" i="2"/>
  <c r="W259" i="2"/>
  <c r="D257" i="2"/>
  <c r="L257" i="2"/>
  <c r="T257" i="2"/>
  <c r="AB257" i="2"/>
  <c r="E257" i="2"/>
  <c r="M257" i="2"/>
  <c r="U257" i="2"/>
  <c r="I257" i="2"/>
  <c r="Q257" i="2"/>
  <c r="Y257" i="2"/>
  <c r="K255" i="2"/>
  <c r="AA255" i="2"/>
  <c r="H253" i="2"/>
  <c r="P253" i="2"/>
  <c r="X253" i="2"/>
  <c r="I253" i="2"/>
  <c r="Q253" i="2"/>
  <c r="Y253" i="2"/>
  <c r="D253" i="2"/>
  <c r="L253" i="2"/>
  <c r="T253" i="2"/>
  <c r="AB253" i="2"/>
  <c r="P251" i="2"/>
  <c r="D251" i="2"/>
  <c r="T251" i="2"/>
  <c r="H251" i="2"/>
  <c r="X251" i="2"/>
  <c r="L251" i="2"/>
  <c r="AB251" i="2"/>
  <c r="W249" i="2"/>
  <c r="G249" i="2"/>
  <c r="I247" i="2"/>
  <c r="Y247" i="2"/>
  <c r="D247" i="2"/>
  <c r="L247" i="2"/>
  <c r="T247" i="2"/>
  <c r="E247" i="2"/>
  <c r="M247" i="2"/>
  <c r="U247" i="2"/>
  <c r="Q247" i="2"/>
  <c r="AB247" i="2"/>
  <c r="H247" i="2"/>
  <c r="P247" i="2"/>
  <c r="X247" i="2"/>
  <c r="K245" i="2"/>
  <c r="AA245" i="2"/>
  <c r="I243" i="2"/>
  <c r="Q243" i="2"/>
  <c r="Y243" i="2"/>
  <c r="D243" i="2"/>
  <c r="L243" i="2"/>
  <c r="T243" i="2"/>
  <c r="AB243" i="2"/>
  <c r="E243" i="2"/>
  <c r="M243" i="2"/>
  <c r="U243" i="2"/>
  <c r="P241" i="2"/>
  <c r="D241" i="2"/>
  <c r="T241" i="2"/>
  <c r="O239" i="2"/>
  <c r="Z237" i="2"/>
  <c r="J237" i="2"/>
  <c r="V237" i="2"/>
  <c r="F237" i="2"/>
  <c r="I235" i="2"/>
  <c r="Q235" i="2"/>
  <c r="Y235" i="2"/>
  <c r="D235" i="2"/>
  <c r="L235" i="2"/>
  <c r="T235" i="2"/>
  <c r="AB235" i="2"/>
  <c r="P233" i="2"/>
  <c r="I229" i="2"/>
  <c r="Y229" i="2"/>
  <c r="D229" i="2"/>
  <c r="T229" i="2"/>
  <c r="E229" i="2"/>
  <c r="M229" i="2"/>
  <c r="U229" i="2"/>
  <c r="Q229" i="2"/>
  <c r="L229" i="2"/>
  <c r="AB229" i="2"/>
  <c r="H229" i="2"/>
  <c r="P229" i="2"/>
  <c r="X229" i="2"/>
  <c r="O227" i="2"/>
  <c r="W227" i="2"/>
  <c r="G227" i="2"/>
  <c r="N225" i="2"/>
  <c r="I223" i="2"/>
  <c r="Q223" i="2"/>
  <c r="Y223" i="2"/>
  <c r="D223" i="2"/>
  <c r="L223" i="2"/>
  <c r="T223" i="2"/>
  <c r="AB223" i="2"/>
  <c r="E223" i="2"/>
  <c r="M223" i="2"/>
  <c r="U223" i="2"/>
  <c r="P221" i="2"/>
  <c r="D221" i="2"/>
  <c r="T221" i="2"/>
  <c r="H221" i="2"/>
  <c r="X221" i="2"/>
  <c r="L221" i="2"/>
  <c r="AB221" i="2"/>
  <c r="H1231" i="2"/>
  <c r="X1231" i="2"/>
  <c r="D1231" i="2"/>
  <c r="I1231" i="2"/>
  <c r="N1231" i="2"/>
  <c r="N1238" i="2" s="1"/>
  <c r="T1231" i="2"/>
  <c r="Y1231" i="2"/>
  <c r="R1231" i="2"/>
  <c r="E1231" i="2"/>
  <c r="J1231" i="2"/>
  <c r="P1231" i="2"/>
  <c r="U1231" i="2"/>
  <c r="Z1231" i="2"/>
  <c r="M1231" i="2"/>
  <c r="F1231" i="2"/>
  <c r="L1231" i="2"/>
  <c r="Q1231" i="2"/>
  <c r="V1231" i="2"/>
  <c r="V1238" i="2" s="1"/>
  <c r="AB1231" i="2"/>
  <c r="Y25" i="2"/>
  <c r="U25" i="2"/>
  <c r="Q25" i="2"/>
  <c r="M25" i="2"/>
  <c r="I25" i="2"/>
  <c r="E25" i="2"/>
  <c r="X25" i="2"/>
  <c r="T25" i="2"/>
  <c r="L25" i="2"/>
  <c r="D25" i="2"/>
  <c r="R25" i="2"/>
  <c r="F25" i="2"/>
  <c r="AB25" i="2"/>
  <c r="P25" i="2"/>
  <c r="H25" i="2"/>
  <c r="Z25" i="2"/>
  <c r="J25" i="2"/>
  <c r="AA25" i="2"/>
  <c r="W25" i="2"/>
  <c r="S25" i="2"/>
  <c r="O25" i="2"/>
  <c r="K25" i="2"/>
  <c r="G25" i="2"/>
  <c r="V25" i="2"/>
  <c r="N25" i="2"/>
  <c r="AA43" i="2"/>
  <c r="W43" i="2"/>
  <c r="S43" i="2"/>
  <c r="O43" i="2"/>
  <c r="K43" i="2"/>
  <c r="G43" i="2"/>
  <c r="V43" i="2"/>
  <c r="N43" i="2"/>
  <c r="F43" i="2"/>
  <c r="X43" i="2"/>
  <c r="P43" i="2"/>
  <c r="Z43" i="2"/>
  <c r="R43" i="2"/>
  <c r="J43" i="2"/>
  <c r="L43" i="2"/>
  <c r="Y43" i="2"/>
  <c r="U43" i="2"/>
  <c r="Q43" i="2"/>
  <c r="M43" i="2"/>
  <c r="I43" i="2"/>
  <c r="E43" i="2"/>
  <c r="AB43" i="2"/>
  <c r="T43" i="2"/>
  <c r="H43" i="2"/>
  <c r="D43" i="2"/>
  <c r="Z27" i="2"/>
  <c r="V27" i="2"/>
  <c r="R27" i="2"/>
  <c r="N27" i="2"/>
  <c r="J27" i="2"/>
  <c r="F27" i="2"/>
  <c r="U27" i="2"/>
  <c r="M27" i="2"/>
  <c r="E27" i="2"/>
  <c r="W27" i="2"/>
  <c r="K27" i="2"/>
  <c r="Y27" i="2"/>
  <c r="Q27" i="2"/>
  <c r="I27" i="2"/>
  <c r="O27" i="2"/>
  <c r="AB27" i="2"/>
  <c r="X27" i="2"/>
  <c r="T27" i="2"/>
  <c r="P27" i="2"/>
  <c r="L27" i="2"/>
  <c r="H27" i="2"/>
  <c r="D27" i="2"/>
  <c r="AA27" i="2"/>
  <c r="S27" i="2"/>
  <c r="G27" i="2"/>
  <c r="AA21" i="2"/>
  <c r="W21" i="2"/>
  <c r="S21" i="2"/>
  <c r="O21" i="2"/>
  <c r="K21" i="2"/>
  <c r="G21" i="2"/>
  <c r="Z21" i="2"/>
  <c r="V21" i="2"/>
  <c r="N21" i="2"/>
  <c r="F21" i="2"/>
  <c r="X21" i="2"/>
  <c r="P21" i="2"/>
  <c r="D21" i="2"/>
  <c r="R21" i="2"/>
  <c r="J21" i="2"/>
  <c r="AB21" i="2"/>
  <c r="T21" i="2"/>
  <c r="H21" i="2"/>
  <c r="Y21" i="2"/>
  <c r="U21" i="2"/>
  <c r="Q21" i="2"/>
  <c r="M21" i="2"/>
  <c r="I21" i="2"/>
  <c r="E21" i="2"/>
  <c r="L21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9" i="2"/>
  <c r="W29" i="2"/>
  <c r="S29" i="2"/>
  <c r="O29" i="2"/>
  <c r="K29" i="2"/>
  <c r="G29" i="2"/>
  <c r="V29" i="2"/>
  <c r="R29" i="2"/>
  <c r="J29" i="2"/>
  <c r="AB29" i="2"/>
  <c r="P29" i="2"/>
  <c r="H29" i="2"/>
  <c r="Z29" i="2"/>
  <c r="N29" i="2"/>
  <c r="F29" i="2"/>
  <c r="X29" i="2"/>
  <c r="D29" i="2"/>
  <c r="Y29" i="2"/>
  <c r="U29" i="2"/>
  <c r="Q29" i="2"/>
  <c r="M29" i="2"/>
  <c r="I29" i="2"/>
  <c r="E29" i="2"/>
  <c r="T29" i="2"/>
  <c r="L29" i="2"/>
  <c r="Y37" i="2"/>
  <c r="U37" i="2"/>
  <c r="Q37" i="2"/>
  <c r="M37" i="2"/>
  <c r="I37" i="2"/>
  <c r="E37" i="2"/>
  <c r="AB37" i="2"/>
  <c r="X37" i="2"/>
  <c r="P37" i="2"/>
  <c r="L37" i="2"/>
  <c r="D37" i="2"/>
  <c r="R37" i="2"/>
  <c r="F37" i="2"/>
  <c r="T37" i="2"/>
  <c r="H37" i="2"/>
  <c r="Z37" i="2"/>
  <c r="N37" i="2"/>
  <c r="AA37" i="2"/>
  <c r="W37" i="2"/>
  <c r="S37" i="2"/>
  <c r="O37" i="2"/>
  <c r="K37" i="2"/>
  <c r="G37" i="2"/>
  <c r="V37" i="2"/>
  <c r="J37" i="2"/>
  <c r="G9" i="2"/>
  <c r="S9" i="2"/>
  <c r="K15" i="2"/>
  <c r="S15" i="2"/>
  <c r="AA15" i="2"/>
  <c r="K33" i="2"/>
  <c r="S33" i="2"/>
  <c r="W33" i="2"/>
  <c r="G39" i="2"/>
  <c r="O39" i="2"/>
  <c r="W39" i="2"/>
  <c r="AB53" i="2"/>
  <c r="X53" i="2"/>
  <c r="T53" i="2"/>
  <c r="P53" i="2"/>
  <c r="L53" i="2"/>
  <c r="H53" i="2"/>
  <c r="D53" i="2"/>
  <c r="Z53" i="2"/>
  <c r="V53" i="2"/>
  <c r="R53" i="2"/>
  <c r="N53" i="2"/>
  <c r="J53" i="2"/>
  <c r="F53" i="2"/>
  <c r="AA53" i="2"/>
  <c r="J61" i="2"/>
  <c r="Z61" i="2"/>
  <c r="J65" i="2"/>
  <c r="Z65" i="2"/>
  <c r="R85" i="2"/>
  <c r="S101" i="2"/>
  <c r="Z117" i="2"/>
  <c r="V117" i="2"/>
  <c r="R117" i="2"/>
  <c r="N117" i="2"/>
  <c r="J117" i="2"/>
  <c r="F117" i="2"/>
  <c r="Y117" i="2"/>
  <c r="U117" i="2"/>
  <c r="Q117" i="2"/>
  <c r="M117" i="2"/>
  <c r="I117" i="2"/>
  <c r="E117" i="2"/>
  <c r="AB117" i="2"/>
  <c r="X117" i="2"/>
  <c r="T117" i="2"/>
  <c r="P117" i="2"/>
  <c r="L117" i="2"/>
  <c r="H117" i="2"/>
  <c r="D117" i="2"/>
  <c r="R171" i="2"/>
  <c r="Z231" i="2"/>
  <c r="V231" i="2"/>
  <c r="R231" i="2"/>
  <c r="N231" i="2"/>
  <c r="J231" i="2"/>
  <c r="F231" i="2"/>
  <c r="Y231" i="2"/>
  <c r="U231" i="2"/>
  <c r="Q231" i="2"/>
  <c r="M231" i="2"/>
  <c r="I231" i="2"/>
  <c r="E231" i="2"/>
  <c r="AB231" i="2"/>
  <c r="X231" i="2"/>
  <c r="T231" i="2"/>
  <c r="P231" i="2"/>
  <c r="L231" i="2"/>
  <c r="H231" i="2"/>
  <c r="D231" i="2"/>
  <c r="R285" i="2"/>
  <c r="Z299" i="2"/>
  <c r="V299" i="2"/>
  <c r="R299" i="2"/>
  <c r="N299" i="2"/>
  <c r="J299" i="2"/>
  <c r="F299" i="2"/>
  <c r="Y299" i="2"/>
  <c r="U299" i="2"/>
  <c r="Q299" i="2"/>
  <c r="M299" i="2"/>
  <c r="I299" i="2"/>
  <c r="E299" i="2"/>
  <c r="AB299" i="2"/>
  <c r="X299" i="2"/>
  <c r="T299" i="2"/>
  <c r="P299" i="2"/>
  <c r="L299" i="2"/>
  <c r="H299" i="2"/>
  <c r="D299" i="2"/>
  <c r="R325" i="2"/>
  <c r="Y375" i="2"/>
  <c r="U375" i="2"/>
  <c r="Q375" i="2"/>
  <c r="M375" i="2"/>
  <c r="I375" i="2"/>
  <c r="E375" i="2"/>
  <c r="AA375" i="2"/>
  <c r="W375" i="2"/>
  <c r="S375" i="2"/>
  <c r="O375" i="2"/>
  <c r="K375" i="2"/>
  <c r="G375" i="2"/>
  <c r="X375" i="2"/>
  <c r="P375" i="2"/>
  <c r="H375" i="2"/>
  <c r="V375" i="2"/>
  <c r="N375" i="2"/>
  <c r="F375" i="2"/>
  <c r="AB375" i="2"/>
  <c r="T375" i="2"/>
  <c r="L375" i="2"/>
  <c r="D375" i="2"/>
  <c r="D9" i="2"/>
  <c r="H9" i="2"/>
  <c r="L9" i="2"/>
  <c r="P9" i="2"/>
  <c r="T9" i="2"/>
  <c r="X9" i="2"/>
  <c r="AB9" i="2"/>
  <c r="G13" i="2"/>
  <c r="K13" i="2"/>
  <c r="O13" i="2"/>
  <c r="S13" i="2"/>
  <c r="W13" i="2"/>
  <c r="AA13" i="2"/>
  <c r="D15" i="2"/>
  <c r="H15" i="2"/>
  <c r="L15" i="2"/>
  <c r="P15" i="2"/>
  <c r="T15" i="2"/>
  <c r="X15" i="2"/>
  <c r="AB15" i="2"/>
  <c r="C162" i="2"/>
  <c r="D33" i="2"/>
  <c r="H33" i="2"/>
  <c r="L33" i="2"/>
  <c r="P33" i="2"/>
  <c r="T33" i="2"/>
  <c r="X33" i="2"/>
  <c r="AB33" i="2"/>
  <c r="F35" i="2"/>
  <c r="J35" i="2"/>
  <c r="N35" i="2"/>
  <c r="R35" i="2"/>
  <c r="V35" i="2"/>
  <c r="Z35" i="2"/>
  <c r="D39" i="2"/>
  <c r="H39" i="2"/>
  <c r="L39" i="2"/>
  <c r="P39" i="2"/>
  <c r="T39" i="2"/>
  <c r="X39" i="2"/>
  <c r="AB39" i="2"/>
  <c r="H41" i="2"/>
  <c r="L41" i="2"/>
  <c r="P41" i="2"/>
  <c r="T41" i="2"/>
  <c r="X41" i="2"/>
  <c r="AB41" i="2"/>
  <c r="G45" i="2"/>
  <c r="L45" i="2"/>
  <c r="Q45" i="2"/>
  <c r="W45" i="2"/>
  <c r="AB45" i="2"/>
  <c r="G47" i="2"/>
  <c r="M47" i="2"/>
  <c r="R47" i="2"/>
  <c r="W47" i="2"/>
  <c r="AB49" i="2"/>
  <c r="X49" i="2"/>
  <c r="T49" i="2"/>
  <c r="P49" i="2"/>
  <c r="L49" i="2"/>
  <c r="H49" i="2"/>
  <c r="Z49" i="2"/>
  <c r="V49" i="2"/>
  <c r="R49" i="2"/>
  <c r="N49" i="2"/>
  <c r="J49" i="2"/>
  <c r="F49" i="2"/>
  <c r="I49" i="2"/>
  <c r="Q49" i="2"/>
  <c r="Y49" i="2"/>
  <c r="G51" i="2"/>
  <c r="O51" i="2"/>
  <c r="E53" i="2"/>
  <c r="M53" i="2"/>
  <c r="U53" i="2"/>
  <c r="Z55" i="2"/>
  <c r="V55" i="2"/>
  <c r="R55" i="2"/>
  <c r="N55" i="2"/>
  <c r="J55" i="2"/>
  <c r="F55" i="2"/>
  <c r="AB55" i="2"/>
  <c r="X55" i="2"/>
  <c r="T55" i="2"/>
  <c r="P55" i="2"/>
  <c r="L55" i="2"/>
  <c r="H55" i="2"/>
  <c r="D55" i="2"/>
  <c r="K55" i="2"/>
  <c r="S55" i="2"/>
  <c r="AA55" i="2"/>
  <c r="I57" i="2"/>
  <c r="Q57" i="2"/>
  <c r="Y57" i="2"/>
  <c r="G59" i="2"/>
  <c r="O59" i="2"/>
  <c r="D61" i="2"/>
  <c r="L61" i="2"/>
  <c r="T61" i="2"/>
  <c r="AB61" i="2"/>
  <c r="G63" i="2"/>
  <c r="O63" i="2"/>
  <c r="D65" i="2"/>
  <c r="L65" i="2"/>
  <c r="T65" i="2"/>
  <c r="AB65" i="2"/>
  <c r="G83" i="2"/>
  <c r="O83" i="2"/>
  <c r="D85" i="2"/>
  <c r="L85" i="2"/>
  <c r="T85" i="2"/>
  <c r="G87" i="2"/>
  <c r="O87" i="2"/>
  <c r="J89" i="2"/>
  <c r="K91" i="2"/>
  <c r="L93" i="2"/>
  <c r="G101" i="2"/>
  <c r="W101" i="2"/>
  <c r="G109" i="2"/>
  <c r="W109" i="2"/>
  <c r="G117" i="2"/>
  <c r="W117" i="2"/>
  <c r="AA123" i="2"/>
  <c r="W123" i="2"/>
  <c r="S123" i="2"/>
  <c r="O123" i="2"/>
  <c r="K123" i="2"/>
  <c r="G123" i="2"/>
  <c r="Z123" i="2"/>
  <c r="V123" i="2"/>
  <c r="R123" i="2"/>
  <c r="N123" i="2"/>
  <c r="J123" i="2"/>
  <c r="F123" i="2"/>
  <c r="Y123" i="2"/>
  <c r="U123" i="2"/>
  <c r="Q123" i="2"/>
  <c r="M123" i="2"/>
  <c r="I123" i="2"/>
  <c r="E123" i="2"/>
  <c r="P123" i="2"/>
  <c r="Y127" i="2"/>
  <c r="U127" i="2"/>
  <c r="Q127" i="2"/>
  <c r="M127" i="2"/>
  <c r="I127" i="2"/>
  <c r="E127" i="2"/>
  <c r="AB127" i="2"/>
  <c r="X127" i="2"/>
  <c r="T127" i="2"/>
  <c r="P127" i="2"/>
  <c r="L127" i="2"/>
  <c r="H127" i="2"/>
  <c r="D127" i="2"/>
  <c r="AA127" i="2"/>
  <c r="W127" i="2"/>
  <c r="S127" i="2"/>
  <c r="O127" i="2"/>
  <c r="K127" i="2"/>
  <c r="G127" i="2"/>
  <c r="R127" i="2"/>
  <c r="F171" i="2"/>
  <c r="V171" i="2"/>
  <c r="G173" i="2"/>
  <c r="C202" i="2"/>
  <c r="G231" i="2"/>
  <c r="W231" i="2"/>
  <c r="G263" i="2"/>
  <c r="Y267" i="2"/>
  <c r="U267" i="2"/>
  <c r="Q267" i="2"/>
  <c r="M267" i="2"/>
  <c r="I267" i="2"/>
  <c r="E267" i="2"/>
  <c r="AB267" i="2"/>
  <c r="X267" i="2"/>
  <c r="T267" i="2"/>
  <c r="P267" i="2"/>
  <c r="L267" i="2"/>
  <c r="H267" i="2"/>
  <c r="D267" i="2"/>
  <c r="AA267" i="2"/>
  <c r="W267" i="2"/>
  <c r="S267" i="2"/>
  <c r="O267" i="2"/>
  <c r="K267" i="2"/>
  <c r="G267" i="2"/>
  <c r="R267" i="2"/>
  <c r="Z269" i="2"/>
  <c r="V269" i="2"/>
  <c r="R269" i="2"/>
  <c r="N269" i="2"/>
  <c r="J269" i="2"/>
  <c r="F269" i="2"/>
  <c r="Y269" i="2"/>
  <c r="U269" i="2"/>
  <c r="Q269" i="2"/>
  <c r="M269" i="2"/>
  <c r="I269" i="2"/>
  <c r="E269" i="2"/>
  <c r="AB269" i="2"/>
  <c r="X269" i="2"/>
  <c r="T269" i="2"/>
  <c r="P269" i="2"/>
  <c r="L269" i="2"/>
  <c r="H269" i="2"/>
  <c r="D269" i="2"/>
  <c r="S269" i="2"/>
  <c r="Z279" i="2"/>
  <c r="V279" i="2"/>
  <c r="R279" i="2"/>
  <c r="N279" i="2"/>
  <c r="J279" i="2"/>
  <c r="F279" i="2"/>
  <c r="Y279" i="2"/>
  <c r="U279" i="2"/>
  <c r="Q279" i="2"/>
  <c r="M279" i="2"/>
  <c r="I279" i="2"/>
  <c r="E279" i="2"/>
  <c r="AB279" i="2"/>
  <c r="X279" i="2"/>
  <c r="T279" i="2"/>
  <c r="P279" i="2"/>
  <c r="L279" i="2"/>
  <c r="H279" i="2"/>
  <c r="D279" i="2"/>
  <c r="S279" i="2"/>
  <c r="F285" i="2"/>
  <c r="V285" i="2"/>
  <c r="G287" i="2"/>
  <c r="W287" i="2"/>
  <c r="F297" i="2"/>
  <c r="V297" i="2"/>
  <c r="G299" i="2"/>
  <c r="W299" i="2"/>
  <c r="Z319" i="2"/>
  <c r="V319" i="2"/>
  <c r="R319" i="2"/>
  <c r="N319" i="2"/>
  <c r="J319" i="2"/>
  <c r="F319" i="2"/>
  <c r="Y319" i="2"/>
  <c r="U319" i="2"/>
  <c r="Q319" i="2"/>
  <c r="M319" i="2"/>
  <c r="I319" i="2"/>
  <c r="E319" i="2"/>
  <c r="AB319" i="2"/>
  <c r="X319" i="2"/>
  <c r="T319" i="2"/>
  <c r="P319" i="2"/>
  <c r="L319" i="2"/>
  <c r="H319" i="2"/>
  <c r="D319" i="2"/>
  <c r="S319" i="2"/>
  <c r="F325" i="2"/>
  <c r="G327" i="2"/>
  <c r="W327" i="2"/>
  <c r="AB347" i="2"/>
  <c r="X347" i="2"/>
  <c r="T347" i="2"/>
  <c r="P347" i="2"/>
  <c r="L347" i="2"/>
  <c r="H347" i="2"/>
  <c r="D347" i="2"/>
  <c r="Z347" i="2"/>
  <c r="V347" i="2"/>
  <c r="R347" i="2"/>
  <c r="N347" i="2"/>
  <c r="J347" i="2"/>
  <c r="F347" i="2"/>
  <c r="Y347" i="2"/>
  <c r="Q347" i="2"/>
  <c r="I347" i="2"/>
  <c r="W347" i="2"/>
  <c r="O347" i="2"/>
  <c r="G347" i="2"/>
  <c r="U347" i="2"/>
  <c r="M347" i="2"/>
  <c r="E347" i="2"/>
  <c r="Z351" i="2"/>
  <c r="V351" i="2"/>
  <c r="R351" i="2"/>
  <c r="N351" i="2"/>
  <c r="J351" i="2"/>
  <c r="F351" i="2"/>
  <c r="AB351" i="2"/>
  <c r="X351" i="2"/>
  <c r="T351" i="2"/>
  <c r="P351" i="2"/>
  <c r="L351" i="2"/>
  <c r="H351" i="2"/>
  <c r="D351" i="2"/>
  <c r="Y351" i="2"/>
  <c r="Q351" i="2"/>
  <c r="I351" i="2"/>
  <c r="W351" i="2"/>
  <c r="O351" i="2"/>
  <c r="G351" i="2"/>
  <c r="U351" i="2"/>
  <c r="M351" i="2"/>
  <c r="E351" i="2"/>
  <c r="AB355" i="2"/>
  <c r="X355" i="2"/>
  <c r="T355" i="2"/>
  <c r="P355" i="2"/>
  <c r="L355" i="2"/>
  <c r="H355" i="2"/>
  <c r="D355" i="2"/>
  <c r="Z355" i="2"/>
  <c r="V355" i="2"/>
  <c r="R355" i="2"/>
  <c r="N355" i="2"/>
  <c r="J355" i="2"/>
  <c r="F355" i="2"/>
  <c r="Y355" i="2"/>
  <c r="Q355" i="2"/>
  <c r="I355" i="2"/>
  <c r="W355" i="2"/>
  <c r="O355" i="2"/>
  <c r="G355" i="2"/>
  <c r="U355" i="2"/>
  <c r="M355" i="2"/>
  <c r="E355" i="2"/>
  <c r="J375" i="2"/>
  <c r="AA411" i="2"/>
  <c r="W411" i="2"/>
  <c r="S411" i="2"/>
  <c r="O411" i="2"/>
  <c r="K411" i="2"/>
  <c r="G411" i="2"/>
  <c r="Y411" i="2"/>
  <c r="U411" i="2"/>
  <c r="Q411" i="2"/>
  <c r="M411" i="2"/>
  <c r="I411" i="2"/>
  <c r="E411" i="2"/>
  <c r="X411" i="2"/>
  <c r="P411" i="2"/>
  <c r="H411" i="2"/>
  <c r="V411" i="2"/>
  <c r="N411" i="2"/>
  <c r="F411" i="2"/>
  <c r="AB411" i="2"/>
  <c r="T411" i="2"/>
  <c r="L411" i="2"/>
  <c r="D411" i="2"/>
  <c r="Y425" i="2"/>
  <c r="U425" i="2"/>
  <c r="Q425" i="2"/>
  <c r="M425" i="2"/>
  <c r="I425" i="2"/>
  <c r="E425" i="2"/>
  <c r="AA425" i="2"/>
  <c r="W425" i="2"/>
  <c r="S425" i="2"/>
  <c r="O425" i="2"/>
  <c r="K425" i="2"/>
  <c r="G425" i="2"/>
  <c r="X425" i="2"/>
  <c r="P425" i="2"/>
  <c r="H425" i="2"/>
  <c r="V425" i="2"/>
  <c r="N425" i="2"/>
  <c r="F425" i="2"/>
  <c r="AB425" i="2"/>
  <c r="T425" i="2"/>
  <c r="L425" i="2"/>
  <c r="D425" i="2"/>
  <c r="AA429" i="2"/>
  <c r="W429" i="2"/>
  <c r="S429" i="2"/>
  <c r="O429" i="2"/>
  <c r="K429" i="2"/>
  <c r="G429" i="2"/>
  <c r="Y429" i="2"/>
  <c r="U429" i="2"/>
  <c r="Q429" i="2"/>
  <c r="M429" i="2"/>
  <c r="I429" i="2"/>
  <c r="E429" i="2"/>
  <c r="X429" i="2"/>
  <c r="P429" i="2"/>
  <c r="H429" i="2"/>
  <c r="V429" i="2"/>
  <c r="N429" i="2"/>
  <c r="F429" i="2"/>
  <c r="AB429" i="2"/>
  <c r="T429" i="2"/>
  <c r="L429" i="2"/>
  <c r="D429" i="2"/>
  <c r="Y433" i="2"/>
  <c r="U433" i="2"/>
  <c r="Q433" i="2"/>
  <c r="M433" i="2"/>
  <c r="I433" i="2"/>
  <c r="E433" i="2"/>
  <c r="AA433" i="2"/>
  <c r="W433" i="2"/>
  <c r="S433" i="2"/>
  <c r="O433" i="2"/>
  <c r="K433" i="2"/>
  <c r="G433" i="2"/>
  <c r="X433" i="2"/>
  <c r="P433" i="2"/>
  <c r="H433" i="2"/>
  <c r="V433" i="2"/>
  <c r="N433" i="2"/>
  <c r="F433" i="2"/>
  <c r="AB433" i="2"/>
  <c r="T433" i="2"/>
  <c r="L433" i="2"/>
  <c r="D433" i="2"/>
  <c r="AA437" i="2"/>
  <c r="W437" i="2"/>
  <c r="S437" i="2"/>
  <c r="O437" i="2"/>
  <c r="K437" i="2"/>
  <c r="G437" i="2"/>
  <c r="Y437" i="2"/>
  <c r="U437" i="2"/>
  <c r="Q437" i="2"/>
  <c r="M437" i="2"/>
  <c r="I437" i="2"/>
  <c r="E437" i="2"/>
  <c r="X437" i="2"/>
  <c r="P437" i="2"/>
  <c r="H437" i="2"/>
  <c r="V437" i="2"/>
  <c r="N437" i="2"/>
  <c r="F437" i="2"/>
  <c r="AB437" i="2"/>
  <c r="T437" i="2"/>
  <c r="L437" i="2"/>
  <c r="D437" i="2"/>
  <c r="Z496" i="2"/>
  <c r="V496" i="2"/>
  <c r="R496" i="2"/>
  <c r="N496" i="2"/>
  <c r="J496" i="2"/>
  <c r="F496" i="2"/>
  <c r="Y496" i="2"/>
  <c r="U496" i="2"/>
  <c r="Q496" i="2"/>
  <c r="M496" i="2"/>
  <c r="I496" i="2"/>
  <c r="E496" i="2"/>
  <c r="AB496" i="2"/>
  <c r="X496" i="2"/>
  <c r="T496" i="2"/>
  <c r="P496" i="2"/>
  <c r="L496" i="2"/>
  <c r="H496" i="2"/>
  <c r="D496" i="2"/>
  <c r="O496" i="2"/>
  <c r="AA496" i="2"/>
  <c r="K496" i="2"/>
  <c r="W496" i="2"/>
  <c r="G496" i="2"/>
  <c r="AA602" i="2"/>
  <c r="W602" i="2"/>
  <c r="S602" i="2"/>
  <c r="O602" i="2"/>
  <c r="K602" i="2"/>
  <c r="G602" i="2"/>
  <c r="Z602" i="2"/>
  <c r="V602" i="2"/>
  <c r="R602" i="2"/>
  <c r="N602" i="2"/>
  <c r="J602" i="2"/>
  <c r="F602" i="2"/>
  <c r="Y602" i="2"/>
  <c r="U602" i="2"/>
  <c r="Q602" i="2"/>
  <c r="M602" i="2"/>
  <c r="I602" i="2"/>
  <c r="E602" i="2"/>
  <c r="AB602" i="2"/>
  <c r="L602" i="2"/>
  <c r="X602" i="2"/>
  <c r="H602" i="2"/>
  <c r="T602" i="2"/>
  <c r="D602" i="2"/>
  <c r="P602" i="2"/>
  <c r="K9" i="2"/>
  <c r="W9" i="2"/>
  <c r="G15" i="2"/>
  <c r="O15" i="2"/>
  <c r="W15" i="2"/>
  <c r="K39" i="2"/>
  <c r="AA39" i="2"/>
  <c r="R61" i="2"/>
  <c r="AA85" i="2"/>
  <c r="W85" i="2"/>
  <c r="S85" i="2"/>
  <c r="O85" i="2"/>
  <c r="K85" i="2"/>
  <c r="G85" i="2"/>
  <c r="Y85" i="2"/>
  <c r="U85" i="2"/>
  <c r="Q85" i="2"/>
  <c r="M85" i="2"/>
  <c r="I85" i="2"/>
  <c r="E85" i="2"/>
  <c r="S117" i="2"/>
  <c r="Z173" i="2"/>
  <c r="V173" i="2"/>
  <c r="R173" i="2"/>
  <c r="N173" i="2"/>
  <c r="J173" i="2"/>
  <c r="F173" i="2"/>
  <c r="Y173" i="2"/>
  <c r="U173" i="2"/>
  <c r="Q173" i="2"/>
  <c r="M173" i="2"/>
  <c r="I173" i="2"/>
  <c r="E173" i="2"/>
  <c r="AB173" i="2"/>
  <c r="X173" i="2"/>
  <c r="T173" i="2"/>
  <c r="P173" i="2"/>
  <c r="L173" i="2"/>
  <c r="H173" i="2"/>
  <c r="D173" i="2"/>
  <c r="Z263" i="2"/>
  <c r="V263" i="2"/>
  <c r="R263" i="2"/>
  <c r="N263" i="2"/>
  <c r="J263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S287" i="2"/>
  <c r="S299" i="2"/>
  <c r="Y325" i="2"/>
  <c r="U325" i="2"/>
  <c r="Q325" i="2"/>
  <c r="M325" i="2"/>
  <c r="I325" i="2"/>
  <c r="E325" i="2"/>
  <c r="AB325" i="2"/>
  <c r="X325" i="2"/>
  <c r="T325" i="2"/>
  <c r="P325" i="2"/>
  <c r="L325" i="2"/>
  <c r="H325" i="2"/>
  <c r="D325" i="2"/>
  <c r="AA325" i="2"/>
  <c r="W325" i="2"/>
  <c r="S325" i="2"/>
  <c r="O325" i="2"/>
  <c r="K325" i="2"/>
  <c r="G325" i="2"/>
  <c r="E9" i="2"/>
  <c r="M15" i="2"/>
  <c r="U15" i="2"/>
  <c r="Y15" i="2"/>
  <c r="M33" i="2"/>
  <c r="Q33" i="2"/>
  <c r="Y33" i="2"/>
  <c r="K35" i="2"/>
  <c r="S35" i="2"/>
  <c r="AA35" i="2"/>
  <c r="E39" i="2"/>
  <c r="Q39" i="2"/>
  <c r="Q41" i="2"/>
  <c r="H45" i="2"/>
  <c r="G53" i="2"/>
  <c r="W53" i="2"/>
  <c r="F61" i="2"/>
  <c r="F65" i="2"/>
  <c r="F85" i="2"/>
  <c r="N85" i="2"/>
  <c r="V85" i="2"/>
  <c r="AA93" i="2"/>
  <c r="W93" i="2"/>
  <c r="S93" i="2"/>
  <c r="O93" i="2"/>
  <c r="K93" i="2"/>
  <c r="G93" i="2"/>
  <c r="Z93" i="2"/>
  <c r="V93" i="2"/>
  <c r="R93" i="2"/>
  <c r="N93" i="2"/>
  <c r="J93" i="2"/>
  <c r="F93" i="2"/>
  <c r="Y93" i="2"/>
  <c r="U93" i="2"/>
  <c r="Q93" i="2"/>
  <c r="M93" i="2"/>
  <c r="I93" i="2"/>
  <c r="E93" i="2"/>
  <c r="P93" i="2"/>
  <c r="Z97" i="2"/>
  <c r="V97" i="2"/>
  <c r="R97" i="2"/>
  <c r="N97" i="2"/>
  <c r="J97" i="2"/>
  <c r="F97" i="2"/>
  <c r="Y97" i="2"/>
  <c r="U97" i="2"/>
  <c r="Q97" i="2"/>
  <c r="M97" i="2"/>
  <c r="I97" i="2"/>
  <c r="E97" i="2"/>
  <c r="AB97" i="2"/>
  <c r="X97" i="2"/>
  <c r="T97" i="2"/>
  <c r="P97" i="2"/>
  <c r="L97" i="2"/>
  <c r="H97" i="2"/>
  <c r="D97" i="2"/>
  <c r="S97" i="2"/>
  <c r="K101" i="2"/>
  <c r="Z105" i="2"/>
  <c r="V105" i="2"/>
  <c r="R105" i="2"/>
  <c r="N105" i="2"/>
  <c r="J105" i="2"/>
  <c r="F105" i="2"/>
  <c r="Y105" i="2"/>
  <c r="U105" i="2"/>
  <c r="Q105" i="2"/>
  <c r="M105" i="2"/>
  <c r="I105" i="2"/>
  <c r="E105" i="2"/>
  <c r="AB105" i="2"/>
  <c r="X105" i="2"/>
  <c r="T105" i="2"/>
  <c r="P105" i="2"/>
  <c r="L105" i="2"/>
  <c r="H105" i="2"/>
  <c r="D105" i="2"/>
  <c r="S105" i="2"/>
  <c r="K109" i="2"/>
  <c r="Z113" i="2"/>
  <c r="V113" i="2"/>
  <c r="R113" i="2"/>
  <c r="N113" i="2"/>
  <c r="J113" i="2"/>
  <c r="F113" i="2"/>
  <c r="Y113" i="2"/>
  <c r="U113" i="2"/>
  <c r="Q113" i="2"/>
  <c r="M113" i="2"/>
  <c r="I113" i="2"/>
  <c r="E113" i="2"/>
  <c r="AB113" i="2"/>
  <c r="X113" i="2"/>
  <c r="T113" i="2"/>
  <c r="P113" i="2"/>
  <c r="L113" i="2"/>
  <c r="H113" i="2"/>
  <c r="D113" i="2"/>
  <c r="S113" i="2"/>
  <c r="K117" i="2"/>
  <c r="AA117" i="2"/>
  <c r="Z121" i="2"/>
  <c r="V121" i="2"/>
  <c r="R121" i="2"/>
  <c r="N121" i="2"/>
  <c r="J121" i="2"/>
  <c r="F121" i="2"/>
  <c r="Y121" i="2"/>
  <c r="U121" i="2"/>
  <c r="Q121" i="2"/>
  <c r="M121" i="2"/>
  <c r="I121" i="2"/>
  <c r="E121" i="2"/>
  <c r="AB121" i="2"/>
  <c r="X121" i="2"/>
  <c r="T121" i="2"/>
  <c r="P121" i="2"/>
  <c r="L121" i="2"/>
  <c r="H121" i="2"/>
  <c r="D121" i="2"/>
  <c r="S121" i="2"/>
  <c r="J171" i="2"/>
  <c r="K173" i="2"/>
  <c r="AA173" i="2"/>
  <c r="K231" i="2"/>
  <c r="AA231" i="2"/>
  <c r="Z245" i="2"/>
  <c r="V245" i="2"/>
  <c r="R245" i="2"/>
  <c r="N245" i="2"/>
  <c r="J245" i="2"/>
  <c r="F245" i="2"/>
  <c r="Y245" i="2"/>
  <c r="U245" i="2"/>
  <c r="Q245" i="2"/>
  <c r="M245" i="2"/>
  <c r="I245" i="2"/>
  <c r="E245" i="2"/>
  <c r="AB245" i="2"/>
  <c r="X245" i="2"/>
  <c r="T245" i="2"/>
  <c r="P245" i="2"/>
  <c r="L245" i="2"/>
  <c r="H245" i="2"/>
  <c r="D245" i="2"/>
  <c r="S245" i="2"/>
  <c r="Z255" i="2"/>
  <c r="V255" i="2"/>
  <c r="R255" i="2"/>
  <c r="N255" i="2"/>
  <c r="J255" i="2"/>
  <c r="F255" i="2"/>
  <c r="Y255" i="2"/>
  <c r="U255" i="2"/>
  <c r="Q255" i="2"/>
  <c r="M255" i="2"/>
  <c r="I255" i="2"/>
  <c r="E255" i="2"/>
  <c r="AB255" i="2"/>
  <c r="X255" i="2"/>
  <c r="T255" i="2"/>
  <c r="P255" i="2"/>
  <c r="L255" i="2"/>
  <c r="H255" i="2"/>
  <c r="D255" i="2"/>
  <c r="S255" i="2"/>
  <c r="K263" i="2"/>
  <c r="AA263" i="2"/>
  <c r="Z273" i="2"/>
  <c r="V273" i="2"/>
  <c r="R273" i="2"/>
  <c r="N273" i="2"/>
  <c r="J273" i="2"/>
  <c r="F273" i="2"/>
  <c r="Y273" i="2"/>
  <c r="U273" i="2"/>
  <c r="Q273" i="2"/>
  <c r="M273" i="2"/>
  <c r="I273" i="2"/>
  <c r="E273" i="2"/>
  <c r="AB273" i="2"/>
  <c r="X273" i="2"/>
  <c r="T273" i="2"/>
  <c r="P273" i="2"/>
  <c r="L273" i="2"/>
  <c r="H273" i="2"/>
  <c r="D273" i="2"/>
  <c r="S273" i="2"/>
  <c r="J285" i="2"/>
  <c r="K287" i="2"/>
  <c r="J297" i="2"/>
  <c r="K299" i="2"/>
  <c r="AA299" i="2"/>
  <c r="Z313" i="2"/>
  <c r="V313" i="2"/>
  <c r="R313" i="2"/>
  <c r="N313" i="2"/>
  <c r="J313" i="2"/>
  <c r="F313" i="2"/>
  <c r="Y313" i="2"/>
  <c r="U313" i="2"/>
  <c r="Q313" i="2"/>
  <c r="M313" i="2"/>
  <c r="I313" i="2"/>
  <c r="E313" i="2"/>
  <c r="AB313" i="2"/>
  <c r="X313" i="2"/>
  <c r="T313" i="2"/>
  <c r="P313" i="2"/>
  <c r="L313" i="2"/>
  <c r="H313" i="2"/>
  <c r="D313" i="2"/>
  <c r="S313" i="2"/>
  <c r="J325" i="2"/>
  <c r="Z325" i="2"/>
  <c r="K327" i="2"/>
  <c r="AA341" i="2"/>
  <c r="W341" i="2"/>
  <c r="Y341" i="2"/>
  <c r="V341" i="2"/>
  <c r="R341" i="2"/>
  <c r="N341" i="2"/>
  <c r="J341" i="2"/>
  <c r="F341" i="2"/>
  <c r="AB341" i="2"/>
  <c r="U341" i="2"/>
  <c r="Q341" i="2"/>
  <c r="M341" i="2"/>
  <c r="I341" i="2"/>
  <c r="E341" i="2"/>
  <c r="Z341" i="2"/>
  <c r="T341" i="2"/>
  <c r="P341" i="2"/>
  <c r="L341" i="2"/>
  <c r="H341" i="2"/>
  <c r="D341" i="2"/>
  <c r="S341" i="2"/>
  <c r="R375" i="2"/>
  <c r="Z449" i="2"/>
  <c r="V449" i="2"/>
  <c r="R449" i="2"/>
  <c r="N449" i="2"/>
  <c r="J449" i="2"/>
  <c r="F449" i="2"/>
  <c r="Y449" i="2"/>
  <c r="U449" i="2"/>
  <c r="Q449" i="2"/>
  <c r="M449" i="2"/>
  <c r="I449" i="2"/>
  <c r="E449" i="2"/>
  <c r="AB449" i="2"/>
  <c r="X449" i="2"/>
  <c r="T449" i="2"/>
  <c r="P449" i="2"/>
  <c r="L449" i="2"/>
  <c r="H449" i="2"/>
  <c r="D449" i="2"/>
  <c r="O449" i="2"/>
  <c r="AA449" i="2"/>
  <c r="K449" i="2"/>
  <c r="W449" i="2"/>
  <c r="G449" i="2"/>
  <c r="AA516" i="2"/>
  <c r="W516" i="2"/>
  <c r="S516" i="2"/>
  <c r="O516" i="2"/>
  <c r="K516" i="2"/>
  <c r="G516" i="2"/>
  <c r="Z516" i="2"/>
  <c r="V516" i="2"/>
  <c r="R516" i="2"/>
  <c r="N516" i="2"/>
  <c r="J516" i="2"/>
  <c r="F516" i="2"/>
  <c r="Y516" i="2"/>
  <c r="U516" i="2"/>
  <c r="Q516" i="2"/>
  <c r="M516" i="2"/>
  <c r="I516" i="2"/>
  <c r="E516" i="2"/>
  <c r="AB516" i="2"/>
  <c r="L516" i="2"/>
  <c r="X516" i="2"/>
  <c r="H516" i="2"/>
  <c r="T516" i="2"/>
  <c r="D516" i="2"/>
  <c r="O9" i="2"/>
  <c r="AA9" i="2"/>
  <c r="G33" i="2"/>
  <c r="O33" i="2"/>
  <c r="AA33" i="2"/>
  <c r="S39" i="2"/>
  <c r="S53" i="2"/>
  <c r="AA61" i="2"/>
  <c r="W61" i="2"/>
  <c r="S61" i="2"/>
  <c r="O61" i="2"/>
  <c r="K61" i="2"/>
  <c r="G61" i="2"/>
  <c r="Y61" i="2"/>
  <c r="U61" i="2"/>
  <c r="Q61" i="2"/>
  <c r="M61" i="2"/>
  <c r="I61" i="2"/>
  <c r="E61" i="2"/>
  <c r="Y65" i="2"/>
  <c r="U65" i="2"/>
  <c r="Q65" i="2"/>
  <c r="M65" i="2"/>
  <c r="I65" i="2"/>
  <c r="E65" i="2"/>
  <c r="AA65" i="2"/>
  <c r="W65" i="2"/>
  <c r="S65" i="2"/>
  <c r="O65" i="2"/>
  <c r="K65" i="2"/>
  <c r="G65" i="2"/>
  <c r="R65" i="2"/>
  <c r="J85" i="2"/>
  <c r="Z85" i="2"/>
  <c r="Z101" i="2"/>
  <c r="V101" i="2"/>
  <c r="R101" i="2"/>
  <c r="N101" i="2"/>
  <c r="J101" i="2"/>
  <c r="F101" i="2"/>
  <c r="Y101" i="2"/>
  <c r="U101" i="2"/>
  <c r="Q101" i="2"/>
  <c r="M101" i="2"/>
  <c r="I101" i="2"/>
  <c r="E101" i="2"/>
  <c r="AB101" i="2"/>
  <c r="X101" i="2"/>
  <c r="T101" i="2"/>
  <c r="P101" i="2"/>
  <c r="L101" i="2"/>
  <c r="H101" i="2"/>
  <c r="D101" i="2"/>
  <c r="Z109" i="2"/>
  <c r="V109" i="2"/>
  <c r="R109" i="2"/>
  <c r="N109" i="2"/>
  <c r="J109" i="2"/>
  <c r="F109" i="2"/>
  <c r="Y109" i="2"/>
  <c r="U109" i="2"/>
  <c r="Q109" i="2"/>
  <c r="M109" i="2"/>
  <c r="I109" i="2"/>
  <c r="E109" i="2"/>
  <c r="AB109" i="2"/>
  <c r="X109" i="2"/>
  <c r="T109" i="2"/>
  <c r="P109" i="2"/>
  <c r="L109" i="2"/>
  <c r="H109" i="2"/>
  <c r="D109" i="2"/>
  <c r="Y171" i="2"/>
  <c r="U171" i="2"/>
  <c r="Q171" i="2"/>
  <c r="M171" i="2"/>
  <c r="I171" i="2"/>
  <c r="E171" i="2"/>
  <c r="AB171" i="2"/>
  <c r="X171" i="2"/>
  <c r="T171" i="2"/>
  <c r="P171" i="2"/>
  <c r="L171" i="2"/>
  <c r="H171" i="2"/>
  <c r="D171" i="2"/>
  <c r="AA171" i="2"/>
  <c r="W171" i="2"/>
  <c r="S171" i="2"/>
  <c r="O171" i="2"/>
  <c r="K171" i="2"/>
  <c r="G171" i="2"/>
  <c r="S173" i="2"/>
  <c r="S263" i="2"/>
  <c r="Y285" i="2"/>
  <c r="U285" i="2"/>
  <c r="Q285" i="2"/>
  <c r="M285" i="2"/>
  <c r="I285" i="2"/>
  <c r="E285" i="2"/>
  <c r="AB285" i="2"/>
  <c r="X285" i="2"/>
  <c r="T285" i="2"/>
  <c r="P285" i="2"/>
  <c r="L285" i="2"/>
  <c r="H285" i="2"/>
  <c r="D285" i="2"/>
  <c r="AA285" i="2"/>
  <c r="W285" i="2"/>
  <c r="S285" i="2"/>
  <c r="O285" i="2"/>
  <c r="K285" i="2"/>
  <c r="G285" i="2"/>
  <c r="Z287" i="2"/>
  <c r="V287" i="2"/>
  <c r="R287" i="2"/>
  <c r="N287" i="2"/>
  <c r="J287" i="2"/>
  <c r="F287" i="2"/>
  <c r="Y287" i="2"/>
  <c r="U287" i="2"/>
  <c r="Q287" i="2"/>
  <c r="M287" i="2"/>
  <c r="I287" i="2"/>
  <c r="E287" i="2"/>
  <c r="AB287" i="2"/>
  <c r="X287" i="2"/>
  <c r="T287" i="2"/>
  <c r="P287" i="2"/>
  <c r="L287" i="2"/>
  <c r="H287" i="2"/>
  <c r="D287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AA297" i="2"/>
  <c r="W297" i="2"/>
  <c r="S297" i="2"/>
  <c r="O297" i="2"/>
  <c r="K297" i="2"/>
  <c r="G297" i="2"/>
  <c r="R297" i="2"/>
  <c r="Z327" i="2"/>
  <c r="V327" i="2"/>
  <c r="R327" i="2"/>
  <c r="N327" i="2"/>
  <c r="J327" i="2"/>
  <c r="F327" i="2"/>
  <c r="Y327" i="2"/>
  <c r="U327" i="2"/>
  <c r="Q327" i="2"/>
  <c r="M327" i="2"/>
  <c r="I327" i="2"/>
  <c r="E327" i="2"/>
  <c r="AB327" i="2"/>
  <c r="X327" i="2"/>
  <c r="T327" i="2"/>
  <c r="P327" i="2"/>
  <c r="L327" i="2"/>
  <c r="H327" i="2"/>
  <c r="D327" i="2"/>
  <c r="S327" i="2"/>
  <c r="I9" i="2"/>
  <c r="M9" i="2"/>
  <c r="U9" i="2"/>
  <c r="Y9" i="2"/>
  <c r="E15" i="2"/>
  <c r="I15" i="2"/>
  <c r="Q15" i="2"/>
  <c r="E33" i="2"/>
  <c r="I33" i="2"/>
  <c r="U33" i="2"/>
  <c r="G35" i="2"/>
  <c r="O35" i="2"/>
  <c r="W35" i="2"/>
  <c r="I39" i="2"/>
  <c r="M39" i="2"/>
  <c r="U39" i="2"/>
  <c r="Y39" i="2"/>
  <c r="I41" i="2"/>
  <c r="M41" i="2"/>
  <c r="U41" i="2"/>
  <c r="Y41" i="2"/>
  <c r="Z45" i="2"/>
  <c r="V45" i="2"/>
  <c r="R45" i="2"/>
  <c r="N45" i="2"/>
  <c r="J45" i="2"/>
  <c r="F45" i="2"/>
  <c r="M45" i="2"/>
  <c r="S45" i="2"/>
  <c r="AB47" i="2"/>
  <c r="X47" i="2"/>
  <c r="T47" i="2"/>
  <c r="P47" i="2"/>
  <c r="L47" i="2"/>
  <c r="H47" i="2"/>
  <c r="D47" i="2"/>
  <c r="I47" i="2"/>
  <c r="S47" i="2"/>
  <c r="Y47" i="2"/>
  <c r="O53" i="2"/>
  <c r="AB57" i="2"/>
  <c r="X57" i="2"/>
  <c r="T57" i="2"/>
  <c r="P57" i="2"/>
  <c r="L57" i="2"/>
  <c r="H57" i="2"/>
  <c r="D57" i="2"/>
  <c r="Z57" i="2"/>
  <c r="V57" i="2"/>
  <c r="R57" i="2"/>
  <c r="N57" i="2"/>
  <c r="J57" i="2"/>
  <c r="F57" i="2"/>
  <c r="S57" i="2"/>
  <c r="AA57" i="2"/>
  <c r="N61" i="2"/>
  <c r="V65" i="2"/>
  <c r="F9" i="2"/>
  <c r="J9" i="2"/>
  <c r="N9" i="2"/>
  <c r="R9" i="2"/>
  <c r="V9" i="2"/>
  <c r="Z9" i="2"/>
  <c r="I13" i="2"/>
  <c r="M13" i="2"/>
  <c r="Q13" i="2"/>
  <c r="U13" i="2"/>
  <c r="F15" i="2"/>
  <c r="J15" i="2"/>
  <c r="N15" i="2"/>
  <c r="R15" i="2"/>
  <c r="V15" i="2"/>
  <c r="F33" i="2"/>
  <c r="J33" i="2"/>
  <c r="N33" i="2"/>
  <c r="R33" i="2"/>
  <c r="V33" i="2"/>
  <c r="D35" i="2"/>
  <c r="H35" i="2"/>
  <c r="L35" i="2"/>
  <c r="P35" i="2"/>
  <c r="T35" i="2"/>
  <c r="X35" i="2"/>
  <c r="F39" i="2"/>
  <c r="J39" i="2"/>
  <c r="N39" i="2"/>
  <c r="R39" i="2"/>
  <c r="V39" i="2"/>
  <c r="F41" i="2"/>
  <c r="J41" i="2"/>
  <c r="N41" i="2"/>
  <c r="R41" i="2"/>
  <c r="V41" i="2"/>
  <c r="D45" i="2"/>
  <c r="I45" i="2"/>
  <c r="O45" i="2"/>
  <c r="T45" i="2"/>
  <c r="Y45" i="2"/>
  <c r="E47" i="2"/>
  <c r="J47" i="2"/>
  <c r="O47" i="2"/>
  <c r="U47" i="2"/>
  <c r="Z47" i="2"/>
  <c r="E49" i="2"/>
  <c r="M49" i="2"/>
  <c r="U49" i="2"/>
  <c r="Z51" i="2"/>
  <c r="V51" i="2"/>
  <c r="R51" i="2"/>
  <c r="N51" i="2"/>
  <c r="J51" i="2"/>
  <c r="F51" i="2"/>
  <c r="AB51" i="2"/>
  <c r="X51" i="2"/>
  <c r="T51" i="2"/>
  <c r="P51" i="2"/>
  <c r="L51" i="2"/>
  <c r="H51" i="2"/>
  <c r="D51" i="2"/>
  <c r="K51" i="2"/>
  <c r="S51" i="2"/>
  <c r="AA51" i="2"/>
  <c r="I53" i="2"/>
  <c r="Q53" i="2"/>
  <c r="Y53" i="2"/>
  <c r="G55" i="2"/>
  <c r="O55" i="2"/>
  <c r="W55" i="2"/>
  <c r="E57" i="2"/>
  <c r="M57" i="2"/>
  <c r="U57" i="2"/>
  <c r="Z59" i="2"/>
  <c r="V59" i="2"/>
  <c r="R59" i="2"/>
  <c r="N59" i="2"/>
  <c r="J59" i="2"/>
  <c r="F59" i="2"/>
  <c r="AB59" i="2"/>
  <c r="X59" i="2"/>
  <c r="T59" i="2"/>
  <c r="P59" i="2"/>
  <c r="L59" i="2"/>
  <c r="H59" i="2"/>
  <c r="D59" i="2"/>
  <c r="K59" i="2"/>
  <c r="S59" i="2"/>
  <c r="AA59" i="2"/>
  <c r="H61" i="2"/>
  <c r="P61" i="2"/>
  <c r="X61" i="2"/>
  <c r="AB63" i="2"/>
  <c r="X63" i="2"/>
  <c r="T63" i="2"/>
  <c r="P63" i="2"/>
  <c r="L63" i="2"/>
  <c r="H63" i="2"/>
  <c r="D63" i="2"/>
  <c r="Z63" i="2"/>
  <c r="V63" i="2"/>
  <c r="R63" i="2"/>
  <c r="N63" i="2"/>
  <c r="J63" i="2"/>
  <c r="F63" i="2"/>
  <c r="K63" i="2"/>
  <c r="S63" i="2"/>
  <c r="AA63" i="2"/>
  <c r="H65" i="2"/>
  <c r="P65" i="2"/>
  <c r="X65" i="2"/>
  <c r="Z83" i="2"/>
  <c r="V83" i="2"/>
  <c r="R83" i="2"/>
  <c r="N83" i="2"/>
  <c r="J83" i="2"/>
  <c r="F83" i="2"/>
  <c r="AB83" i="2"/>
  <c r="X83" i="2"/>
  <c r="T83" i="2"/>
  <c r="P83" i="2"/>
  <c r="L83" i="2"/>
  <c r="H83" i="2"/>
  <c r="D83" i="2"/>
  <c r="K83" i="2"/>
  <c r="S83" i="2"/>
  <c r="AA83" i="2"/>
  <c r="H85" i="2"/>
  <c r="P85" i="2"/>
  <c r="X85" i="2"/>
  <c r="AB87" i="2"/>
  <c r="X87" i="2"/>
  <c r="T87" i="2"/>
  <c r="P87" i="2"/>
  <c r="L87" i="2"/>
  <c r="H87" i="2"/>
  <c r="D87" i="2"/>
  <c r="AA87" i="2"/>
  <c r="Z87" i="2"/>
  <c r="V87" i="2"/>
  <c r="R87" i="2"/>
  <c r="N87" i="2"/>
  <c r="J87" i="2"/>
  <c r="F87" i="2"/>
  <c r="K87" i="2"/>
  <c r="S87" i="2"/>
  <c r="Y89" i="2"/>
  <c r="U89" i="2"/>
  <c r="Q89" i="2"/>
  <c r="M89" i="2"/>
  <c r="I89" i="2"/>
  <c r="E89" i="2"/>
  <c r="AB89" i="2"/>
  <c r="X89" i="2"/>
  <c r="T89" i="2"/>
  <c r="P89" i="2"/>
  <c r="L89" i="2"/>
  <c r="H89" i="2"/>
  <c r="D89" i="2"/>
  <c r="AA89" i="2"/>
  <c r="W89" i="2"/>
  <c r="S89" i="2"/>
  <c r="O89" i="2"/>
  <c r="K89" i="2"/>
  <c r="G89" i="2"/>
  <c r="R89" i="2"/>
  <c r="Z91" i="2"/>
  <c r="V91" i="2"/>
  <c r="R91" i="2"/>
  <c r="N91" i="2"/>
  <c r="J91" i="2"/>
  <c r="F91" i="2"/>
  <c r="Y91" i="2"/>
  <c r="U91" i="2"/>
  <c r="Q91" i="2"/>
  <c r="M91" i="2"/>
  <c r="I91" i="2"/>
  <c r="E91" i="2"/>
  <c r="AB91" i="2"/>
  <c r="X91" i="2"/>
  <c r="T91" i="2"/>
  <c r="P91" i="2"/>
  <c r="L91" i="2"/>
  <c r="H91" i="2"/>
  <c r="D91" i="2"/>
  <c r="S91" i="2"/>
  <c r="D93" i="2"/>
  <c r="T93" i="2"/>
  <c r="G97" i="2"/>
  <c r="W97" i="2"/>
  <c r="O101" i="2"/>
  <c r="G105" i="2"/>
  <c r="W105" i="2"/>
  <c r="O109" i="2"/>
  <c r="G113" i="2"/>
  <c r="W113" i="2"/>
  <c r="O117" i="2"/>
  <c r="G121" i="2"/>
  <c r="W121" i="2"/>
  <c r="J127" i="2"/>
  <c r="Z127" i="2"/>
  <c r="N171" i="2"/>
  <c r="O173" i="2"/>
  <c r="Y225" i="2"/>
  <c r="U225" i="2"/>
  <c r="Q225" i="2"/>
  <c r="M225" i="2"/>
  <c r="I225" i="2"/>
  <c r="E225" i="2"/>
  <c r="AB225" i="2"/>
  <c r="X225" i="2"/>
  <c r="T225" i="2"/>
  <c r="P225" i="2"/>
  <c r="L225" i="2"/>
  <c r="H225" i="2"/>
  <c r="D225" i="2"/>
  <c r="AA225" i="2"/>
  <c r="W225" i="2"/>
  <c r="S225" i="2"/>
  <c r="O225" i="2"/>
  <c r="K225" i="2"/>
  <c r="G225" i="2"/>
  <c r="R225" i="2"/>
  <c r="Z227" i="2"/>
  <c r="V227" i="2"/>
  <c r="R227" i="2"/>
  <c r="N227" i="2"/>
  <c r="J227" i="2"/>
  <c r="F227" i="2"/>
  <c r="Y227" i="2"/>
  <c r="U227" i="2"/>
  <c r="Q227" i="2"/>
  <c r="M227" i="2"/>
  <c r="I227" i="2"/>
  <c r="E227" i="2"/>
  <c r="AB227" i="2"/>
  <c r="X227" i="2"/>
  <c r="T227" i="2"/>
  <c r="P227" i="2"/>
  <c r="L227" i="2"/>
  <c r="H227" i="2"/>
  <c r="D227" i="2"/>
  <c r="S227" i="2"/>
  <c r="O231" i="2"/>
  <c r="Y237" i="2"/>
  <c r="U237" i="2"/>
  <c r="Q237" i="2"/>
  <c r="M237" i="2"/>
  <c r="I237" i="2"/>
  <c r="E237" i="2"/>
  <c r="AB237" i="2"/>
  <c r="X237" i="2"/>
  <c r="T237" i="2"/>
  <c r="P237" i="2"/>
  <c r="L237" i="2"/>
  <c r="H237" i="2"/>
  <c r="D237" i="2"/>
  <c r="AA237" i="2"/>
  <c r="W237" i="2"/>
  <c r="S237" i="2"/>
  <c r="O237" i="2"/>
  <c r="K237" i="2"/>
  <c r="G237" i="2"/>
  <c r="R237" i="2"/>
  <c r="Z239" i="2"/>
  <c r="V239" i="2"/>
  <c r="R239" i="2"/>
  <c r="N239" i="2"/>
  <c r="J239" i="2"/>
  <c r="F239" i="2"/>
  <c r="Y239" i="2"/>
  <c r="U239" i="2"/>
  <c r="Q239" i="2"/>
  <c r="M239" i="2"/>
  <c r="I239" i="2"/>
  <c r="E239" i="2"/>
  <c r="AB239" i="2"/>
  <c r="X239" i="2"/>
  <c r="T239" i="2"/>
  <c r="P239" i="2"/>
  <c r="L239" i="2"/>
  <c r="H239" i="2"/>
  <c r="D239" i="2"/>
  <c r="S239" i="2"/>
  <c r="G245" i="2"/>
  <c r="W245" i="2"/>
  <c r="Z249" i="2"/>
  <c r="V249" i="2"/>
  <c r="R249" i="2"/>
  <c r="N249" i="2"/>
  <c r="J249" i="2"/>
  <c r="F249" i="2"/>
  <c r="Y249" i="2"/>
  <c r="U249" i="2"/>
  <c r="Q249" i="2"/>
  <c r="M249" i="2"/>
  <c r="I249" i="2"/>
  <c r="E249" i="2"/>
  <c r="AB249" i="2"/>
  <c r="X249" i="2"/>
  <c r="T249" i="2"/>
  <c r="P249" i="2"/>
  <c r="L249" i="2"/>
  <c r="H249" i="2"/>
  <c r="D249" i="2"/>
  <c r="S249" i="2"/>
  <c r="G255" i="2"/>
  <c r="W255" i="2"/>
  <c r="Z259" i="2"/>
  <c r="V259" i="2"/>
  <c r="R259" i="2"/>
  <c r="N259" i="2"/>
  <c r="J259" i="2"/>
  <c r="F259" i="2"/>
  <c r="Y259" i="2"/>
  <c r="U259" i="2"/>
  <c r="Q259" i="2"/>
  <c r="M259" i="2"/>
  <c r="I259" i="2"/>
  <c r="E259" i="2"/>
  <c r="AB259" i="2"/>
  <c r="X259" i="2"/>
  <c r="T259" i="2"/>
  <c r="P259" i="2"/>
  <c r="L259" i="2"/>
  <c r="H259" i="2"/>
  <c r="D259" i="2"/>
  <c r="S259" i="2"/>
  <c r="O263" i="2"/>
  <c r="J267" i="2"/>
  <c r="Z267" i="2"/>
  <c r="K269" i="2"/>
  <c r="AA269" i="2"/>
  <c r="G273" i="2"/>
  <c r="W273" i="2"/>
  <c r="K279" i="2"/>
  <c r="AA279" i="2"/>
  <c r="N285" i="2"/>
  <c r="O287" i="2"/>
  <c r="Z293" i="2"/>
  <c r="V293" i="2"/>
  <c r="R293" i="2"/>
  <c r="N293" i="2"/>
  <c r="J293" i="2"/>
  <c r="F293" i="2"/>
  <c r="Y293" i="2"/>
  <c r="U293" i="2"/>
  <c r="Q293" i="2"/>
  <c r="M293" i="2"/>
  <c r="I293" i="2"/>
  <c r="E293" i="2"/>
  <c r="AB293" i="2"/>
  <c r="X293" i="2"/>
  <c r="T293" i="2"/>
  <c r="P293" i="2"/>
  <c r="L293" i="2"/>
  <c r="H293" i="2"/>
  <c r="D293" i="2"/>
  <c r="S293" i="2"/>
  <c r="N297" i="2"/>
  <c r="O299" i="2"/>
  <c r="Y305" i="2"/>
  <c r="U305" i="2"/>
  <c r="Q305" i="2"/>
  <c r="M305" i="2"/>
  <c r="I305" i="2"/>
  <c r="E305" i="2"/>
  <c r="AB305" i="2"/>
  <c r="X305" i="2"/>
  <c r="T305" i="2"/>
  <c r="P305" i="2"/>
  <c r="L305" i="2"/>
  <c r="H305" i="2"/>
  <c r="D305" i="2"/>
  <c r="AA305" i="2"/>
  <c r="W305" i="2"/>
  <c r="S305" i="2"/>
  <c r="O305" i="2"/>
  <c r="K305" i="2"/>
  <c r="G305" i="2"/>
  <c r="R305" i="2"/>
  <c r="Z307" i="2"/>
  <c r="V307" i="2"/>
  <c r="R307" i="2"/>
  <c r="N307" i="2"/>
  <c r="J307" i="2"/>
  <c r="F307" i="2"/>
  <c r="Y307" i="2"/>
  <c r="U307" i="2"/>
  <c r="Q307" i="2"/>
  <c r="M307" i="2"/>
  <c r="I307" i="2"/>
  <c r="E307" i="2"/>
  <c r="AB307" i="2"/>
  <c r="X307" i="2"/>
  <c r="T307" i="2"/>
  <c r="P307" i="2"/>
  <c r="L307" i="2"/>
  <c r="H307" i="2"/>
  <c r="D307" i="2"/>
  <c r="S307" i="2"/>
  <c r="G313" i="2"/>
  <c r="W313" i="2"/>
  <c r="K319" i="2"/>
  <c r="AA319" i="2"/>
  <c r="N325" i="2"/>
  <c r="O327" i="2"/>
  <c r="Y333" i="2"/>
  <c r="U333" i="2"/>
  <c r="Q333" i="2"/>
  <c r="M333" i="2"/>
  <c r="I333" i="2"/>
  <c r="E333" i="2"/>
  <c r="AB333" i="2"/>
  <c r="X333" i="2"/>
  <c r="T333" i="2"/>
  <c r="P333" i="2"/>
  <c r="L333" i="2"/>
  <c r="H333" i="2"/>
  <c r="D333" i="2"/>
  <c r="AA333" i="2"/>
  <c r="W333" i="2"/>
  <c r="S333" i="2"/>
  <c r="O333" i="2"/>
  <c r="K333" i="2"/>
  <c r="G333" i="2"/>
  <c r="R333" i="2"/>
  <c r="Z335" i="2"/>
  <c r="V335" i="2"/>
  <c r="R335" i="2"/>
  <c r="N335" i="2"/>
  <c r="J335" i="2"/>
  <c r="F335" i="2"/>
  <c r="Y335" i="2"/>
  <c r="U335" i="2"/>
  <c r="Q335" i="2"/>
  <c r="M335" i="2"/>
  <c r="I335" i="2"/>
  <c r="E335" i="2"/>
  <c r="AB335" i="2"/>
  <c r="X335" i="2"/>
  <c r="T335" i="2"/>
  <c r="P335" i="2"/>
  <c r="L335" i="2"/>
  <c r="H335" i="2"/>
  <c r="D335" i="2"/>
  <c r="S335" i="2"/>
  <c r="G341" i="2"/>
  <c r="X341" i="2"/>
  <c r="S347" i="2"/>
  <c r="S351" i="2"/>
  <c r="S355" i="2"/>
  <c r="Z375" i="2"/>
  <c r="R433" i="2"/>
  <c r="R437" i="2"/>
  <c r="Y447" i="2"/>
  <c r="U447" i="2"/>
  <c r="Q447" i="2"/>
  <c r="M447" i="2"/>
  <c r="I447" i="2"/>
  <c r="E447" i="2"/>
  <c r="AB447" i="2"/>
  <c r="X447" i="2"/>
  <c r="T447" i="2"/>
  <c r="P447" i="2"/>
  <c r="L447" i="2"/>
  <c r="H447" i="2"/>
  <c r="D447" i="2"/>
  <c r="AA447" i="2"/>
  <c r="W447" i="2"/>
  <c r="S447" i="2"/>
  <c r="O447" i="2"/>
  <c r="K447" i="2"/>
  <c r="G447" i="2"/>
  <c r="N447" i="2"/>
  <c r="Z447" i="2"/>
  <c r="J447" i="2"/>
  <c r="V447" i="2"/>
  <c r="F447" i="2"/>
  <c r="S449" i="2"/>
  <c r="AA492" i="2"/>
  <c r="W492" i="2"/>
  <c r="S492" i="2"/>
  <c r="O492" i="2"/>
  <c r="K492" i="2"/>
  <c r="G492" i="2"/>
  <c r="Z492" i="2"/>
  <c r="V492" i="2"/>
  <c r="R492" i="2"/>
  <c r="N492" i="2"/>
  <c r="J492" i="2"/>
  <c r="F492" i="2"/>
  <c r="Y492" i="2"/>
  <c r="U492" i="2"/>
  <c r="Q492" i="2"/>
  <c r="M492" i="2"/>
  <c r="I492" i="2"/>
  <c r="E492" i="2"/>
  <c r="AB492" i="2"/>
  <c r="L492" i="2"/>
  <c r="X492" i="2"/>
  <c r="H492" i="2"/>
  <c r="T492" i="2"/>
  <c r="D492" i="2"/>
  <c r="P516" i="2"/>
  <c r="Z622" i="2"/>
  <c r="V622" i="2"/>
  <c r="R622" i="2"/>
  <c r="N622" i="2"/>
  <c r="J622" i="2"/>
  <c r="F622" i="2"/>
  <c r="Y622" i="2"/>
  <c r="U622" i="2"/>
  <c r="Q622" i="2"/>
  <c r="M622" i="2"/>
  <c r="I622" i="2"/>
  <c r="E622" i="2"/>
  <c r="AB622" i="2"/>
  <c r="X622" i="2"/>
  <c r="T622" i="2"/>
  <c r="P622" i="2"/>
  <c r="L622" i="2"/>
  <c r="H622" i="2"/>
  <c r="D622" i="2"/>
  <c r="O622" i="2"/>
  <c r="AA622" i="2"/>
  <c r="K622" i="2"/>
  <c r="W622" i="2"/>
  <c r="G622" i="2"/>
  <c r="S622" i="2"/>
  <c r="E67" i="2"/>
  <c r="I67" i="2"/>
  <c r="M67" i="2"/>
  <c r="Q67" i="2"/>
  <c r="U67" i="2"/>
  <c r="Y67" i="2"/>
  <c r="G69" i="2"/>
  <c r="K69" i="2"/>
  <c r="O69" i="2"/>
  <c r="S69" i="2"/>
  <c r="W69" i="2"/>
  <c r="E71" i="2"/>
  <c r="I71" i="2"/>
  <c r="M71" i="2"/>
  <c r="Q71" i="2"/>
  <c r="U71" i="2"/>
  <c r="Y71" i="2"/>
  <c r="G73" i="2"/>
  <c r="K73" i="2"/>
  <c r="O73" i="2"/>
  <c r="S73" i="2"/>
  <c r="W73" i="2"/>
  <c r="E75" i="2"/>
  <c r="I75" i="2"/>
  <c r="M75" i="2"/>
  <c r="Q75" i="2"/>
  <c r="U75" i="2"/>
  <c r="Y75" i="2"/>
  <c r="G77" i="2"/>
  <c r="K77" i="2"/>
  <c r="O77" i="2"/>
  <c r="S77" i="2"/>
  <c r="W77" i="2"/>
  <c r="E79" i="2"/>
  <c r="I79" i="2"/>
  <c r="M79" i="2"/>
  <c r="Q79" i="2"/>
  <c r="U79" i="2"/>
  <c r="Y79" i="2"/>
  <c r="G81" i="2"/>
  <c r="K81" i="2"/>
  <c r="O81" i="2"/>
  <c r="S81" i="2"/>
  <c r="W81" i="2"/>
  <c r="F95" i="2"/>
  <c r="J95" i="2"/>
  <c r="N95" i="2"/>
  <c r="R95" i="2"/>
  <c r="V95" i="2"/>
  <c r="Z95" i="2"/>
  <c r="F99" i="2"/>
  <c r="J99" i="2"/>
  <c r="N99" i="2"/>
  <c r="R99" i="2"/>
  <c r="V99" i="2"/>
  <c r="Z99" i="2"/>
  <c r="F103" i="2"/>
  <c r="J103" i="2"/>
  <c r="N103" i="2"/>
  <c r="R103" i="2"/>
  <c r="V103" i="2"/>
  <c r="Z103" i="2"/>
  <c r="F107" i="2"/>
  <c r="J107" i="2"/>
  <c r="N107" i="2"/>
  <c r="R107" i="2"/>
  <c r="V107" i="2"/>
  <c r="Z107" i="2"/>
  <c r="F111" i="2"/>
  <c r="J111" i="2"/>
  <c r="N111" i="2"/>
  <c r="R111" i="2"/>
  <c r="V111" i="2"/>
  <c r="Z111" i="2"/>
  <c r="F115" i="2"/>
  <c r="J115" i="2"/>
  <c r="N115" i="2"/>
  <c r="R115" i="2"/>
  <c r="V115" i="2"/>
  <c r="Z115" i="2"/>
  <c r="F119" i="2"/>
  <c r="J119" i="2"/>
  <c r="N119" i="2"/>
  <c r="R119" i="2"/>
  <c r="V119" i="2"/>
  <c r="Z119" i="2"/>
  <c r="F125" i="2"/>
  <c r="J125" i="2"/>
  <c r="N125" i="2"/>
  <c r="R125" i="2"/>
  <c r="V125" i="2"/>
  <c r="Z125" i="2"/>
  <c r="E129" i="2"/>
  <c r="I129" i="2"/>
  <c r="M129" i="2"/>
  <c r="Q129" i="2"/>
  <c r="U129" i="2"/>
  <c r="Y129" i="2"/>
  <c r="G131" i="2"/>
  <c r="K131" i="2"/>
  <c r="O131" i="2"/>
  <c r="S131" i="2"/>
  <c r="W131" i="2"/>
  <c r="E133" i="2"/>
  <c r="I133" i="2"/>
  <c r="M133" i="2"/>
  <c r="Q133" i="2"/>
  <c r="U133" i="2"/>
  <c r="Y133" i="2"/>
  <c r="G135" i="2"/>
  <c r="K135" i="2"/>
  <c r="O135" i="2"/>
  <c r="S135" i="2"/>
  <c r="W135" i="2"/>
  <c r="E137" i="2"/>
  <c r="I137" i="2"/>
  <c r="M137" i="2"/>
  <c r="Q137" i="2"/>
  <c r="U137" i="2"/>
  <c r="Y137" i="2"/>
  <c r="G139" i="2"/>
  <c r="K139" i="2"/>
  <c r="O139" i="2"/>
  <c r="S139" i="2"/>
  <c r="W139" i="2"/>
  <c r="E141" i="2"/>
  <c r="I141" i="2"/>
  <c r="M141" i="2"/>
  <c r="Q141" i="2"/>
  <c r="U141" i="2"/>
  <c r="Y141" i="2"/>
  <c r="G143" i="2"/>
  <c r="K143" i="2"/>
  <c r="O143" i="2"/>
  <c r="S143" i="2"/>
  <c r="W143" i="2"/>
  <c r="E145" i="2"/>
  <c r="I145" i="2"/>
  <c r="M145" i="2"/>
  <c r="Q145" i="2"/>
  <c r="U145" i="2"/>
  <c r="Y145" i="2"/>
  <c r="G147" i="2"/>
  <c r="K147" i="2"/>
  <c r="O147" i="2"/>
  <c r="S147" i="2"/>
  <c r="W147" i="2"/>
  <c r="E149" i="2"/>
  <c r="I149" i="2"/>
  <c r="M149" i="2"/>
  <c r="Q149" i="2"/>
  <c r="U149" i="2"/>
  <c r="Y149" i="2"/>
  <c r="G151" i="2"/>
  <c r="K151" i="2"/>
  <c r="O151" i="2"/>
  <c r="S151" i="2"/>
  <c r="W151" i="2"/>
  <c r="E153" i="2"/>
  <c r="I153" i="2"/>
  <c r="M153" i="2"/>
  <c r="Q153" i="2"/>
  <c r="U153" i="2"/>
  <c r="Y153" i="2"/>
  <c r="G155" i="2"/>
  <c r="K155" i="2"/>
  <c r="O155" i="2"/>
  <c r="S155" i="2"/>
  <c r="W155" i="2"/>
  <c r="E157" i="2"/>
  <c r="I157" i="2"/>
  <c r="M157" i="2"/>
  <c r="Q157" i="2"/>
  <c r="U157" i="2"/>
  <c r="Y157" i="2"/>
  <c r="G159" i="2"/>
  <c r="K159" i="2"/>
  <c r="O159" i="2"/>
  <c r="S159" i="2"/>
  <c r="W159" i="2"/>
  <c r="E161" i="2"/>
  <c r="I161" i="2"/>
  <c r="M161" i="2"/>
  <c r="Q161" i="2"/>
  <c r="U161" i="2"/>
  <c r="Y161" i="2"/>
  <c r="E175" i="2"/>
  <c r="I175" i="2"/>
  <c r="M175" i="2"/>
  <c r="Q175" i="2"/>
  <c r="U175" i="2"/>
  <c r="Y175" i="2"/>
  <c r="F177" i="2"/>
  <c r="J177" i="2"/>
  <c r="N177" i="2"/>
  <c r="R177" i="2"/>
  <c r="V177" i="2"/>
  <c r="Z177" i="2"/>
  <c r="E187" i="2"/>
  <c r="I187" i="2"/>
  <c r="M187" i="2"/>
  <c r="Q187" i="2"/>
  <c r="U187" i="2"/>
  <c r="Y187" i="2"/>
  <c r="G189" i="2"/>
  <c r="K189" i="2"/>
  <c r="O189" i="2"/>
  <c r="S189" i="2"/>
  <c r="W189" i="2"/>
  <c r="E191" i="2"/>
  <c r="I191" i="2"/>
  <c r="M191" i="2"/>
  <c r="Q191" i="2"/>
  <c r="U191" i="2"/>
  <c r="Y191" i="2"/>
  <c r="G193" i="2"/>
  <c r="K193" i="2"/>
  <c r="O193" i="2"/>
  <c r="S193" i="2"/>
  <c r="W193" i="2"/>
  <c r="E195" i="2"/>
  <c r="I195" i="2"/>
  <c r="M195" i="2"/>
  <c r="Q195" i="2"/>
  <c r="U195" i="2"/>
  <c r="Y195" i="2"/>
  <c r="G197" i="2"/>
  <c r="K197" i="2"/>
  <c r="O197" i="2"/>
  <c r="S197" i="2"/>
  <c r="W197" i="2"/>
  <c r="E199" i="2"/>
  <c r="I199" i="2"/>
  <c r="M199" i="2"/>
  <c r="Q199" i="2"/>
  <c r="U199" i="2"/>
  <c r="Y199" i="2"/>
  <c r="F201" i="2"/>
  <c r="J201" i="2"/>
  <c r="J212" i="2" s="1"/>
  <c r="N201" i="2"/>
  <c r="R201" i="2"/>
  <c r="R212" i="2" s="1"/>
  <c r="V201" i="2"/>
  <c r="Z201" i="2"/>
  <c r="Z212" i="2" s="1"/>
  <c r="E205" i="2"/>
  <c r="I205" i="2"/>
  <c r="M205" i="2"/>
  <c r="Q205" i="2"/>
  <c r="U205" i="2"/>
  <c r="Y205" i="2"/>
  <c r="G207" i="2"/>
  <c r="K207" i="2"/>
  <c r="O207" i="2"/>
  <c r="S207" i="2"/>
  <c r="W207" i="2"/>
  <c r="E221" i="2"/>
  <c r="I221" i="2"/>
  <c r="M221" i="2"/>
  <c r="Q221" i="2"/>
  <c r="U221" i="2"/>
  <c r="Y221" i="2"/>
  <c r="F223" i="2"/>
  <c r="J223" i="2"/>
  <c r="N223" i="2"/>
  <c r="R223" i="2"/>
  <c r="V223" i="2"/>
  <c r="Z223" i="2"/>
  <c r="F229" i="2"/>
  <c r="J229" i="2"/>
  <c r="N229" i="2"/>
  <c r="R229" i="2"/>
  <c r="V229" i="2"/>
  <c r="Z229" i="2"/>
  <c r="E233" i="2"/>
  <c r="I233" i="2"/>
  <c r="M233" i="2"/>
  <c r="Q233" i="2"/>
  <c r="U233" i="2"/>
  <c r="Y233" i="2"/>
  <c r="F235" i="2"/>
  <c r="J235" i="2"/>
  <c r="N235" i="2"/>
  <c r="R235" i="2"/>
  <c r="V235" i="2"/>
  <c r="Z235" i="2"/>
  <c r="E241" i="2"/>
  <c r="I241" i="2"/>
  <c r="M241" i="2"/>
  <c r="Q241" i="2"/>
  <c r="U241" i="2"/>
  <c r="Y241" i="2"/>
  <c r="F243" i="2"/>
  <c r="J243" i="2"/>
  <c r="N243" i="2"/>
  <c r="R243" i="2"/>
  <c r="V243" i="2"/>
  <c r="Z243" i="2"/>
  <c r="F247" i="2"/>
  <c r="J247" i="2"/>
  <c r="N247" i="2"/>
  <c r="R247" i="2"/>
  <c r="V247" i="2"/>
  <c r="Z247" i="2"/>
  <c r="E251" i="2"/>
  <c r="I251" i="2"/>
  <c r="M251" i="2"/>
  <c r="Q251" i="2"/>
  <c r="U251" i="2"/>
  <c r="Y251" i="2"/>
  <c r="F253" i="2"/>
  <c r="J253" i="2"/>
  <c r="N253" i="2"/>
  <c r="R253" i="2"/>
  <c r="V253" i="2"/>
  <c r="Z253" i="2"/>
  <c r="F257" i="2"/>
  <c r="J257" i="2"/>
  <c r="N257" i="2"/>
  <c r="R257" i="2"/>
  <c r="V257" i="2"/>
  <c r="Z257" i="2"/>
  <c r="F261" i="2"/>
  <c r="J261" i="2"/>
  <c r="N261" i="2"/>
  <c r="R261" i="2"/>
  <c r="V261" i="2"/>
  <c r="Z261" i="2"/>
  <c r="F265" i="2"/>
  <c r="J265" i="2"/>
  <c r="N265" i="2"/>
  <c r="R265" i="2"/>
  <c r="V265" i="2"/>
  <c r="Z265" i="2"/>
  <c r="F271" i="2"/>
  <c r="J271" i="2"/>
  <c r="N271" i="2"/>
  <c r="R271" i="2"/>
  <c r="V271" i="2"/>
  <c r="Z271" i="2"/>
  <c r="E275" i="2"/>
  <c r="I275" i="2"/>
  <c r="M275" i="2"/>
  <c r="Q275" i="2"/>
  <c r="U275" i="2"/>
  <c r="Y275" i="2"/>
  <c r="F277" i="2"/>
  <c r="J277" i="2"/>
  <c r="N277" i="2"/>
  <c r="R277" i="2"/>
  <c r="V277" i="2"/>
  <c r="Z277" i="2"/>
  <c r="E281" i="2"/>
  <c r="I281" i="2"/>
  <c r="M281" i="2"/>
  <c r="Q281" i="2"/>
  <c r="U281" i="2"/>
  <c r="Y281" i="2"/>
  <c r="F283" i="2"/>
  <c r="J283" i="2"/>
  <c r="N283" i="2"/>
  <c r="R283" i="2"/>
  <c r="V283" i="2"/>
  <c r="Z283" i="2"/>
  <c r="E289" i="2"/>
  <c r="I289" i="2"/>
  <c r="M289" i="2"/>
  <c r="Q289" i="2"/>
  <c r="U289" i="2"/>
  <c r="Y289" i="2"/>
  <c r="F291" i="2"/>
  <c r="J291" i="2"/>
  <c r="N291" i="2"/>
  <c r="R291" i="2"/>
  <c r="V291" i="2"/>
  <c r="Z291" i="2"/>
  <c r="F295" i="2"/>
  <c r="J295" i="2"/>
  <c r="N295" i="2"/>
  <c r="R295" i="2"/>
  <c r="V295" i="2"/>
  <c r="Z295" i="2"/>
  <c r="E301" i="2"/>
  <c r="I301" i="2"/>
  <c r="M301" i="2"/>
  <c r="Q301" i="2"/>
  <c r="U301" i="2"/>
  <c r="Y301" i="2"/>
  <c r="F303" i="2"/>
  <c r="J303" i="2"/>
  <c r="N303" i="2"/>
  <c r="R303" i="2"/>
  <c r="V303" i="2"/>
  <c r="Z303" i="2"/>
  <c r="E309" i="2"/>
  <c r="I309" i="2"/>
  <c r="M309" i="2"/>
  <c r="Q309" i="2"/>
  <c r="U309" i="2"/>
  <c r="Y309" i="2"/>
  <c r="F311" i="2"/>
  <c r="J311" i="2"/>
  <c r="N311" i="2"/>
  <c r="R311" i="2"/>
  <c r="V311" i="2"/>
  <c r="Z311" i="2"/>
  <c r="E315" i="2"/>
  <c r="I315" i="2"/>
  <c r="M315" i="2"/>
  <c r="Q315" i="2"/>
  <c r="U315" i="2"/>
  <c r="Y315" i="2"/>
  <c r="F317" i="2"/>
  <c r="J317" i="2"/>
  <c r="N317" i="2"/>
  <c r="R317" i="2"/>
  <c r="V317" i="2"/>
  <c r="Z317" i="2"/>
  <c r="E321" i="2"/>
  <c r="I321" i="2"/>
  <c r="M321" i="2"/>
  <c r="Q321" i="2"/>
  <c r="U321" i="2"/>
  <c r="Y321" i="2"/>
  <c r="F323" i="2"/>
  <c r="J323" i="2"/>
  <c r="N323" i="2"/>
  <c r="R323" i="2"/>
  <c r="V323" i="2"/>
  <c r="Z323" i="2"/>
  <c r="E329" i="2"/>
  <c r="I329" i="2"/>
  <c r="M329" i="2"/>
  <c r="Q329" i="2"/>
  <c r="U329" i="2"/>
  <c r="Y329" i="2"/>
  <c r="F331" i="2"/>
  <c r="J331" i="2"/>
  <c r="N331" i="2"/>
  <c r="R331" i="2"/>
  <c r="V331" i="2"/>
  <c r="Z331" i="2"/>
  <c r="E337" i="2"/>
  <c r="I337" i="2"/>
  <c r="M337" i="2"/>
  <c r="Q337" i="2"/>
  <c r="U337" i="2"/>
  <c r="Y337" i="2"/>
  <c r="F339" i="2"/>
  <c r="J339" i="2"/>
  <c r="N339" i="2"/>
  <c r="R339" i="2"/>
  <c r="V339" i="2"/>
  <c r="Z339" i="2"/>
  <c r="Y349" i="2"/>
  <c r="U349" i="2"/>
  <c r="Q349" i="2"/>
  <c r="M349" i="2"/>
  <c r="I349" i="2"/>
  <c r="E349" i="2"/>
  <c r="AA349" i="2"/>
  <c r="W349" i="2"/>
  <c r="S349" i="2"/>
  <c r="O349" i="2"/>
  <c r="K349" i="2"/>
  <c r="G349" i="2"/>
  <c r="J349" i="2"/>
  <c r="R349" i="2"/>
  <c r="Z349" i="2"/>
  <c r="AA353" i="2"/>
  <c r="W353" i="2"/>
  <c r="S353" i="2"/>
  <c r="O353" i="2"/>
  <c r="K353" i="2"/>
  <c r="G353" i="2"/>
  <c r="Y353" i="2"/>
  <c r="U353" i="2"/>
  <c r="Q353" i="2"/>
  <c r="M353" i="2"/>
  <c r="I353" i="2"/>
  <c r="E353" i="2"/>
  <c r="J353" i="2"/>
  <c r="R353" i="2"/>
  <c r="Z353" i="2"/>
  <c r="Y357" i="2"/>
  <c r="U357" i="2"/>
  <c r="Q357" i="2"/>
  <c r="M357" i="2"/>
  <c r="I357" i="2"/>
  <c r="E357" i="2"/>
  <c r="AA357" i="2"/>
  <c r="W357" i="2"/>
  <c r="S357" i="2"/>
  <c r="O357" i="2"/>
  <c r="K357" i="2"/>
  <c r="G357" i="2"/>
  <c r="J357" i="2"/>
  <c r="R357" i="2"/>
  <c r="Z357" i="2"/>
  <c r="G373" i="2"/>
  <c r="O373" i="2"/>
  <c r="W373" i="2"/>
  <c r="AB379" i="2"/>
  <c r="X379" i="2"/>
  <c r="T379" i="2"/>
  <c r="P379" i="2"/>
  <c r="L379" i="2"/>
  <c r="H379" i="2"/>
  <c r="D379" i="2"/>
  <c r="Z379" i="2"/>
  <c r="V379" i="2"/>
  <c r="R379" i="2"/>
  <c r="N379" i="2"/>
  <c r="J379" i="2"/>
  <c r="F379" i="2"/>
  <c r="K379" i="2"/>
  <c r="S379" i="2"/>
  <c r="AA379" i="2"/>
  <c r="H381" i="2"/>
  <c r="P381" i="2"/>
  <c r="Z383" i="2"/>
  <c r="V383" i="2"/>
  <c r="R383" i="2"/>
  <c r="N383" i="2"/>
  <c r="J383" i="2"/>
  <c r="F383" i="2"/>
  <c r="AB383" i="2"/>
  <c r="X383" i="2"/>
  <c r="T383" i="2"/>
  <c r="P383" i="2"/>
  <c r="L383" i="2"/>
  <c r="H383" i="2"/>
  <c r="D383" i="2"/>
  <c r="K383" i="2"/>
  <c r="S383" i="2"/>
  <c r="AA383" i="2"/>
  <c r="H385" i="2"/>
  <c r="P385" i="2"/>
  <c r="AB391" i="2"/>
  <c r="X391" i="2"/>
  <c r="T391" i="2"/>
  <c r="P391" i="2"/>
  <c r="L391" i="2"/>
  <c r="H391" i="2"/>
  <c r="D391" i="2"/>
  <c r="Z391" i="2"/>
  <c r="V391" i="2"/>
  <c r="R391" i="2"/>
  <c r="N391" i="2"/>
  <c r="J391" i="2"/>
  <c r="F391" i="2"/>
  <c r="K391" i="2"/>
  <c r="S391" i="2"/>
  <c r="AA391" i="2"/>
  <c r="H393" i="2"/>
  <c r="P393" i="2"/>
  <c r="Z399" i="2"/>
  <c r="V399" i="2"/>
  <c r="R399" i="2"/>
  <c r="N399" i="2"/>
  <c r="J399" i="2"/>
  <c r="F399" i="2"/>
  <c r="AB399" i="2"/>
  <c r="X399" i="2"/>
  <c r="T399" i="2"/>
  <c r="P399" i="2"/>
  <c r="L399" i="2"/>
  <c r="H399" i="2"/>
  <c r="D399" i="2"/>
  <c r="K399" i="2"/>
  <c r="S399" i="2"/>
  <c r="AA399" i="2"/>
  <c r="H401" i="2"/>
  <c r="P401" i="2"/>
  <c r="G409" i="2"/>
  <c r="O409" i="2"/>
  <c r="W409" i="2"/>
  <c r="F415" i="2"/>
  <c r="N415" i="2"/>
  <c r="V415" i="2"/>
  <c r="I417" i="2"/>
  <c r="Q417" i="2"/>
  <c r="F419" i="2"/>
  <c r="N419" i="2"/>
  <c r="V419" i="2"/>
  <c r="I421" i="2"/>
  <c r="Q421" i="2"/>
  <c r="G423" i="2"/>
  <c r="O423" i="2"/>
  <c r="G427" i="2"/>
  <c r="O427" i="2"/>
  <c r="G431" i="2"/>
  <c r="O431" i="2"/>
  <c r="G435" i="2"/>
  <c r="O435" i="2"/>
  <c r="AA482" i="2"/>
  <c r="W482" i="2"/>
  <c r="S482" i="2"/>
  <c r="O482" i="2"/>
  <c r="K482" i="2"/>
  <c r="G482" i="2"/>
  <c r="Z482" i="2"/>
  <c r="V482" i="2"/>
  <c r="R482" i="2"/>
  <c r="N482" i="2"/>
  <c r="J482" i="2"/>
  <c r="F482" i="2"/>
  <c r="Y482" i="2"/>
  <c r="U482" i="2"/>
  <c r="Q482" i="2"/>
  <c r="M482" i="2"/>
  <c r="I482" i="2"/>
  <c r="E482" i="2"/>
  <c r="P482" i="2"/>
  <c r="Z490" i="2"/>
  <c r="V490" i="2"/>
  <c r="R490" i="2"/>
  <c r="N490" i="2"/>
  <c r="J490" i="2"/>
  <c r="F490" i="2"/>
  <c r="Y490" i="2"/>
  <c r="U490" i="2"/>
  <c r="Q490" i="2"/>
  <c r="M490" i="2"/>
  <c r="I490" i="2"/>
  <c r="E490" i="2"/>
  <c r="AB490" i="2"/>
  <c r="X490" i="2"/>
  <c r="T490" i="2"/>
  <c r="P490" i="2"/>
  <c r="L490" i="2"/>
  <c r="H490" i="2"/>
  <c r="D490" i="2"/>
  <c r="S490" i="2"/>
  <c r="H498" i="2"/>
  <c r="AA508" i="2"/>
  <c r="W508" i="2"/>
  <c r="S508" i="2"/>
  <c r="O508" i="2"/>
  <c r="K508" i="2"/>
  <c r="G508" i="2"/>
  <c r="Z508" i="2"/>
  <c r="V508" i="2"/>
  <c r="R508" i="2"/>
  <c r="N508" i="2"/>
  <c r="J508" i="2"/>
  <c r="F508" i="2"/>
  <c r="Y508" i="2"/>
  <c r="U508" i="2"/>
  <c r="Q508" i="2"/>
  <c r="M508" i="2"/>
  <c r="I508" i="2"/>
  <c r="E508" i="2"/>
  <c r="P508" i="2"/>
  <c r="Y512" i="2"/>
  <c r="U512" i="2"/>
  <c r="Q512" i="2"/>
  <c r="M512" i="2"/>
  <c r="I512" i="2"/>
  <c r="E512" i="2"/>
  <c r="AB512" i="2"/>
  <c r="X512" i="2"/>
  <c r="T512" i="2"/>
  <c r="P512" i="2"/>
  <c r="L512" i="2"/>
  <c r="H512" i="2"/>
  <c r="D512" i="2"/>
  <c r="AA512" i="2"/>
  <c r="W512" i="2"/>
  <c r="S512" i="2"/>
  <c r="O512" i="2"/>
  <c r="K512" i="2"/>
  <c r="G512" i="2"/>
  <c r="R512" i="2"/>
  <c r="Z514" i="2"/>
  <c r="V514" i="2"/>
  <c r="R514" i="2"/>
  <c r="N514" i="2"/>
  <c r="J514" i="2"/>
  <c r="F514" i="2"/>
  <c r="Y514" i="2"/>
  <c r="U514" i="2"/>
  <c r="Q514" i="2"/>
  <c r="M514" i="2"/>
  <c r="I514" i="2"/>
  <c r="E514" i="2"/>
  <c r="AB514" i="2"/>
  <c r="X514" i="2"/>
  <c r="T514" i="2"/>
  <c r="P514" i="2"/>
  <c r="L514" i="2"/>
  <c r="H514" i="2"/>
  <c r="D514" i="2"/>
  <c r="S514" i="2"/>
  <c r="AA552" i="2"/>
  <c r="W552" i="2"/>
  <c r="S552" i="2"/>
  <c r="O552" i="2"/>
  <c r="K552" i="2"/>
  <c r="G552" i="2"/>
  <c r="Z552" i="2"/>
  <c r="V552" i="2"/>
  <c r="R552" i="2"/>
  <c r="N552" i="2"/>
  <c r="J552" i="2"/>
  <c r="F552" i="2"/>
  <c r="Y552" i="2"/>
  <c r="U552" i="2"/>
  <c r="Q552" i="2"/>
  <c r="M552" i="2"/>
  <c r="I552" i="2"/>
  <c r="E552" i="2"/>
  <c r="P552" i="2"/>
  <c r="AB556" i="2"/>
  <c r="X556" i="2"/>
  <c r="T556" i="2"/>
  <c r="P556" i="2"/>
  <c r="L556" i="2"/>
  <c r="H556" i="2"/>
  <c r="D556" i="2"/>
  <c r="Z556" i="2"/>
  <c r="V556" i="2"/>
  <c r="R556" i="2"/>
  <c r="N556" i="2"/>
  <c r="J556" i="2"/>
  <c r="F556" i="2"/>
  <c r="Y556" i="2"/>
  <c r="Q556" i="2"/>
  <c r="I556" i="2"/>
  <c r="W556" i="2"/>
  <c r="O556" i="2"/>
  <c r="G556" i="2"/>
  <c r="U556" i="2"/>
  <c r="M556" i="2"/>
  <c r="E556" i="2"/>
  <c r="AB572" i="2"/>
  <c r="X572" i="2"/>
  <c r="T572" i="2"/>
  <c r="P572" i="2"/>
  <c r="L572" i="2"/>
  <c r="H572" i="2"/>
  <c r="D572" i="2"/>
  <c r="Z572" i="2"/>
  <c r="V572" i="2"/>
  <c r="R572" i="2"/>
  <c r="N572" i="2"/>
  <c r="J572" i="2"/>
  <c r="F572" i="2"/>
  <c r="Y572" i="2"/>
  <c r="Q572" i="2"/>
  <c r="I572" i="2"/>
  <c r="W572" i="2"/>
  <c r="O572" i="2"/>
  <c r="G572" i="2"/>
  <c r="U572" i="2"/>
  <c r="M572" i="2"/>
  <c r="E572" i="2"/>
  <c r="Z614" i="2"/>
  <c r="V614" i="2"/>
  <c r="R614" i="2"/>
  <c r="N614" i="2"/>
  <c r="J614" i="2"/>
  <c r="F614" i="2"/>
  <c r="Y614" i="2"/>
  <c r="U614" i="2"/>
  <c r="Q614" i="2"/>
  <c r="M614" i="2"/>
  <c r="I614" i="2"/>
  <c r="E614" i="2"/>
  <c r="AB614" i="2"/>
  <c r="X614" i="2"/>
  <c r="T614" i="2"/>
  <c r="P614" i="2"/>
  <c r="L614" i="2"/>
  <c r="H614" i="2"/>
  <c r="D614" i="2"/>
  <c r="O614" i="2"/>
  <c r="AA614" i="2"/>
  <c r="K614" i="2"/>
  <c r="W614" i="2"/>
  <c r="G614" i="2"/>
  <c r="Z646" i="2"/>
  <c r="V646" i="2"/>
  <c r="R646" i="2"/>
  <c r="N646" i="2"/>
  <c r="J646" i="2"/>
  <c r="F646" i="2"/>
  <c r="Y646" i="2"/>
  <c r="U646" i="2"/>
  <c r="Q646" i="2"/>
  <c r="M646" i="2"/>
  <c r="I646" i="2"/>
  <c r="E646" i="2"/>
  <c r="AB646" i="2"/>
  <c r="X646" i="2"/>
  <c r="T646" i="2"/>
  <c r="P646" i="2"/>
  <c r="L646" i="2"/>
  <c r="H646" i="2"/>
  <c r="D646" i="2"/>
  <c r="O646" i="2"/>
  <c r="AA646" i="2"/>
  <c r="K646" i="2"/>
  <c r="W646" i="2"/>
  <c r="G646" i="2"/>
  <c r="G95" i="2"/>
  <c r="K95" i="2"/>
  <c r="O95" i="2"/>
  <c r="S95" i="2"/>
  <c r="W95" i="2"/>
  <c r="AA95" i="2"/>
  <c r="G99" i="2"/>
  <c r="K99" i="2"/>
  <c r="O99" i="2"/>
  <c r="S99" i="2"/>
  <c r="W99" i="2"/>
  <c r="AA99" i="2"/>
  <c r="G103" i="2"/>
  <c r="K103" i="2"/>
  <c r="O103" i="2"/>
  <c r="S103" i="2"/>
  <c r="W103" i="2"/>
  <c r="AA103" i="2"/>
  <c r="G107" i="2"/>
  <c r="K107" i="2"/>
  <c r="O107" i="2"/>
  <c r="S107" i="2"/>
  <c r="W107" i="2"/>
  <c r="AA107" i="2"/>
  <c r="G111" i="2"/>
  <c r="K111" i="2"/>
  <c r="O111" i="2"/>
  <c r="S111" i="2"/>
  <c r="W111" i="2"/>
  <c r="AA111" i="2"/>
  <c r="G115" i="2"/>
  <c r="K115" i="2"/>
  <c r="O115" i="2"/>
  <c r="S115" i="2"/>
  <c r="W115" i="2"/>
  <c r="AA115" i="2"/>
  <c r="G119" i="2"/>
  <c r="K119" i="2"/>
  <c r="O119" i="2"/>
  <c r="S119" i="2"/>
  <c r="W119" i="2"/>
  <c r="AA119" i="2"/>
  <c r="G125" i="2"/>
  <c r="K125" i="2"/>
  <c r="O125" i="2"/>
  <c r="S125" i="2"/>
  <c r="W125" i="2"/>
  <c r="AA125" i="2"/>
  <c r="N153" i="2"/>
  <c r="R153" i="2"/>
  <c r="V153" i="2"/>
  <c r="Z153" i="2"/>
  <c r="F157" i="2"/>
  <c r="J157" i="2"/>
  <c r="N157" i="2"/>
  <c r="R157" i="2"/>
  <c r="V157" i="2"/>
  <c r="Z157" i="2"/>
  <c r="F161" i="2"/>
  <c r="J161" i="2"/>
  <c r="N161" i="2"/>
  <c r="R161" i="2"/>
  <c r="V161" i="2"/>
  <c r="Z161" i="2"/>
  <c r="F175" i="2"/>
  <c r="J175" i="2"/>
  <c r="N175" i="2"/>
  <c r="R175" i="2"/>
  <c r="V175" i="2"/>
  <c r="Z175" i="2"/>
  <c r="G177" i="2"/>
  <c r="K177" i="2"/>
  <c r="O177" i="2"/>
  <c r="S177" i="2"/>
  <c r="W177" i="2"/>
  <c r="F187" i="2"/>
  <c r="J187" i="2"/>
  <c r="N187" i="2"/>
  <c r="R187" i="2"/>
  <c r="V187" i="2"/>
  <c r="Z187" i="2"/>
  <c r="F191" i="2"/>
  <c r="J191" i="2"/>
  <c r="N191" i="2"/>
  <c r="R191" i="2"/>
  <c r="V191" i="2"/>
  <c r="Z191" i="2"/>
  <c r="F195" i="2"/>
  <c r="J195" i="2"/>
  <c r="N195" i="2"/>
  <c r="R195" i="2"/>
  <c r="V195" i="2"/>
  <c r="Z195" i="2"/>
  <c r="F199" i="2"/>
  <c r="J199" i="2"/>
  <c r="N199" i="2"/>
  <c r="R199" i="2"/>
  <c r="V199" i="2"/>
  <c r="Z199" i="2"/>
  <c r="G201" i="2"/>
  <c r="K201" i="2"/>
  <c r="K212" i="2" s="1"/>
  <c r="O201" i="2"/>
  <c r="O212" i="2" s="1"/>
  <c r="S201" i="2"/>
  <c r="W201" i="2"/>
  <c r="F205" i="2"/>
  <c r="J205" i="2"/>
  <c r="N205" i="2"/>
  <c r="R205" i="2"/>
  <c r="V205" i="2"/>
  <c r="Z205" i="2"/>
  <c r="F221" i="2"/>
  <c r="J221" i="2"/>
  <c r="N221" i="2"/>
  <c r="R221" i="2"/>
  <c r="V221" i="2"/>
  <c r="G223" i="2"/>
  <c r="K223" i="2"/>
  <c r="O223" i="2"/>
  <c r="S223" i="2"/>
  <c r="W223" i="2"/>
  <c r="G229" i="2"/>
  <c r="K229" i="2"/>
  <c r="O229" i="2"/>
  <c r="S229" i="2"/>
  <c r="W229" i="2"/>
  <c r="F233" i="2"/>
  <c r="J233" i="2"/>
  <c r="N233" i="2"/>
  <c r="R233" i="2"/>
  <c r="V233" i="2"/>
  <c r="Z233" i="2"/>
  <c r="G235" i="2"/>
  <c r="K235" i="2"/>
  <c r="O235" i="2"/>
  <c r="S235" i="2"/>
  <c r="W235" i="2"/>
  <c r="F241" i="2"/>
  <c r="J241" i="2"/>
  <c r="N241" i="2"/>
  <c r="R241" i="2"/>
  <c r="V241" i="2"/>
  <c r="Z241" i="2"/>
  <c r="G243" i="2"/>
  <c r="K243" i="2"/>
  <c r="O243" i="2"/>
  <c r="S243" i="2"/>
  <c r="W243" i="2"/>
  <c r="G247" i="2"/>
  <c r="K247" i="2"/>
  <c r="O247" i="2"/>
  <c r="S247" i="2"/>
  <c r="W247" i="2"/>
  <c r="F251" i="2"/>
  <c r="J251" i="2"/>
  <c r="N251" i="2"/>
  <c r="R251" i="2"/>
  <c r="V251" i="2"/>
  <c r="Z251" i="2"/>
  <c r="G253" i="2"/>
  <c r="K253" i="2"/>
  <c r="O253" i="2"/>
  <c r="S253" i="2"/>
  <c r="W253" i="2"/>
  <c r="G257" i="2"/>
  <c r="K257" i="2"/>
  <c r="O257" i="2"/>
  <c r="S257" i="2"/>
  <c r="W257" i="2"/>
  <c r="G261" i="2"/>
  <c r="K261" i="2"/>
  <c r="O261" i="2"/>
  <c r="S261" i="2"/>
  <c r="W261" i="2"/>
  <c r="G265" i="2"/>
  <c r="K265" i="2"/>
  <c r="O265" i="2"/>
  <c r="S265" i="2"/>
  <c r="W265" i="2"/>
  <c r="G271" i="2"/>
  <c r="K271" i="2"/>
  <c r="O271" i="2"/>
  <c r="S271" i="2"/>
  <c r="W271" i="2"/>
  <c r="F275" i="2"/>
  <c r="J275" i="2"/>
  <c r="N275" i="2"/>
  <c r="R275" i="2"/>
  <c r="V275" i="2"/>
  <c r="Z275" i="2"/>
  <c r="G277" i="2"/>
  <c r="K277" i="2"/>
  <c r="O277" i="2"/>
  <c r="S277" i="2"/>
  <c r="W277" i="2"/>
  <c r="F281" i="2"/>
  <c r="J281" i="2"/>
  <c r="N281" i="2"/>
  <c r="R281" i="2"/>
  <c r="V281" i="2"/>
  <c r="Z281" i="2"/>
  <c r="G283" i="2"/>
  <c r="K283" i="2"/>
  <c r="O283" i="2"/>
  <c r="S283" i="2"/>
  <c r="W283" i="2"/>
  <c r="F289" i="2"/>
  <c r="J289" i="2"/>
  <c r="N289" i="2"/>
  <c r="R289" i="2"/>
  <c r="V289" i="2"/>
  <c r="Z289" i="2"/>
  <c r="G291" i="2"/>
  <c r="K291" i="2"/>
  <c r="O291" i="2"/>
  <c r="S291" i="2"/>
  <c r="W291" i="2"/>
  <c r="G295" i="2"/>
  <c r="K295" i="2"/>
  <c r="O295" i="2"/>
  <c r="S295" i="2"/>
  <c r="W295" i="2"/>
  <c r="F301" i="2"/>
  <c r="J301" i="2"/>
  <c r="N301" i="2"/>
  <c r="R301" i="2"/>
  <c r="V301" i="2"/>
  <c r="Z301" i="2"/>
  <c r="G303" i="2"/>
  <c r="K303" i="2"/>
  <c r="O303" i="2"/>
  <c r="S303" i="2"/>
  <c r="W303" i="2"/>
  <c r="F309" i="2"/>
  <c r="J309" i="2"/>
  <c r="N309" i="2"/>
  <c r="R309" i="2"/>
  <c r="V309" i="2"/>
  <c r="Z309" i="2"/>
  <c r="G311" i="2"/>
  <c r="K311" i="2"/>
  <c r="O311" i="2"/>
  <c r="S311" i="2"/>
  <c r="W311" i="2"/>
  <c r="F315" i="2"/>
  <c r="J315" i="2"/>
  <c r="N315" i="2"/>
  <c r="R315" i="2"/>
  <c r="V315" i="2"/>
  <c r="Z315" i="2"/>
  <c r="G317" i="2"/>
  <c r="K317" i="2"/>
  <c r="O317" i="2"/>
  <c r="S317" i="2"/>
  <c r="W317" i="2"/>
  <c r="F321" i="2"/>
  <c r="J321" i="2"/>
  <c r="N321" i="2"/>
  <c r="R321" i="2"/>
  <c r="V321" i="2"/>
  <c r="Z321" i="2"/>
  <c r="G323" i="2"/>
  <c r="K323" i="2"/>
  <c r="O323" i="2"/>
  <c r="S323" i="2"/>
  <c r="W323" i="2"/>
  <c r="F329" i="2"/>
  <c r="J329" i="2"/>
  <c r="N329" i="2"/>
  <c r="R329" i="2"/>
  <c r="V329" i="2"/>
  <c r="Z329" i="2"/>
  <c r="G331" i="2"/>
  <c r="K331" i="2"/>
  <c r="O331" i="2"/>
  <c r="S331" i="2"/>
  <c r="W331" i="2"/>
  <c r="F337" i="2"/>
  <c r="J337" i="2"/>
  <c r="N337" i="2"/>
  <c r="R337" i="2"/>
  <c r="V337" i="2"/>
  <c r="Z337" i="2"/>
  <c r="G339" i="2"/>
  <c r="K339" i="2"/>
  <c r="O339" i="2"/>
  <c r="S339" i="2"/>
  <c r="W339" i="2"/>
  <c r="I373" i="2"/>
  <c r="Q373" i="2"/>
  <c r="Y381" i="2"/>
  <c r="U381" i="2"/>
  <c r="Q381" i="2"/>
  <c r="M381" i="2"/>
  <c r="I381" i="2"/>
  <c r="E381" i="2"/>
  <c r="AA381" i="2"/>
  <c r="W381" i="2"/>
  <c r="S381" i="2"/>
  <c r="O381" i="2"/>
  <c r="K381" i="2"/>
  <c r="G381" i="2"/>
  <c r="J381" i="2"/>
  <c r="R381" i="2"/>
  <c r="Z381" i="2"/>
  <c r="AA385" i="2"/>
  <c r="W385" i="2"/>
  <c r="S385" i="2"/>
  <c r="O385" i="2"/>
  <c r="K385" i="2"/>
  <c r="G385" i="2"/>
  <c r="Y385" i="2"/>
  <c r="U385" i="2"/>
  <c r="Q385" i="2"/>
  <c r="M385" i="2"/>
  <c r="I385" i="2"/>
  <c r="E385" i="2"/>
  <c r="J385" i="2"/>
  <c r="R385" i="2"/>
  <c r="Z385" i="2"/>
  <c r="Y393" i="2"/>
  <c r="U393" i="2"/>
  <c r="Q393" i="2"/>
  <c r="M393" i="2"/>
  <c r="I393" i="2"/>
  <c r="E393" i="2"/>
  <c r="AA393" i="2"/>
  <c r="W393" i="2"/>
  <c r="S393" i="2"/>
  <c r="O393" i="2"/>
  <c r="K393" i="2"/>
  <c r="G393" i="2"/>
  <c r="J393" i="2"/>
  <c r="R393" i="2"/>
  <c r="Z393" i="2"/>
  <c r="AA401" i="2"/>
  <c r="W401" i="2"/>
  <c r="S401" i="2"/>
  <c r="O401" i="2"/>
  <c r="K401" i="2"/>
  <c r="G401" i="2"/>
  <c r="Y401" i="2"/>
  <c r="U401" i="2"/>
  <c r="Q401" i="2"/>
  <c r="M401" i="2"/>
  <c r="I401" i="2"/>
  <c r="E401" i="2"/>
  <c r="J401" i="2"/>
  <c r="R401" i="2"/>
  <c r="Z401" i="2"/>
  <c r="I409" i="2"/>
  <c r="Q409" i="2"/>
  <c r="H415" i="2"/>
  <c r="P415" i="2"/>
  <c r="AB417" i="2"/>
  <c r="X417" i="2"/>
  <c r="T417" i="2"/>
  <c r="P417" i="2"/>
  <c r="L417" i="2"/>
  <c r="H417" i="2"/>
  <c r="D417" i="2"/>
  <c r="Z417" i="2"/>
  <c r="V417" i="2"/>
  <c r="R417" i="2"/>
  <c r="N417" i="2"/>
  <c r="J417" i="2"/>
  <c r="F417" i="2"/>
  <c r="K417" i="2"/>
  <c r="S417" i="2"/>
  <c r="AA417" i="2"/>
  <c r="H419" i="2"/>
  <c r="P419" i="2"/>
  <c r="Z421" i="2"/>
  <c r="V421" i="2"/>
  <c r="R421" i="2"/>
  <c r="N421" i="2"/>
  <c r="J421" i="2"/>
  <c r="F421" i="2"/>
  <c r="AB421" i="2"/>
  <c r="X421" i="2"/>
  <c r="T421" i="2"/>
  <c r="P421" i="2"/>
  <c r="L421" i="2"/>
  <c r="H421" i="2"/>
  <c r="D421" i="2"/>
  <c r="K421" i="2"/>
  <c r="S421" i="2"/>
  <c r="AA421" i="2"/>
  <c r="Y441" i="2"/>
  <c r="U441" i="2"/>
  <c r="Q441" i="2"/>
  <c r="M441" i="2"/>
  <c r="I441" i="2"/>
  <c r="E441" i="2"/>
  <c r="AB441" i="2"/>
  <c r="X441" i="2"/>
  <c r="T441" i="2"/>
  <c r="P441" i="2"/>
  <c r="L441" i="2"/>
  <c r="H441" i="2"/>
  <c r="D441" i="2"/>
  <c r="AA441" i="2"/>
  <c r="W441" i="2"/>
  <c r="S441" i="2"/>
  <c r="O441" i="2"/>
  <c r="K441" i="2"/>
  <c r="G441" i="2"/>
  <c r="R441" i="2"/>
  <c r="Z443" i="2"/>
  <c r="V443" i="2"/>
  <c r="R443" i="2"/>
  <c r="N443" i="2"/>
  <c r="J443" i="2"/>
  <c r="F443" i="2"/>
  <c r="Y443" i="2"/>
  <c r="U443" i="2"/>
  <c r="Q443" i="2"/>
  <c r="M443" i="2"/>
  <c r="I443" i="2"/>
  <c r="E443" i="2"/>
  <c r="AB443" i="2"/>
  <c r="X443" i="2"/>
  <c r="T443" i="2"/>
  <c r="P443" i="2"/>
  <c r="L443" i="2"/>
  <c r="H443" i="2"/>
  <c r="D443" i="2"/>
  <c r="S443" i="2"/>
  <c r="Z480" i="2"/>
  <c r="V480" i="2"/>
  <c r="R480" i="2"/>
  <c r="N480" i="2"/>
  <c r="J480" i="2"/>
  <c r="F480" i="2"/>
  <c r="Y480" i="2"/>
  <c r="U480" i="2"/>
  <c r="Q480" i="2"/>
  <c r="M480" i="2"/>
  <c r="I480" i="2"/>
  <c r="E480" i="2"/>
  <c r="AB480" i="2"/>
  <c r="X480" i="2"/>
  <c r="T480" i="2"/>
  <c r="P480" i="2"/>
  <c r="L480" i="2"/>
  <c r="H480" i="2"/>
  <c r="D480" i="2"/>
  <c r="S480" i="2"/>
  <c r="Z506" i="2"/>
  <c r="V506" i="2"/>
  <c r="R506" i="2"/>
  <c r="N506" i="2"/>
  <c r="J506" i="2"/>
  <c r="F506" i="2"/>
  <c r="Y506" i="2"/>
  <c r="U506" i="2"/>
  <c r="Q506" i="2"/>
  <c r="M506" i="2"/>
  <c r="I506" i="2"/>
  <c r="E506" i="2"/>
  <c r="AB506" i="2"/>
  <c r="X506" i="2"/>
  <c r="T506" i="2"/>
  <c r="P506" i="2"/>
  <c r="L506" i="2"/>
  <c r="H506" i="2"/>
  <c r="D506" i="2"/>
  <c r="S506" i="2"/>
  <c r="Y548" i="2"/>
  <c r="U548" i="2"/>
  <c r="Q548" i="2"/>
  <c r="M548" i="2"/>
  <c r="I548" i="2"/>
  <c r="E548" i="2"/>
  <c r="AB548" i="2"/>
  <c r="X548" i="2"/>
  <c r="T548" i="2"/>
  <c r="P548" i="2"/>
  <c r="L548" i="2"/>
  <c r="H548" i="2"/>
  <c r="D548" i="2"/>
  <c r="AA548" i="2"/>
  <c r="W548" i="2"/>
  <c r="S548" i="2"/>
  <c r="O548" i="2"/>
  <c r="K548" i="2"/>
  <c r="G548" i="2"/>
  <c r="R548" i="2"/>
  <c r="Z550" i="2"/>
  <c r="V550" i="2"/>
  <c r="R550" i="2"/>
  <c r="N550" i="2"/>
  <c r="J550" i="2"/>
  <c r="F550" i="2"/>
  <c r="Y550" i="2"/>
  <c r="U550" i="2"/>
  <c r="Q550" i="2"/>
  <c r="M550" i="2"/>
  <c r="I550" i="2"/>
  <c r="E550" i="2"/>
  <c r="AB550" i="2"/>
  <c r="X550" i="2"/>
  <c r="T550" i="2"/>
  <c r="P550" i="2"/>
  <c r="L550" i="2"/>
  <c r="H550" i="2"/>
  <c r="D550" i="2"/>
  <c r="S550" i="2"/>
  <c r="Z560" i="2"/>
  <c r="V560" i="2"/>
  <c r="R560" i="2"/>
  <c r="N560" i="2"/>
  <c r="J560" i="2"/>
  <c r="F560" i="2"/>
  <c r="AB560" i="2"/>
  <c r="X560" i="2"/>
  <c r="T560" i="2"/>
  <c r="P560" i="2"/>
  <c r="L560" i="2"/>
  <c r="H560" i="2"/>
  <c r="D560" i="2"/>
  <c r="Y560" i="2"/>
  <c r="Q560" i="2"/>
  <c r="I560" i="2"/>
  <c r="W560" i="2"/>
  <c r="O560" i="2"/>
  <c r="G560" i="2"/>
  <c r="U560" i="2"/>
  <c r="M560" i="2"/>
  <c r="E560" i="2"/>
  <c r="Z606" i="2"/>
  <c r="V606" i="2"/>
  <c r="R606" i="2"/>
  <c r="N606" i="2"/>
  <c r="J606" i="2"/>
  <c r="F606" i="2"/>
  <c r="Y606" i="2"/>
  <c r="U606" i="2"/>
  <c r="Q606" i="2"/>
  <c r="M606" i="2"/>
  <c r="I606" i="2"/>
  <c r="E606" i="2"/>
  <c r="AB606" i="2"/>
  <c r="X606" i="2"/>
  <c r="T606" i="2"/>
  <c r="P606" i="2"/>
  <c r="L606" i="2"/>
  <c r="H606" i="2"/>
  <c r="D606" i="2"/>
  <c r="O606" i="2"/>
  <c r="AA606" i="2"/>
  <c r="K606" i="2"/>
  <c r="W606" i="2"/>
  <c r="G606" i="2"/>
  <c r="Z638" i="2"/>
  <c r="V638" i="2"/>
  <c r="R638" i="2"/>
  <c r="N638" i="2"/>
  <c r="J638" i="2"/>
  <c r="F638" i="2"/>
  <c r="Y638" i="2"/>
  <c r="U638" i="2"/>
  <c r="Q638" i="2"/>
  <c r="M638" i="2"/>
  <c r="I638" i="2"/>
  <c r="E638" i="2"/>
  <c r="AB638" i="2"/>
  <c r="X638" i="2"/>
  <c r="T638" i="2"/>
  <c r="P638" i="2"/>
  <c r="L638" i="2"/>
  <c r="H638" i="2"/>
  <c r="D638" i="2"/>
  <c r="O638" i="2"/>
  <c r="AA638" i="2"/>
  <c r="K638" i="2"/>
  <c r="W638" i="2"/>
  <c r="G638" i="2"/>
  <c r="G67" i="2"/>
  <c r="K67" i="2"/>
  <c r="O67" i="2"/>
  <c r="S67" i="2"/>
  <c r="W67" i="2"/>
  <c r="G71" i="2"/>
  <c r="K71" i="2"/>
  <c r="O71" i="2"/>
  <c r="S71" i="2"/>
  <c r="W71" i="2"/>
  <c r="G75" i="2"/>
  <c r="K75" i="2"/>
  <c r="O75" i="2"/>
  <c r="S75" i="2"/>
  <c r="W75" i="2"/>
  <c r="G79" i="2"/>
  <c r="K79" i="2"/>
  <c r="O79" i="2"/>
  <c r="S79" i="2"/>
  <c r="W79" i="2"/>
  <c r="D95" i="2"/>
  <c r="H95" i="2"/>
  <c r="L95" i="2"/>
  <c r="P95" i="2"/>
  <c r="T95" i="2"/>
  <c r="X95" i="2"/>
  <c r="D99" i="2"/>
  <c r="H99" i="2"/>
  <c r="L99" i="2"/>
  <c r="P99" i="2"/>
  <c r="T99" i="2"/>
  <c r="X99" i="2"/>
  <c r="D103" i="2"/>
  <c r="H103" i="2"/>
  <c r="L103" i="2"/>
  <c r="P103" i="2"/>
  <c r="T103" i="2"/>
  <c r="X103" i="2"/>
  <c r="D107" i="2"/>
  <c r="H107" i="2"/>
  <c r="L107" i="2"/>
  <c r="P107" i="2"/>
  <c r="T107" i="2"/>
  <c r="X107" i="2"/>
  <c r="D111" i="2"/>
  <c r="H111" i="2"/>
  <c r="L111" i="2"/>
  <c r="P111" i="2"/>
  <c r="T111" i="2"/>
  <c r="X111" i="2"/>
  <c r="D115" i="2"/>
  <c r="H115" i="2"/>
  <c r="L115" i="2"/>
  <c r="P115" i="2"/>
  <c r="T115" i="2"/>
  <c r="X115" i="2"/>
  <c r="D119" i="2"/>
  <c r="H119" i="2"/>
  <c r="L119" i="2"/>
  <c r="P119" i="2"/>
  <c r="T119" i="2"/>
  <c r="X119" i="2"/>
  <c r="D125" i="2"/>
  <c r="H125" i="2"/>
  <c r="L125" i="2"/>
  <c r="P125" i="2"/>
  <c r="T125" i="2"/>
  <c r="X125" i="2"/>
  <c r="G129" i="2"/>
  <c r="K129" i="2"/>
  <c r="O129" i="2"/>
  <c r="S129" i="2"/>
  <c r="W129" i="2"/>
  <c r="G133" i="2"/>
  <c r="K133" i="2"/>
  <c r="O133" i="2"/>
  <c r="S133" i="2"/>
  <c r="W133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3" i="2"/>
  <c r="K153" i="2"/>
  <c r="O153" i="2"/>
  <c r="S153" i="2"/>
  <c r="W153" i="2"/>
  <c r="G157" i="2"/>
  <c r="K157" i="2"/>
  <c r="O157" i="2"/>
  <c r="S157" i="2"/>
  <c r="W157" i="2"/>
  <c r="G161" i="2"/>
  <c r="K161" i="2"/>
  <c r="O161" i="2"/>
  <c r="S161" i="2"/>
  <c r="W161" i="2"/>
  <c r="G175" i="2"/>
  <c r="K175" i="2"/>
  <c r="O175" i="2"/>
  <c r="S175" i="2"/>
  <c r="W175" i="2"/>
  <c r="G187" i="2"/>
  <c r="K187" i="2"/>
  <c r="O187" i="2"/>
  <c r="S187" i="2"/>
  <c r="W187" i="2"/>
  <c r="G191" i="2"/>
  <c r="K191" i="2"/>
  <c r="O191" i="2"/>
  <c r="S191" i="2"/>
  <c r="W191" i="2"/>
  <c r="G195" i="2"/>
  <c r="K195" i="2"/>
  <c r="O195" i="2"/>
  <c r="S195" i="2"/>
  <c r="W195" i="2"/>
  <c r="G199" i="2"/>
  <c r="K199" i="2"/>
  <c r="O199" i="2"/>
  <c r="S199" i="2"/>
  <c r="W199" i="2"/>
  <c r="G205" i="2"/>
  <c r="K205" i="2"/>
  <c r="O205" i="2"/>
  <c r="S205" i="2"/>
  <c r="W205" i="2"/>
  <c r="L9" i="3"/>
  <c r="L10" i="3" s="1"/>
  <c r="L11" i="3" s="1"/>
  <c r="G221" i="2"/>
  <c r="K221" i="2"/>
  <c r="O221" i="2"/>
  <c r="S221" i="2"/>
  <c r="W221" i="2"/>
  <c r="AA221" i="2"/>
  <c r="G233" i="2"/>
  <c r="K233" i="2"/>
  <c r="O233" i="2"/>
  <c r="S233" i="2"/>
  <c r="W233" i="2"/>
  <c r="G241" i="2"/>
  <c r="K241" i="2"/>
  <c r="O241" i="2"/>
  <c r="S241" i="2"/>
  <c r="W241" i="2"/>
  <c r="G251" i="2"/>
  <c r="K251" i="2"/>
  <c r="O251" i="2"/>
  <c r="S251" i="2"/>
  <c r="W251" i="2"/>
  <c r="G275" i="2"/>
  <c r="K275" i="2"/>
  <c r="O275" i="2"/>
  <c r="S275" i="2"/>
  <c r="W275" i="2"/>
  <c r="G281" i="2"/>
  <c r="K281" i="2"/>
  <c r="O281" i="2"/>
  <c r="S281" i="2"/>
  <c r="W281" i="2"/>
  <c r="G289" i="2"/>
  <c r="K289" i="2"/>
  <c r="O289" i="2"/>
  <c r="S289" i="2"/>
  <c r="W289" i="2"/>
  <c r="G301" i="2"/>
  <c r="K301" i="2"/>
  <c r="O301" i="2"/>
  <c r="S301" i="2"/>
  <c r="W301" i="2"/>
  <c r="G309" i="2"/>
  <c r="K309" i="2"/>
  <c r="O309" i="2"/>
  <c r="S309" i="2"/>
  <c r="W309" i="2"/>
  <c r="G315" i="2"/>
  <c r="K315" i="2"/>
  <c r="O315" i="2"/>
  <c r="S315" i="2"/>
  <c r="W315" i="2"/>
  <c r="G321" i="2"/>
  <c r="K321" i="2"/>
  <c r="O321" i="2"/>
  <c r="S321" i="2"/>
  <c r="W321" i="2"/>
  <c r="G329" i="2"/>
  <c r="K329" i="2"/>
  <c r="O329" i="2"/>
  <c r="S329" i="2"/>
  <c r="W329" i="2"/>
  <c r="G337" i="2"/>
  <c r="K337" i="2"/>
  <c r="O337" i="2"/>
  <c r="S337" i="2"/>
  <c r="W337" i="2"/>
  <c r="AB373" i="2"/>
  <c r="X373" i="2"/>
  <c r="T373" i="2"/>
  <c r="P373" i="2"/>
  <c r="L373" i="2"/>
  <c r="H373" i="2"/>
  <c r="D373" i="2"/>
  <c r="Z373" i="2"/>
  <c r="V373" i="2"/>
  <c r="R373" i="2"/>
  <c r="N373" i="2"/>
  <c r="J373" i="2"/>
  <c r="F373" i="2"/>
  <c r="K373" i="2"/>
  <c r="S373" i="2"/>
  <c r="AA373" i="2"/>
  <c r="Z409" i="2"/>
  <c r="V409" i="2"/>
  <c r="R409" i="2"/>
  <c r="N409" i="2"/>
  <c r="J409" i="2"/>
  <c r="F409" i="2"/>
  <c r="AB409" i="2"/>
  <c r="X409" i="2"/>
  <c r="T409" i="2"/>
  <c r="P409" i="2"/>
  <c r="L409" i="2"/>
  <c r="H409" i="2"/>
  <c r="D409" i="2"/>
  <c r="K409" i="2"/>
  <c r="S409" i="2"/>
  <c r="AA409" i="2"/>
  <c r="AA415" i="2"/>
  <c r="W415" i="2"/>
  <c r="S415" i="2"/>
  <c r="O415" i="2"/>
  <c r="K415" i="2"/>
  <c r="G415" i="2"/>
  <c r="Y415" i="2"/>
  <c r="U415" i="2"/>
  <c r="Q415" i="2"/>
  <c r="M415" i="2"/>
  <c r="I415" i="2"/>
  <c r="E415" i="2"/>
  <c r="J415" i="2"/>
  <c r="R415" i="2"/>
  <c r="Z415" i="2"/>
  <c r="Y419" i="2"/>
  <c r="U419" i="2"/>
  <c r="Q419" i="2"/>
  <c r="M419" i="2"/>
  <c r="I419" i="2"/>
  <c r="E419" i="2"/>
  <c r="AA419" i="2"/>
  <c r="W419" i="2"/>
  <c r="S419" i="2"/>
  <c r="O419" i="2"/>
  <c r="K419" i="2"/>
  <c r="G419" i="2"/>
  <c r="J419" i="2"/>
  <c r="R419" i="2"/>
  <c r="Z419" i="2"/>
  <c r="M421" i="2"/>
  <c r="U421" i="2"/>
  <c r="AB423" i="2"/>
  <c r="X423" i="2"/>
  <c r="T423" i="2"/>
  <c r="P423" i="2"/>
  <c r="L423" i="2"/>
  <c r="H423" i="2"/>
  <c r="D423" i="2"/>
  <c r="Z423" i="2"/>
  <c r="V423" i="2"/>
  <c r="R423" i="2"/>
  <c r="N423" i="2"/>
  <c r="J423" i="2"/>
  <c r="F423" i="2"/>
  <c r="K423" i="2"/>
  <c r="S423" i="2"/>
  <c r="AA423" i="2"/>
  <c r="Z427" i="2"/>
  <c r="V427" i="2"/>
  <c r="R427" i="2"/>
  <c r="N427" i="2"/>
  <c r="J427" i="2"/>
  <c r="F427" i="2"/>
  <c r="AB427" i="2"/>
  <c r="X427" i="2"/>
  <c r="T427" i="2"/>
  <c r="P427" i="2"/>
  <c r="L427" i="2"/>
  <c r="H427" i="2"/>
  <c r="D427" i="2"/>
  <c r="K427" i="2"/>
  <c r="S427" i="2"/>
  <c r="AA427" i="2"/>
  <c r="AB431" i="2"/>
  <c r="X431" i="2"/>
  <c r="T431" i="2"/>
  <c r="P431" i="2"/>
  <c r="L431" i="2"/>
  <c r="H431" i="2"/>
  <c r="D431" i="2"/>
  <c r="Z431" i="2"/>
  <c r="V431" i="2"/>
  <c r="R431" i="2"/>
  <c r="N431" i="2"/>
  <c r="J431" i="2"/>
  <c r="F431" i="2"/>
  <c r="K431" i="2"/>
  <c r="S431" i="2"/>
  <c r="AA431" i="2"/>
  <c r="Z435" i="2"/>
  <c r="V435" i="2"/>
  <c r="R435" i="2"/>
  <c r="N435" i="2"/>
  <c r="J435" i="2"/>
  <c r="F435" i="2"/>
  <c r="AB435" i="2"/>
  <c r="X435" i="2"/>
  <c r="T435" i="2"/>
  <c r="P435" i="2"/>
  <c r="L435" i="2"/>
  <c r="H435" i="2"/>
  <c r="D435" i="2"/>
  <c r="K435" i="2"/>
  <c r="S435" i="2"/>
  <c r="AA435" i="2"/>
  <c r="F441" i="2"/>
  <c r="V441" i="2"/>
  <c r="G443" i="2"/>
  <c r="W443" i="2"/>
  <c r="G480" i="2"/>
  <c r="W480" i="2"/>
  <c r="H482" i="2"/>
  <c r="X482" i="2"/>
  <c r="AA490" i="2"/>
  <c r="AA498" i="2"/>
  <c r="W498" i="2"/>
  <c r="S498" i="2"/>
  <c r="O498" i="2"/>
  <c r="K498" i="2"/>
  <c r="G498" i="2"/>
  <c r="Z498" i="2"/>
  <c r="V498" i="2"/>
  <c r="R498" i="2"/>
  <c r="N498" i="2"/>
  <c r="J498" i="2"/>
  <c r="F498" i="2"/>
  <c r="Y498" i="2"/>
  <c r="U498" i="2"/>
  <c r="Q498" i="2"/>
  <c r="M498" i="2"/>
  <c r="I498" i="2"/>
  <c r="E498" i="2"/>
  <c r="P498" i="2"/>
  <c r="G506" i="2"/>
  <c r="W506" i="2"/>
  <c r="X508" i="2"/>
  <c r="J512" i="2"/>
  <c r="Z512" i="2"/>
  <c r="AA514" i="2"/>
  <c r="F548" i="2"/>
  <c r="V548" i="2"/>
  <c r="G550" i="2"/>
  <c r="W550" i="2"/>
  <c r="H552" i="2"/>
  <c r="X552" i="2"/>
  <c r="S556" i="2"/>
  <c r="K560" i="2"/>
  <c r="AB564" i="2"/>
  <c r="X564" i="2"/>
  <c r="T564" i="2"/>
  <c r="P564" i="2"/>
  <c r="L564" i="2"/>
  <c r="H564" i="2"/>
  <c r="D564" i="2"/>
  <c r="Z564" i="2"/>
  <c r="V564" i="2"/>
  <c r="R564" i="2"/>
  <c r="N564" i="2"/>
  <c r="J564" i="2"/>
  <c r="F564" i="2"/>
  <c r="Y564" i="2"/>
  <c r="Q564" i="2"/>
  <c r="I564" i="2"/>
  <c r="W564" i="2"/>
  <c r="O564" i="2"/>
  <c r="G564" i="2"/>
  <c r="U564" i="2"/>
  <c r="M564" i="2"/>
  <c r="E564" i="2"/>
  <c r="S572" i="2"/>
  <c r="S606" i="2"/>
  <c r="Z630" i="2"/>
  <c r="V630" i="2"/>
  <c r="R630" i="2"/>
  <c r="N630" i="2"/>
  <c r="J630" i="2"/>
  <c r="F630" i="2"/>
  <c r="Y630" i="2"/>
  <c r="U630" i="2"/>
  <c r="Q630" i="2"/>
  <c r="M630" i="2"/>
  <c r="I630" i="2"/>
  <c r="E630" i="2"/>
  <c r="AB630" i="2"/>
  <c r="X630" i="2"/>
  <c r="T630" i="2"/>
  <c r="P630" i="2"/>
  <c r="L630" i="2"/>
  <c r="H630" i="2"/>
  <c r="D630" i="2"/>
  <c r="O630" i="2"/>
  <c r="AA630" i="2"/>
  <c r="K630" i="2"/>
  <c r="W630" i="2"/>
  <c r="G630" i="2"/>
  <c r="S638" i="2"/>
  <c r="G343" i="2"/>
  <c r="K343" i="2"/>
  <c r="O343" i="2"/>
  <c r="S343" i="2"/>
  <c r="W343" i="2"/>
  <c r="AA343" i="2"/>
  <c r="E345" i="2"/>
  <c r="I345" i="2"/>
  <c r="M345" i="2"/>
  <c r="Q345" i="2"/>
  <c r="U345" i="2"/>
  <c r="Y345" i="2"/>
  <c r="I359" i="2"/>
  <c r="M359" i="2"/>
  <c r="Q359" i="2"/>
  <c r="U359" i="2"/>
  <c r="Y359" i="2"/>
  <c r="G361" i="2"/>
  <c r="K361" i="2"/>
  <c r="O361" i="2"/>
  <c r="S361" i="2"/>
  <c r="W361" i="2"/>
  <c r="AA361" i="2"/>
  <c r="E363" i="2"/>
  <c r="I363" i="2"/>
  <c r="M363" i="2"/>
  <c r="Q363" i="2"/>
  <c r="U363" i="2"/>
  <c r="Y363" i="2"/>
  <c r="G365" i="2"/>
  <c r="K365" i="2"/>
  <c r="O365" i="2"/>
  <c r="S365" i="2"/>
  <c r="W365" i="2"/>
  <c r="AA365" i="2"/>
  <c r="E367" i="2"/>
  <c r="I367" i="2"/>
  <c r="M367" i="2"/>
  <c r="Q367" i="2"/>
  <c r="U367" i="2"/>
  <c r="Y367" i="2"/>
  <c r="G369" i="2"/>
  <c r="K369" i="2"/>
  <c r="O369" i="2"/>
  <c r="S369" i="2"/>
  <c r="W369" i="2"/>
  <c r="AA369" i="2"/>
  <c r="E371" i="2"/>
  <c r="I371" i="2"/>
  <c r="M371" i="2"/>
  <c r="Q371" i="2"/>
  <c r="U371" i="2"/>
  <c r="Y371" i="2"/>
  <c r="E377" i="2"/>
  <c r="I377" i="2"/>
  <c r="M377" i="2"/>
  <c r="Q377" i="2"/>
  <c r="U377" i="2"/>
  <c r="Y377" i="2"/>
  <c r="G387" i="2"/>
  <c r="K387" i="2"/>
  <c r="O387" i="2"/>
  <c r="S387" i="2"/>
  <c r="W387" i="2"/>
  <c r="AA387" i="2"/>
  <c r="E389" i="2"/>
  <c r="I389" i="2"/>
  <c r="M389" i="2"/>
  <c r="Q389" i="2"/>
  <c r="U389" i="2"/>
  <c r="Y389" i="2"/>
  <c r="E395" i="2"/>
  <c r="I395" i="2"/>
  <c r="M395" i="2"/>
  <c r="Q395" i="2"/>
  <c r="U395" i="2"/>
  <c r="Y395" i="2"/>
  <c r="G397" i="2"/>
  <c r="K397" i="2"/>
  <c r="O397" i="2"/>
  <c r="S397" i="2"/>
  <c r="W397" i="2"/>
  <c r="AA397" i="2"/>
  <c r="G403" i="2"/>
  <c r="K403" i="2"/>
  <c r="O403" i="2"/>
  <c r="S403" i="2"/>
  <c r="W403" i="2"/>
  <c r="AA403" i="2"/>
  <c r="E405" i="2"/>
  <c r="I405" i="2"/>
  <c r="M405" i="2"/>
  <c r="Q405" i="2"/>
  <c r="U405" i="2"/>
  <c r="Y405" i="2"/>
  <c r="G407" i="2"/>
  <c r="K407" i="2"/>
  <c r="O407" i="2"/>
  <c r="S407" i="2"/>
  <c r="W407" i="2"/>
  <c r="AA407" i="2"/>
  <c r="F439" i="2"/>
  <c r="J439" i="2"/>
  <c r="N439" i="2"/>
  <c r="R439" i="2"/>
  <c r="V439" i="2"/>
  <c r="Z439" i="2"/>
  <c r="F445" i="2"/>
  <c r="J445" i="2"/>
  <c r="N445" i="2"/>
  <c r="R445" i="2"/>
  <c r="V445" i="2"/>
  <c r="Z445" i="2"/>
  <c r="E472" i="2"/>
  <c r="I472" i="2"/>
  <c r="M472" i="2"/>
  <c r="Q472" i="2"/>
  <c r="U472" i="2"/>
  <c r="G474" i="2"/>
  <c r="K474" i="2"/>
  <c r="O474" i="2"/>
  <c r="S474" i="2"/>
  <c r="W474" i="2"/>
  <c r="AA474" i="2"/>
  <c r="E476" i="2"/>
  <c r="I476" i="2"/>
  <c r="M476" i="2"/>
  <c r="Q476" i="2"/>
  <c r="U476" i="2"/>
  <c r="Y476" i="2"/>
  <c r="G478" i="2"/>
  <c r="K478" i="2"/>
  <c r="O478" i="2"/>
  <c r="S478" i="2"/>
  <c r="W478" i="2"/>
  <c r="AA478" i="2"/>
  <c r="G484" i="2"/>
  <c r="K484" i="2"/>
  <c r="O484" i="2"/>
  <c r="S484" i="2"/>
  <c r="W484" i="2"/>
  <c r="AA484" i="2"/>
  <c r="E486" i="2"/>
  <c r="I486" i="2"/>
  <c r="M486" i="2"/>
  <c r="Q486" i="2"/>
  <c r="U486" i="2"/>
  <c r="Y486" i="2"/>
  <c r="G488" i="2"/>
  <c r="K488" i="2"/>
  <c r="O488" i="2"/>
  <c r="S488" i="2"/>
  <c r="W488" i="2"/>
  <c r="AA488" i="2"/>
  <c r="G494" i="2"/>
  <c r="K494" i="2"/>
  <c r="O494" i="2"/>
  <c r="S494" i="2"/>
  <c r="W494" i="2"/>
  <c r="AA494" i="2"/>
  <c r="G500" i="2"/>
  <c r="K500" i="2"/>
  <c r="O500" i="2"/>
  <c r="S500" i="2"/>
  <c r="W500" i="2"/>
  <c r="AA500" i="2"/>
  <c r="E502" i="2"/>
  <c r="I502" i="2"/>
  <c r="M502" i="2"/>
  <c r="Q502" i="2"/>
  <c r="U502" i="2"/>
  <c r="Y502" i="2"/>
  <c r="G504" i="2"/>
  <c r="K504" i="2"/>
  <c r="O504" i="2"/>
  <c r="S504" i="2"/>
  <c r="W504" i="2"/>
  <c r="AA504" i="2"/>
  <c r="F510" i="2"/>
  <c r="J510" i="2"/>
  <c r="N510" i="2"/>
  <c r="R510" i="2"/>
  <c r="V510" i="2"/>
  <c r="Z510" i="2"/>
  <c r="G518" i="2"/>
  <c r="K518" i="2"/>
  <c r="O518" i="2"/>
  <c r="S518" i="2"/>
  <c r="W518" i="2"/>
  <c r="AA518" i="2"/>
  <c r="E520" i="2"/>
  <c r="I520" i="2"/>
  <c r="M520" i="2"/>
  <c r="Q520" i="2"/>
  <c r="U520" i="2"/>
  <c r="Y520" i="2"/>
  <c r="G522" i="2"/>
  <c r="K522" i="2"/>
  <c r="O522" i="2"/>
  <c r="S522" i="2"/>
  <c r="W522" i="2"/>
  <c r="AA522" i="2"/>
  <c r="E524" i="2"/>
  <c r="I524" i="2"/>
  <c r="M524" i="2"/>
  <c r="Q524" i="2"/>
  <c r="U524" i="2"/>
  <c r="Y524" i="2"/>
  <c r="G526" i="2"/>
  <c r="K526" i="2"/>
  <c r="O526" i="2"/>
  <c r="S526" i="2"/>
  <c r="W526" i="2"/>
  <c r="AA526" i="2"/>
  <c r="E528" i="2"/>
  <c r="I528" i="2"/>
  <c r="M528" i="2"/>
  <c r="Q528" i="2"/>
  <c r="U528" i="2"/>
  <c r="Y528" i="2"/>
  <c r="G530" i="2"/>
  <c r="K530" i="2"/>
  <c r="O530" i="2"/>
  <c r="S530" i="2"/>
  <c r="W530" i="2"/>
  <c r="AA530" i="2"/>
  <c r="E532" i="2"/>
  <c r="I532" i="2"/>
  <c r="M532" i="2"/>
  <c r="Q532" i="2"/>
  <c r="U532" i="2"/>
  <c r="Y532" i="2"/>
  <c r="G534" i="2"/>
  <c r="K534" i="2"/>
  <c r="O534" i="2"/>
  <c r="S534" i="2"/>
  <c r="W534" i="2"/>
  <c r="AA534" i="2"/>
  <c r="E536" i="2"/>
  <c r="I536" i="2"/>
  <c r="M536" i="2"/>
  <c r="Q536" i="2"/>
  <c r="U536" i="2"/>
  <c r="Y536" i="2"/>
  <c r="G538" i="2"/>
  <c r="K538" i="2"/>
  <c r="O538" i="2"/>
  <c r="S538" i="2"/>
  <c r="W538" i="2"/>
  <c r="AA538" i="2"/>
  <c r="E540" i="2"/>
  <c r="I540" i="2"/>
  <c r="M540" i="2"/>
  <c r="Q540" i="2"/>
  <c r="U540" i="2"/>
  <c r="Y540" i="2"/>
  <c r="G542" i="2"/>
  <c r="K542" i="2"/>
  <c r="O542" i="2"/>
  <c r="S542" i="2"/>
  <c r="W542" i="2"/>
  <c r="AA542" i="2"/>
  <c r="E544" i="2"/>
  <c r="I544" i="2"/>
  <c r="M544" i="2"/>
  <c r="Q544" i="2"/>
  <c r="U544" i="2"/>
  <c r="Y544" i="2"/>
  <c r="F546" i="2"/>
  <c r="J546" i="2"/>
  <c r="N546" i="2"/>
  <c r="R546" i="2"/>
  <c r="V546" i="2"/>
  <c r="Z546" i="2"/>
  <c r="F554" i="2"/>
  <c r="J554" i="2"/>
  <c r="N554" i="2"/>
  <c r="R554" i="2"/>
  <c r="Y558" i="2"/>
  <c r="U558" i="2"/>
  <c r="Q558" i="2"/>
  <c r="M558" i="2"/>
  <c r="I558" i="2"/>
  <c r="E558" i="2"/>
  <c r="AA558" i="2"/>
  <c r="W558" i="2"/>
  <c r="S558" i="2"/>
  <c r="O558" i="2"/>
  <c r="K558" i="2"/>
  <c r="G558" i="2"/>
  <c r="J558" i="2"/>
  <c r="R558" i="2"/>
  <c r="Z558" i="2"/>
  <c r="AA562" i="2"/>
  <c r="W562" i="2"/>
  <c r="S562" i="2"/>
  <c r="O562" i="2"/>
  <c r="K562" i="2"/>
  <c r="G562" i="2"/>
  <c r="Y562" i="2"/>
  <c r="U562" i="2"/>
  <c r="Q562" i="2"/>
  <c r="M562" i="2"/>
  <c r="I562" i="2"/>
  <c r="E562" i="2"/>
  <c r="J562" i="2"/>
  <c r="R562" i="2"/>
  <c r="Z562" i="2"/>
  <c r="Z566" i="2"/>
  <c r="V566" i="2"/>
  <c r="R566" i="2"/>
  <c r="N566" i="2"/>
  <c r="J566" i="2"/>
  <c r="F566" i="2"/>
  <c r="AB566" i="2"/>
  <c r="X566" i="2"/>
  <c r="T566" i="2"/>
  <c r="P566" i="2"/>
  <c r="L566" i="2"/>
  <c r="H566" i="2"/>
  <c r="D566" i="2"/>
  <c r="K566" i="2"/>
  <c r="S566" i="2"/>
  <c r="AA566" i="2"/>
  <c r="I568" i="2"/>
  <c r="Q568" i="2"/>
  <c r="G570" i="2"/>
  <c r="O570" i="2"/>
  <c r="Z574" i="2"/>
  <c r="V574" i="2"/>
  <c r="R574" i="2"/>
  <c r="N574" i="2"/>
  <c r="J574" i="2"/>
  <c r="F574" i="2"/>
  <c r="AB574" i="2"/>
  <c r="X574" i="2"/>
  <c r="T574" i="2"/>
  <c r="P574" i="2"/>
  <c r="L574" i="2"/>
  <c r="H574" i="2"/>
  <c r="D574" i="2"/>
  <c r="K574" i="2"/>
  <c r="S574" i="2"/>
  <c r="AA574" i="2"/>
  <c r="I576" i="2"/>
  <c r="Q576" i="2"/>
  <c r="F578" i="2"/>
  <c r="N578" i="2"/>
  <c r="I580" i="2"/>
  <c r="Q580" i="2"/>
  <c r="F582" i="2"/>
  <c r="N582" i="2"/>
  <c r="I584" i="2"/>
  <c r="Q584" i="2"/>
  <c r="F586" i="2"/>
  <c r="N586" i="2"/>
  <c r="I588" i="2"/>
  <c r="Q588" i="2"/>
  <c r="H590" i="2"/>
  <c r="K594" i="2"/>
  <c r="Y598" i="2"/>
  <c r="U598" i="2"/>
  <c r="Q598" i="2"/>
  <c r="M598" i="2"/>
  <c r="I598" i="2"/>
  <c r="E598" i="2"/>
  <c r="AB598" i="2"/>
  <c r="X598" i="2"/>
  <c r="T598" i="2"/>
  <c r="P598" i="2"/>
  <c r="L598" i="2"/>
  <c r="H598" i="2"/>
  <c r="D598" i="2"/>
  <c r="AA598" i="2"/>
  <c r="W598" i="2"/>
  <c r="S598" i="2"/>
  <c r="O598" i="2"/>
  <c r="K598" i="2"/>
  <c r="G598" i="2"/>
  <c r="R598" i="2"/>
  <c r="Z600" i="2"/>
  <c r="V600" i="2"/>
  <c r="R600" i="2"/>
  <c r="N600" i="2"/>
  <c r="J600" i="2"/>
  <c r="F600" i="2"/>
  <c r="Y600" i="2"/>
  <c r="U600" i="2"/>
  <c r="Q600" i="2"/>
  <c r="M600" i="2"/>
  <c r="I600" i="2"/>
  <c r="E600" i="2"/>
  <c r="AB600" i="2"/>
  <c r="X600" i="2"/>
  <c r="T600" i="2"/>
  <c r="P600" i="2"/>
  <c r="L600" i="2"/>
  <c r="H600" i="2"/>
  <c r="D600" i="2"/>
  <c r="S600" i="2"/>
  <c r="AB692" i="2"/>
  <c r="X692" i="2"/>
  <c r="T692" i="2"/>
  <c r="P692" i="2"/>
  <c r="L692" i="2"/>
  <c r="H692" i="2"/>
  <c r="D692" i="2"/>
  <c r="Z692" i="2"/>
  <c r="U692" i="2"/>
  <c r="O692" i="2"/>
  <c r="J692" i="2"/>
  <c r="E692" i="2"/>
  <c r="W692" i="2"/>
  <c r="R692" i="2"/>
  <c r="M692" i="2"/>
  <c r="G692" i="2"/>
  <c r="V692" i="2"/>
  <c r="K692" i="2"/>
  <c r="S692" i="2"/>
  <c r="I692" i="2"/>
  <c r="AA692" i="2"/>
  <c r="Q692" i="2"/>
  <c r="F692" i="2"/>
  <c r="G439" i="2"/>
  <c r="K439" i="2"/>
  <c r="O439" i="2"/>
  <c r="S439" i="2"/>
  <c r="W439" i="2"/>
  <c r="AA439" i="2"/>
  <c r="G445" i="2"/>
  <c r="K445" i="2"/>
  <c r="O445" i="2"/>
  <c r="S445" i="2"/>
  <c r="W445" i="2"/>
  <c r="AA445" i="2"/>
  <c r="G510" i="2"/>
  <c r="K510" i="2"/>
  <c r="O510" i="2"/>
  <c r="S510" i="2"/>
  <c r="W510" i="2"/>
  <c r="AA510" i="2"/>
  <c r="G546" i="2"/>
  <c r="K546" i="2"/>
  <c r="O546" i="2"/>
  <c r="S546" i="2"/>
  <c r="W546" i="2"/>
  <c r="AA546" i="2"/>
  <c r="AA554" i="2"/>
  <c r="W554" i="2"/>
  <c r="S554" i="2"/>
  <c r="Y554" i="2"/>
  <c r="U554" i="2"/>
  <c r="G554" i="2"/>
  <c r="K554" i="2"/>
  <c r="O554" i="2"/>
  <c r="T554" i="2"/>
  <c r="AB554" i="2"/>
  <c r="AB568" i="2"/>
  <c r="X568" i="2"/>
  <c r="T568" i="2"/>
  <c r="P568" i="2"/>
  <c r="L568" i="2"/>
  <c r="H568" i="2"/>
  <c r="D568" i="2"/>
  <c r="Z568" i="2"/>
  <c r="V568" i="2"/>
  <c r="R568" i="2"/>
  <c r="N568" i="2"/>
  <c r="J568" i="2"/>
  <c r="F568" i="2"/>
  <c r="K568" i="2"/>
  <c r="S568" i="2"/>
  <c r="AA568" i="2"/>
  <c r="AB576" i="2"/>
  <c r="X576" i="2"/>
  <c r="T576" i="2"/>
  <c r="P576" i="2"/>
  <c r="L576" i="2"/>
  <c r="H576" i="2"/>
  <c r="D576" i="2"/>
  <c r="Z576" i="2"/>
  <c r="V576" i="2"/>
  <c r="R576" i="2"/>
  <c r="N576" i="2"/>
  <c r="J576" i="2"/>
  <c r="F576" i="2"/>
  <c r="K576" i="2"/>
  <c r="S576" i="2"/>
  <c r="AA576" i="2"/>
  <c r="Z580" i="2"/>
  <c r="V580" i="2"/>
  <c r="R580" i="2"/>
  <c r="N580" i="2"/>
  <c r="J580" i="2"/>
  <c r="F580" i="2"/>
  <c r="AB580" i="2"/>
  <c r="X580" i="2"/>
  <c r="T580" i="2"/>
  <c r="P580" i="2"/>
  <c r="L580" i="2"/>
  <c r="H580" i="2"/>
  <c r="D580" i="2"/>
  <c r="K580" i="2"/>
  <c r="S580" i="2"/>
  <c r="AA580" i="2"/>
  <c r="AB584" i="2"/>
  <c r="X584" i="2"/>
  <c r="T584" i="2"/>
  <c r="P584" i="2"/>
  <c r="L584" i="2"/>
  <c r="H584" i="2"/>
  <c r="D584" i="2"/>
  <c r="Z584" i="2"/>
  <c r="V584" i="2"/>
  <c r="R584" i="2"/>
  <c r="N584" i="2"/>
  <c r="J584" i="2"/>
  <c r="F584" i="2"/>
  <c r="K584" i="2"/>
  <c r="S584" i="2"/>
  <c r="AA584" i="2"/>
  <c r="Z588" i="2"/>
  <c r="V588" i="2"/>
  <c r="R588" i="2"/>
  <c r="N588" i="2"/>
  <c r="J588" i="2"/>
  <c r="F588" i="2"/>
  <c r="AB588" i="2"/>
  <c r="X588" i="2"/>
  <c r="T588" i="2"/>
  <c r="P588" i="2"/>
  <c r="L588" i="2"/>
  <c r="H588" i="2"/>
  <c r="D588" i="2"/>
  <c r="K588" i="2"/>
  <c r="S588" i="2"/>
  <c r="AA588" i="2"/>
  <c r="Z610" i="2"/>
  <c r="V610" i="2"/>
  <c r="R610" i="2"/>
  <c r="N610" i="2"/>
  <c r="J610" i="2"/>
  <c r="F610" i="2"/>
  <c r="Y610" i="2"/>
  <c r="U610" i="2"/>
  <c r="Q610" i="2"/>
  <c r="M610" i="2"/>
  <c r="I610" i="2"/>
  <c r="E610" i="2"/>
  <c r="AB610" i="2"/>
  <c r="X610" i="2"/>
  <c r="T610" i="2"/>
  <c r="P610" i="2"/>
  <c r="L610" i="2"/>
  <c r="H610" i="2"/>
  <c r="D610" i="2"/>
  <c r="S610" i="2"/>
  <c r="Z618" i="2"/>
  <c r="V618" i="2"/>
  <c r="R618" i="2"/>
  <c r="N618" i="2"/>
  <c r="J618" i="2"/>
  <c r="F618" i="2"/>
  <c r="Y618" i="2"/>
  <c r="U618" i="2"/>
  <c r="Q618" i="2"/>
  <c r="M618" i="2"/>
  <c r="I618" i="2"/>
  <c r="E618" i="2"/>
  <c r="AB618" i="2"/>
  <c r="X618" i="2"/>
  <c r="T618" i="2"/>
  <c r="P618" i="2"/>
  <c r="L618" i="2"/>
  <c r="H618" i="2"/>
  <c r="D618" i="2"/>
  <c r="S618" i="2"/>
  <c r="Z626" i="2"/>
  <c r="V626" i="2"/>
  <c r="R626" i="2"/>
  <c r="N626" i="2"/>
  <c r="J626" i="2"/>
  <c r="F626" i="2"/>
  <c r="Y626" i="2"/>
  <c r="U626" i="2"/>
  <c r="Q626" i="2"/>
  <c r="M626" i="2"/>
  <c r="I626" i="2"/>
  <c r="E626" i="2"/>
  <c r="AB626" i="2"/>
  <c r="X626" i="2"/>
  <c r="T626" i="2"/>
  <c r="P626" i="2"/>
  <c r="L626" i="2"/>
  <c r="H626" i="2"/>
  <c r="D626" i="2"/>
  <c r="S626" i="2"/>
  <c r="Z634" i="2"/>
  <c r="V634" i="2"/>
  <c r="R634" i="2"/>
  <c r="N634" i="2"/>
  <c r="J634" i="2"/>
  <c r="F634" i="2"/>
  <c r="Y634" i="2"/>
  <c r="U634" i="2"/>
  <c r="Q634" i="2"/>
  <c r="M634" i="2"/>
  <c r="I634" i="2"/>
  <c r="E634" i="2"/>
  <c r="AB634" i="2"/>
  <c r="X634" i="2"/>
  <c r="T634" i="2"/>
  <c r="P634" i="2"/>
  <c r="L634" i="2"/>
  <c r="H634" i="2"/>
  <c r="D634" i="2"/>
  <c r="S634" i="2"/>
  <c r="Z642" i="2"/>
  <c r="V642" i="2"/>
  <c r="R642" i="2"/>
  <c r="N642" i="2"/>
  <c r="J642" i="2"/>
  <c r="F642" i="2"/>
  <c r="Y642" i="2"/>
  <c r="U642" i="2"/>
  <c r="Q642" i="2"/>
  <c r="M642" i="2"/>
  <c r="I642" i="2"/>
  <c r="E642" i="2"/>
  <c r="AB642" i="2"/>
  <c r="X642" i="2"/>
  <c r="T642" i="2"/>
  <c r="P642" i="2"/>
  <c r="L642" i="2"/>
  <c r="H642" i="2"/>
  <c r="D642" i="2"/>
  <c r="S642" i="2"/>
  <c r="E343" i="2"/>
  <c r="I343" i="2"/>
  <c r="M343" i="2"/>
  <c r="Q343" i="2"/>
  <c r="U343" i="2"/>
  <c r="G345" i="2"/>
  <c r="K345" i="2"/>
  <c r="O345" i="2"/>
  <c r="S345" i="2"/>
  <c r="W345" i="2"/>
  <c r="G359" i="2"/>
  <c r="K359" i="2"/>
  <c r="O359" i="2"/>
  <c r="S359" i="2"/>
  <c r="W359" i="2"/>
  <c r="E361" i="2"/>
  <c r="I361" i="2"/>
  <c r="M361" i="2"/>
  <c r="Q361" i="2"/>
  <c r="U361" i="2"/>
  <c r="G363" i="2"/>
  <c r="K363" i="2"/>
  <c r="O363" i="2"/>
  <c r="S363" i="2"/>
  <c r="W363" i="2"/>
  <c r="E365" i="2"/>
  <c r="I365" i="2"/>
  <c r="M365" i="2"/>
  <c r="Q365" i="2"/>
  <c r="U365" i="2"/>
  <c r="G367" i="2"/>
  <c r="K367" i="2"/>
  <c r="O367" i="2"/>
  <c r="S367" i="2"/>
  <c r="W367" i="2"/>
  <c r="E369" i="2"/>
  <c r="I369" i="2"/>
  <c r="M369" i="2"/>
  <c r="Q369" i="2"/>
  <c r="U369" i="2"/>
  <c r="G371" i="2"/>
  <c r="K371" i="2"/>
  <c r="O371" i="2"/>
  <c r="S371" i="2"/>
  <c r="W371" i="2"/>
  <c r="G377" i="2"/>
  <c r="K377" i="2"/>
  <c r="O377" i="2"/>
  <c r="S377" i="2"/>
  <c r="W377" i="2"/>
  <c r="E387" i="2"/>
  <c r="I387" i="2"/>
  <c r="M387" i="2"/>
  <c r="Q387" i="2"/>
  <c r="U387" i="2"/>
  <c r="G389" i="2"/>
  <c r="K389" i="2"/>
  <c r="O389" i="2"/>
  <c r="S389" i="2"/>
  <c r="W389" i="2"/>
  <c r="G395" i="2"/>
  <c r="K395" i="2"/>
  <c r="O395" i="2"/>
  <c r="S395" i="2"/>
  <c r="W395" i="2"/>
  <c r="E397" i="2"/>
  <c r="I397" i="2"/>
  <c r="M397" i="2"/>
  <c r="Q397" i="2"/>
  <c r="U397" i="2"/>
  <c r="E403" i="2"/>
  <c r="I403" i="2"/>
  <c r="M403" i="2"/>
  <c r="Q403" i="2"/>
  <c r="U403" i="2"/>
  <c r="G405" i="2"/>
  <c r="K405" i="2"/>
  <c r="O405" i="2"/>
  <c r="S405" i="2"/>
  <c r="W405" i="2"/>
  <c r="E407" i="2"/>
  <c r="I407" i="2"/>
  <c r="M407" i="2"/>
  <c r="Q407" i="2"/>
  <c r="U407" i="2"/>
  <c r="D439" i="2"/>
  <c r="H439" i="2"/>
  <c r="L439" i="2"/>
  <c r="P439" i="2"/>
  <c r="T439" i="2"/>
  <c r="X439" i="2"/>
  <c r="D445" i="2"/>
  <c r="H445" i="2"/>
  <c r="L445" i="2"/>
  <c r="P445" i="2"/>
  <c r="T445" i="2"/>
  <c r="X445" i="2"/>
  <c r="T9" i="3"/>
  <c r="T10" i="3" s="1"/>
  <c r="T11" i="3" s="1"/>
  <c r="G472" i="2"/>
  <c r="K472" i="2"/>
  <c r="O472" i="2"/>
  <c r="S472" i="2"/>
  <c r="W472" i="2"/>
  <c r="AA472" i="2"/>
  <c r="E474" i="2"/>
  <c r="I474" i="2"/>
  <c r="M474" i="2"/>
  <c r="Q474" i="2"/>
  <c r="U474" i="2"/>
  <c r="G476" i="2"/>
  <c r="K476" i="2"/>
  <c r="O476" i="2"/>
  <c r="S476" i="2"/>
  <c r="W476" i="2"/>
  <c r="Q478" i="2"/>
  <c r="U478" i="2"/>
  <c r="I484" i="2"/>
  <c r="M484" i="2"/>
  <c r="Q484" i="2"/>
  <c r="U484" i="2"/>
  <c r="G486" i="2"/>
  <c r="K486" i="2"/>
  <c r="O486" i="2"/>
  <c r="S486" i="2"/>
  <c r="W486" i="2"/>
  <c r="E488" i="2"/>
  <c r="I488" i="2"/>
  <c r="M488" i="2"/>
  <c r="Q488" i="2"/>
  <c r="U488" i="2"/>
  <c r="I494" i="2"/>
  <c r="M494" i="2"/>
  <c r="Q494" i="2"/>
  <c r="U494" i="2"/>
  <c r="E500" i="2"/>
  <c r="I500" i="2"/>
  <c r="M500" i="2"/>
  <c r="Q500" i="2"/>
  <c r="U500" i="2"/>
  <c r="G502" i="2"/>
  <c r="K502" i="2"/>
  <c r="O502" i="2"/>
  <c r="S502" i="2"/>
  <c r="W502" i="2"/>
  <c r="E504" i="2"/>
  <c r="I504" i="2"/>
  <c r="M504" i="2"/>
  <c r="Q504" i="2"/>
  <c r="U504" i="2"/>
  <c r="D510" i="2"/>
  <c r="H510" i="2"/>
  <c r="L510" i="2"/>
  <c r="P510" i="2"/>
  <c r="T510" i="2"/>
  <c r="X510" i="2"/>
  <c r="E518" i="2"/>
  <c r="I518" i="2"/>
  <c r="M518" i="2"/>
  <c r="Q518" i="2"/>
  <c r="U518" i="2"/>
  <c r="G520" i="2"/>
  <c r="K520" i="2"/>
  <c r="O520" i="2"/>
  <c r="S520" i="2"/>
  <c r="W520" i="2"/>
  <c r="E522" i="2"/>
  <c r="I522" i="2"/>
  <c r="M522" i="2"/>
  <c r="Q522" i="2"/>
  <c r="U522" i="2"/>
  <c r="G524" i="2"/>
  <c r="K524" i="2"/>
  <c r="O524" i="2"/>
  <c r="S524" i="2"/>
  <c r="W524" i="2"/>
  <c r="E526" i="2"/>
  <c r="I526" i="2"/>
  <c r="M526" i="2"/>
  <c r="Q526" i="2"/>
  <c r="U526" i="2"/>
  <c r="G528" i="2"/>
  <c r="K528" i="2"/>
  <c r="O528" i="2"/>
  <c r="S528" i="2"/>
  <c r="W528" i="2"/>
  <c r="I530" i="2"/>
  <c r="M530" i="2"/>
  <c r="Q530" i="2"/>
  <c r="U530" i="2"/>
  <c r="G532" i="2"/>
  <c r="K532" i="2"/>
  <c r="O532" i="2"/>
  <c r="S532" i="2"/>
  <c r="W532" i="2"/>
  <c r="I534" i="2"/>
  <c r="M534" i="2"/>
  <c r="Q534" i="2"/>
  <c r="U534" i="2"/>
  <c r="G536" i="2"/>
  <c r="K536" i="2"/>
  <c r="O536" i="2"/>
  <c r="S536" i="2"/>
  <c r="W536" i="2"/>
  <c r="E538" i="2"/>
  <c r="I538" i="2"/>
  <c r="M538" i="2"/>
  <c r="Q538" i="2"/>
  <c r="U538" i="2"/>
  <c r="G540" i="2"/>
  <c r="K540" i="2"/>
  <c r="O540" i="2"/>
  <c r="S540" i="2"/>
  <c r="W540" i="2"/>
  <c r="E542" i="2"/>
  <c r="I542" i="2"/>
  <c r="M542" i="2"/>
  <c r="Q542" i="2"/>
  <c r="U542" i="2"/>
  <c r="G544" i="2"/>
  <c r="K544" i="2"/>
  <c r="O544" i="2"/>
  <c r="S544" i="2"/>
  <c r="W544" i="2"/>
  <c r="D546" i="2"/>
  <c r="H546" i="2"/>
  <c r="L546" i="2"/>
  <c r="P546" i="2"/>
  <c r="T546" i="2"/>
  <c r="X546" i="2"/>
  <c r="D554" i="2"/>
  <c r="H554" i="2"/>
  <c r="L554" i="2"/>
  <c r="P554" i="2"/>
  <c r="V554" i="2"/>
  <c r="F558" i="2"/>
  <c r="N558" i="2"/>
  <c r="V558" i="2"/>
  <c r="F562" i="2"/>
  <c r="N562" i="2"/>
  <c r="V562" i="2"/>
  <c r="G566" i="2"/>
  <c r="O566" i="2"/>
  <c r="W566" i="2"/>
  <c r="E568" i="2"/>
  <c r="M568" i="2"/>
  <c r="U568" i="2"/>
  <c r="Z570" i="2"/>
  <c r="V570" i="2"/>
  <c r="R570" i="2"/>
  <c r="N570" i="2"/>
  <c r="J570" i="2"/>
  <c r="F570" i="2"/>
  <c r="AB570" i="2"/>
  <c r="X570" i="2"/>
  <c r="T570" i="2"/>
  <c r="P570" i="2"/>
  <c r="L570" i="2"/>
  <c r="H570" i="2"/>
  <c r="D570" i="2"/>
  <c r="K570" i="2"/>
  <c r="S570" i="2"/>
  <c r="AA570" i="2"/>
  <c r="G574" i="2"/>
  <c r="O574" i="2"/>
  <c r="W574" i="2"/>
  <c r="E576" i="2"/>
  <c r="M576" i="2"/>
  <c r="U576" i="2"/>
  <c r="Y578" i="2"/>
  <c r="U578" i="2"/>
  <c r="Q578" i="2"/>
  <c r="M578" i="2"/>
  <c r="I578" i="2"/>
  <c r="E578" i="2"/>
  <c r="AA578" i="2"/>
  <c r="W578" i="2"/>
  <c r="S578" i="2"/>
  <c r="O578" i="2"/>
  <c r="K578" i="2"/>
  <c r="G578" i="2"/>
  <c r="J578" i="2"/>
  <c r="R578" i="2"/>
  <c r="Z578" i="2"/>
  <c r="E580" i="2"/>
  <c r="M580" i="2"/>
  <c r="U580" i="2"/>
  <c r="AA582" i="2"/>
  <c r="W582" i="2"/>
  <c r="S582" i="2"/>
  <c r="O582" i="2"/>
  <c r="K582" i="2"/>
  <c r="G582" i="2"/>
  <c r="Y582" i="2"/>
  <c r="U582" i="2"/>
  <c r="Q582" i="2"/>
  <c r="M582" i="2"/>
  <c r="I582" i="2"/>
  <c r="E582" i="2"/>
  <c r="J582" i="2"/>
  <c r="R582" i="2"/>
  <c r="Z582" i="2"/>
  <c r="E584" i="2"/>
  <c r="M584" i="2"/>
  <c r="U584" i="2"/>
  <c r="Y586" i="2"/>
  <c r="U586" i="2"/>
  <c r="Q586" i="2"/>
  <c r="M586" i="2"/>
  <c r="I586" i="2"/>
  <c r="E586" i="2"/>
  <c r="AA586" i="2"/>
  <c r="W586" i="2"/>
  <c r="S586" i="2"/>
  <c r="O586" i="2"/>
  <c r="K586" i="2"/>
  <c r="G586" i="2"/>
  <c r="J586" i="2"/>
  <c r="R586" i="2"/>
  <c r="Z586" i="2"/>
  <c r="E588" i="2"/>
  <c r="M588" i="2"/>
  <c r="U588" i="2"/>
  <c r="AA590" i="2"/>
  <c r="W590" i="2"/>
  <c r="S590" i="2"/>
  <c r="O590" i="2"/>
  <c r="K590" i="2"/>
  <c r="G590" i="2"/>
  <c r="Z590" i="2"/>
  <c r="V590" i="2"/>
  <c r="R590" i="2"/>
  <c r="N590" i="2"/>
  <c r="J590" i="2"/>
  <c r="F590" i="2"/>
  <c r="Y590" i="2"/>
  <c r="U590" i="2"/>
  <c r="Q590" i="2"/>
  <c r="M590" i="2"/>
  <c r="I590" i="2"/>
  <c r="E590" i="2"/>
  <c r="P590" i="2"/>
  <c r="Z594" i="2"/>
  <c r="V594" i="2"/>
  <c r="R594" i="2"/>
  <c r="N594" i="2"/>
  <c r="J594" i="2"/>
  <c r="F594" i="2"/>
  <c r="Y594" i="2"/>
  <c r="U594" i="2"/>
  <c r="Q594" i="2"/>
  <c r="M594" i="2"/>
  <c r="I594" i="2"/>
  <c r="E594" i="2"/>
  <c r="AB594" i="2"/>
  <c r="X594" i="2"/>
  <c r="T594" i="2"/>
  <c r="P594" i="2"/>
  <c r="L594" i="2"/>
  <c r="H594" i="2"/>
  <c r="D594" i="2"/>
  <c r="S594" i="2"/>
  <c r="J598" i="2"/>
  <c r="Z598" i="2"/>
  <c r="K600" i="2"/>
  <c r="AA600" i="2"/>
  <c r="G610" i="2"/>
  <c r="W610" i="2"/>
  <c r="G618" i="2"/>
  <c r="W618" i="2"/>
  <c r="G626" i="2"/>
  <c r="W626" i="2"/>
  <c r="G634" i="2"/>
  <c r="W634" i="2"/>
  <c r="G642" i="2"/>
  <c r="W642" i="2"/>
  <c r="AB682" i="2"/>
  <c r="X682" i="2"/>
  <c r="T682" i="2"/>
  <c r="P682" i="2"/>
  <c r="L682" i="2"/>
  <c r="H682" i="2"/>
  <c r="D682" i="2"/>
  <c r="Z682" i="2"/>
  <c r="U682" i="2"/>
  <c r="O682" i="2"/>
  <c r="J682" i="2"/>
  <c r="E682" i="2"/>
  <c r="W682" i="2"/>
  <c r="R682" i="2"/>
  <c r="M682" i="2"/>
  <c r="G682" i="2"/>
  <c r="V682" i="2"/>
  <c r="K682" i="2"/>
  <c r="S682" i="2"/>
  <c r="I682" i="2"/>
  <c r="AA682" i="2"/>
  <c r="Q682" i="2"/>
  <c r="F682" i="2"/>
  <c r="Y692" i="2"/>
  <c r="AB958" i="2"/>
  <c r="X958" i="2"/>
  <c r="T958" i="2"/>
  <c r="P958" i="2"/>
  <c r="L958" i="2"/>
  <c r="H958" i="2"/>
  <c r="D958" i="2"/>
  <c r="W958" i="2"/>
  <c r="R958" i="2"/>
  <c r="M958" i="2"/>
  <c r="G958" i="2"/>
  <c r="AA958" i="2"/>
  <c r="V958" i="2"/>
  <c r="Q958" i="2"/>
  <c r="K958" i="2"/>
  <c r="F958" i="2"/>
  <c r="U958" i="2"/>
  <c r="J958" i="2"/>
  <c r="S958" i="2"/>
  <c r="I958" i="2"/>
  <c r="O958" i="2"/>
  <c r="N958" i="2"/>
  <c r="Z958" i="2"/>
  <c r="E958" i="2"/>
  <c r="Y958" i="2"/>
  <c r="F592" i="2"/>
  <c r="J592" i="2"/>
  <c r="N592" i="2"/>
  <c r="R592" i="2"/>
  <c r="V592" i="2"/>
  <c r="Z592" i="2"/>
  <c r="F596" i="2"/>
  <c r="J596" i="2"/>
  <c r="N596" i="2"/>
  <c r="R596" i="2"/>
  <c r="V596" i="2"/>
  <c r="Z596" i="2"/>
  <c r="F604" i="2"/>
  <c r="J604" i="2"/>
  <c r="N604" i="2"/>
  <c r="R604" i="2"/>
  <c r="V604" i="2"/>
  <c r="Z604" i="2"/>
  <c r="F608" i="2"/>
  <c r="J608" i="2"/>
  <c r="N608" i="2"/>
  <c r="R608" i="2"/>
  <c r="V608" i="2"/>
  <c r="Z608" i="2"/>
  <c r="F612" i="2"/>
  <c r="J612" i="2"/>
  <c r="N612" i="2"/>
  <c r="R612" i="2"/>
  <c r="V612" i="2"/>
  <c r="Z612" i="2"/>
  <c r="F616" i="2"/>
  <c r="J616" i="2"/>
  <c r="N616" i="2"/>
  <c r="R616" i="2"/>
  <c r="V616" i="2"/>
  <c r="Z616" i="2"/>
  <c r="F620" i="2"/>
  <c r="J620" i="2"/>
  <c r="N620" i="2"/>
  <c r="R620" i="2"/>
  <c r="V620" i="2"/>
  <c r="Z620" i="2"/>
  <c r="F624" i="2"/>
  <c r="J624" i="2"/>
  <c r="N624" i="2"/>
  <c r="R624" i="2"/>
  <c r="V624" i="2"/>
  <c r="Z624" i="2"/>
  <c r="F628" i="2"/>
  <c r="J628" i="2"/>
  <c r="N628" i="2"/>
  <c r="R628" i="2"/>
  <c r="V628" i="2"/>
  <c r="Z628" i="2"/>
  <c r="F632" i="2"/>
  <c r="J632" i="2"/>
  <c r="N632" i="2"/>
  <c r="R632" i="2"/>
  <c r="V632" i="2"/>
  <c r="Z632" i="2"/>
  <c r="F636" i="2"/>
  <c r="J636" i="2"/>
  <c r="N636" i="2"/>
  <c r="R636" i="2"/>
  <c r="V636" i="2"/>
  <c r="Z636" i="2"/>
  <c r="F640" i="2"/>
  <c r="J640" i="2"/>
  <c r="N640" i="2"/>
  <c r="R640" i="2"/>
  <c r="V640" i="2"/>
  <c r="Z640" i="2"/>
  <c r="F644" i="2"/>
  <c r="J644" i="2"/>
  <c r="N644" i="2"/>
  <c r="R644" i="2"/>
  <c r="V644" i="2"/>
  <c r="Z644" i="2"/>
  <c r="F648" i="2"/>
  <c r="J648" i="2"/>
  <c r="N648" i="2"/>
  <c r="S648" i="2"/>
  <c r="I650" i="2"/>
  <c r="Q650" i="2"/>
  <c r="I674" i="2"/>
  <c r="K676" i="2"/>
  <c r="H684" i="2"/>
  <c r="K690" i="2"/>
  <c r="AA696" i="2"/>
  <c r="W696" i="2"/>
  <c r="S696" i="2"/>
  <c r="O696" i="2"/>
  <c r="K696" i="2"/>
  <c r="G696" i="2"/>
  <c r="Z696" i="2"/>
  <c r="U696" i="2"/>
  <c r="P696" i="2"/>
  <c r="J696" i="2"/>
  <c r="E696" i="2"/>
  <c r="V696" i="2"/>
  <c r="N696" i="2"/>
  <c r="H696" i="2"/>
  <c r="Y696" i="2"/>
  <c r="R696" i="2"/>
  <c r="L696" i="2"/>
  <c r="D696" i="2"/>
  <c r="Q696" i="2"/>
  <c r="Y700" i="2"/>
  <c r="U700" i="2"/>
  <c r="Q700" i="2"/>
  <c r="M700" i="2"/>
  <c r="I700" i="2"/>
  <c r="E700" i="2"/>
  <c r="Z700" i="2"/>
  <c r="T700" i="2"/>
  <c r="O700" i="2"/>
  <c r="J700" i="2"/>
  <c r="D700" i="2"/>
  <c r="X700" i="2"/>
  <c r="R700" i="2"/>
  <c r="K700" i="2"/>
  <c r="AB700" i="2"/>
  <c r="V700" i="2"/>
  <c r="N700" i="2"/>
  <c r="G700" i="2"/>
  <c r="P700" i="2"/>
  <c r="AB940" i="2"/>
  <c r="X940" i="2"/>
  <c r="T940" i="2"/>
  <c r="P940" i="2"/>
  <c r="L940" i="2"/>
  <c r="H940" i="2"/>
  <c r="D940" i="2"/>
  <c r="Z940" i="2"/>
  <c r="U940" i="2"/>
  <c r="O940" i="2"/>
  <c r="J940" i="2"/>
  <c r="E940" i="2"/>
  <c r="Y940" i="2"/>
  <c r="S940" i="2"/>
  <c r="N940" i="2"/>
  <c r="I940" i="2"/>
  <c r="R940" i="2"/>
  <c r="G940" i="2"/>
  <c r="AA940" i="2"/>
  <c r="Q940" i="2"/>
  <c r="F940" i="2"/>
  <c r="V940" i="2"/>
  <c r="M940" i="2"/>
  <c r="K940" i="2"/>
  <c r="G592" i="2"/>
  <c r="K592" i="2"/>
  <c r="O592" i="2"/>
  <c r="S592" i="2"/>
  <c r="W592" i="2"/>
  <c r="AA592" i="2"/>
  <c r="G596" i="2"/>
  <c r="K596" i="2"/>
  <c r="O596" i="2"/>
  <c r="S596" i="2"/>
  <c r="W596" i="2"/>
  <c r="AA596" i="2"/>
  <c r="G604" i="2"/>
  <c r="K604" i="2"/>
  <c r="O604" i="2"/>
  <c r="S604" i="2"/>
  <c r="W604" i="2"/>
  <c r="AA604" i="2"/>
  <c r="G608" i="2"/>
  <c r="K608" i="2"/>
  <c r="O608" i="2"/>
  <c r="S608" i="2"/>
  <c r="W608" i="2"/>
  <c r="AA608" i="2"/>
  <c r="G612" i="2"/>
  <c r="K612" i="2"/>
  <c r="O612" i="2"/>
  <c r="S612" i="2"/>
  <c r="W612" i="2"/>
  <c r="AA612" i="2"/>
  <c r="G616" i="2"/>
  <c r="K616" i="2"/>
  <c r="O616" i="2"/>
  <c r="S616" i="2"/>
  <c r="W616" i="2"/>
  <c r="AA616" i="2"/>
  <c r="G620" i="2"/>
  <c r="K620" i="2"/>
  <c r="O620" i="2"/>
  <c r="S620" i="2"/>
  <c r="W620" i="2"/>
  <c r="AA620" i="2"/>
  <c r="G624" i="2"/>
  <c r="K624" i="2"/>
  <c r="O624" i="2"/>
  <c r="S624" i="2"/>
  <c r="W624" i="2"/>
  <c r="AA624" i="2"/>
  <c r="G628" i="2"/>
  <c r="K628" i="2"/>
  <c r="O628" i="2"/>
  <c r="S628" i="2"/>
  <c r="W628" i="2"/>
  <c r="AA628" i="2"/>
  <c r="G632" i="2"/>
  <c r="K632" i="2"/>
  <c r="O632" i="2"/>
  <c r="S632" i="2"/>
  <c r="W632" i="2"/>
  <c r="AA632" i="2"/>
  <c r="G636" i="2"/>
  <c r="K636" i="2"/>
  <c r="O636" i="2"/>
  <c r="S636" i="2"/>
  <c r="W636" i="2"/>
  <c r="AA636" i="2"/>
  <c r="G640" i="2"/>
  <c r="K640" i="2"/>
  <c r="O640" i="2"/>
  <c r="S640" i="2"/>
  <c r="W640" i="2"/>
  <c r="AA640" i="2"/>
  <c r="G644" i="2"/>
  <c r="K644" i="2"/>
  <c r="O644" i="2"/>
  <c r="S644" i="2"/>
  <c r="W644" i="2"/>
  <c r="AA644" i="2"/>
  <c r="Z648" i="2"/>
  <c r="V648" i="2"/>
  <c r="R648" i="2"/>
  <c r="AB648" i="2"/>
  <c r="X648" i="2"/>
  <c r="T648" i="2"/>
  <c r="G648" i="2"/>
  <c r="K648" i="2"/>
  <c r="O648" i="2"/>
  <c r="U648" i="2"/>
  <c r="Y650" i="2"/>
  <c r="X650" i="2"/>
  <c r="T650" i="2"/>
  <c r="P650" i="2"/>
  <c r="L650" i="2"/>
  <c r="H650" i="2"/>
  <c r="D650" i="2"/>
  <c r="AA650" i="2"/>
  <c r="V650" i="2"/>
  <c r="R650" i="2"/>
  <c r="N650" i="2"/>
  <c r="J650" i="2"/>
  <c r="F650" i="2"/>
  <c r="K650" i="2"/>
  <c r="S650" i="2"/>
  <c r="AB650" i="2"/>
  <c r="Y676" i="2"/>
  <c r="U676" i="2"/>
  <c r="Q676" i="2"/>
  <c r="M676" i="2"/>
  <c r="I676" i="2"/>
  <c r="E676" i="2"/>
  <c r="AB676" i="2"/>
  <c r="W676" i="2"/>
  <c r="R676" i="2"/>
  <c r="L676" i="2"/>
  <c r="G676" i="2"/>
  <c r="Z676" i="2"/>
  <c r="T676" i="2"/>
  <c r="O676" i="2"/>
  <c r="J676" i="2"/>
  <c r="D676" i="2"/>
  <c r="N676" i="2"/>
  <c r="X676" i="2"/>
  <c r="Z690" i="2"/>
  <c r="V690" i="2"/>
  <c r="R690" i="2"/>
  <c r="N690" i="2"/>
  <c r="J690" i="2"/>
  <c r="F690" i="2"/>
  <c r="Y690" i="2"/>
  <c r="T690" i="2"/>
  <c r="O690" i="2"/>
  <c r="I690" i="2"/>
  <c r="D690" i="2"/>
  <c r="AB690" i="2"/>
  <c r="W690" i="2"/>
  <c r="Q690" i="2"/>
  <c r="L690" i="2"/>
  <c r="G690" i="2"/>
  <c r="M690" i="2"/>
  <c r="X690" i="2"/>
  <c r="AB698" i="2"/>
  <c r="X698" i="2"/>
  <c r="T698" i="2"/>
  <c r="P698" i="2"/>
  <c r="L698" i="2"/>
  <c r="H698" i="2"/>
  <c r="D698" i="2"/>
  <c r="Z698" i="2"/>
  <c r="U698" i="2"/>
  <c r="O698" i="2"/>
  <c r="J698" i="2"/>
  <c r="E698" i="2"/>
  <c r="W698" i="2"/>
  <c r="Q698" i="2"/>
  <c r="I698" i="2"/>
  <c r="AA698" i="2"/>
  <c r="S698" i="2"/>
  <c r="M698" i="2"/>
  <c r="F698" i="2"/>
  <c r="R698" i="2"/>
  <c r="Y708" i="2"/>
  <c r="U708" i="2"/>
  <c r="Q708" i="2"/>
  <c r="M708" i="2"/>
  <c r="I708" i="2"/>
  <c r="E708" i="2"/>
  <c r="AB708" i="2"/>
  <c r="W708" i="2"/>
  <c r="R708" i="2"/>
  <c r="L708" i="2"/>
  <c r="G708" i="2"/>
  <c r="V708" i="2"/>
  <c r="O708" i="2"/>
  <c r="H708" i="2"/>
  <c r="AA708" i="2"/>
  <c r="T708" i="2"/>
  <c r="N708" i="2"/>
  <c r="F708" i="2"/>
  <c r="Z708" i="2"/>
  <c r="S708" i="2"/>
  <c r="K708" i="2"/>
  <c r="D708" i="2"/>
  <c r="Y812" i="2"/>
  <c r="U812" i="2"/>
  <c r="Q812" i="2"/>
  <c r="M812" i="2"/>
  <c r="I812" i="2"/>
  <c r="E812" i="2"/>
  <c r="AB812" i="2"/>
  <c r="X812" i="2"/>
  <c r="T812" i="2"/>
  <c r="P812" i="2"/>
  <c r="L812" i="2"/>
  <c r="H812" i="2"/>
  <c r="D812" i="2"/>
  <c r="Z812" i="2"/>
  <c r="R812" i="2"/>
  <c r="J812" i="2"/>
  <c r="W812" i="2"/>
  <c r="O812" i="2"/>
  <c r="G812" i="2"/>
  <c r="N812" i="2"/>
  <c r="AA812" i="2"/>
  <c r="K812" i="2"/>
  <c r="V812" i="2"/>
  <c r="F812" i="2"/>
  <c r="Y880" i="2"/>
  <c r="U880" i="2"/>
  <c r="Q880" i="2"/>
  <c r="M880" i="2"/>
  <c r="I880" i="2"/>
  <c r="E880" i="2"/>
  <c r="X880" i="2"/>
  <c r="S880" i="2"/>
  <c r="N880" i="2"/>
  <c r="H880" i="2"/>
  <c r="AB880" i="2"/>
  <c r="W880" i="2"/>
  <c r="R880" i="2"/>
  <c r="L880" i="2"/>
  <c r="G880" i="2"/>
  <c r="AA880" i="2"/>
  <c r="P880" i="2"/>
  <c r="F880" i="2"/>
  <c r="Z880" i="2"/>
  <c r="O880" i="2"/>
  <c r="D880" i="2"/>
  <c r="T880" i="2"/>
  <c r="K880" i="2"/>
  <c r="J880" i="2"/>
  <c r="D592" i="2"/>
  <c r="H592" i="2"/>
  <c r="L592" i="2"/>
  <c r="P592" i="2"/>
  <c r="T592" i="2"/>
  <c r="X592" i="2"/>
  <c r="D596" i="2"/>
  <c r="H596" i="2"/>
  <c r="L596" i="2"/>
  <c r="P596" i="2"/>
  <c r="T596" i="2"/>
  <c r="X596" i="2"/>
  <c r="D604" i="2"/>
  <c r="H604" i="2"/>
  <c r="L604" i="2"/>
  <c r="P604" i="2"/>
  <c r="T604" i="2"/>
  <c r="X604" i="2"/>
  <c r="D608" i="2"/>
  <c r="H608" i="2"/>
  <c r="L608" i="2"/>
  <c r="P608" i="2"/>
  <c r="T608" i="2"/>
  <c r="X608" i="2"/>
  <c r="D612" i="2"/>
  <c r="H612" i="2"/>
  <c r="L612" i="2"/>
  <c r="P612" i="2"/>
  <c r="T612" i="2"/>
  <c r="X612" i="2"/>
  <c r="D616" i="2"/>
  <c r="H616" i="2"/>
  <c r="L616" i="2"/>
  <c r="P616" i="2"/>
  <c r="T616" i="2"/>
  <c r="X616" i="2"/>
  <c r="D620" i="2"/>
  <c r="H620" i="2"/>
  <c r="L620" i="2"/>
  <c r="P620" i="2"/>
  <c r="T620" i="2"/>
  <c r="X620" i="2"/>
  <c r="D624" i="2"/>
  <c r="H624" i="2"/>
  <c r="L624" i="2"/>
  <c r="P624" i="2"/>
  <c r="T624" i="2"/>
  <c r="X624" i="2"/>
  <c r="D628" i="2"/>
  <c r="H628" i="2"/>
  <c r="L628" i="2"/>
  <c r="P628" i="2"/>
  <c r="T628" i="2"/>
  <c r="X628" i="2"/>
  <c r="D632" i="2"/>
  <c r="H632" i="2"/>
  <c r="L632" i="2"/>
  <c r="P632" i="2"/>
  <c r="T632" i="2"/>
  <c r="X632" i="2"/>
  <c r="D636" i="2"/>
  <c r="H636" i="2"/>
  <c r="L636" i="2"/>
  <c r="P636" i="2"/>
  <c r="T636" i="2"/>
  <c r="X636" i="2"/>
  <c r="D640" i="2"/>
  <c r="H640" i="2"/>
  <c r="L640" i="2"/>
  <c r="P640" i="2"/>
  <c r="T640" i="2"/>
  <c r="X640" i="2"/>
  <c r="D644" i="2"/>
  <c r="H644" i="2"/>
  <c r="L644" i="2"/>
  <c r="P644" i="2"/>
  <c r="T644" i="2"/>
  <c r="X644" i="2"/>
  <c r="D648" i="2"/>
  <c r="H648" i="2"/>
  <c r="L648" i="2"/>
  <c r="P648" i="2"/>
  <c r="W648" i="2"/>
  <c r="E650" i="2"/>
  <c r="M650" i="2"/>
  <c r="U650" i="2"/>
  <c r="AB674" i="2"/>
  <c r="X674" i="2"/>
  <c r="T674" i="2"/>
  <c r="P674" i="2"/>
  <c r="L674" i="2"/>
  <c r="H674" i="2"/>
  <c r="D674" i="2"/>
  <c r="W674" i="2"/>
  <c r="R674" i="2"/>
  <c r="M674" i="2"/>
  <c r="G674" i="2"/>
  <c r="Z674" i="2"/>
  <c r="U674" i="2"/>
  <c r="O674" i="2"/>
  <c r="J674" i="2"/>
  <c r="E674" i="2"/>
  <c r="N674" i="2"/>
  <c r="Y674" i="2"/>
  <c r="F676" i="2"/>
  <c r="P676" i="2"/>
  <c r="AA676" i="2"/>
  <c r="Y684" i="2"/>
  <c r="U684" i="2"/>
  <c r="Q684" i="2"/>
  <c r="M684" i="2"/>
  <c r="I684" i="2"/>
  <c r="E684" i="2"/>
  <c r="Z684" i="2"/>
  <c r="T684" i="2"/>
  <c r="O684" i="2"/>
  <c r="J684" i="2"/>
  <c r="D684" i="2"/>
  <c r="AB684" i="2"/>
  <c r="W684" i="2"/>
  <c r="R684" i="2"/>
  <c r="L684" i="2"/>
  <c r="G684" i="2"/>
  <c r="N684" i="2"/>
  <c r="X684" i="2"/>
  <c r="E690" i="2"/>
  <c r="P690" i="2"/>
  <c r="AA690" i="2"/>
  <c r="G698" i="2"/>
  <c r="V698" i="2"/>
  <c r="AB706" i="2"/>
  <c r="X706" i="2"/>
  <c r="T706" i="2"/>
  <c r="P706" i="2"/>
  <c r="L706" i="2"/>
  <c r="H706" i="2"/>
  <c r="D706" i="2"/>
  <c r="W706" i="2"/>
  <c r="R706" i="2"/>
  <c r="M706" i="2"/>
  <c r="G706" i="2"/>
  <c r="V706" i="2"/>
  <c r="O706" i="2"/>
  <c r="I706" i="2"/>
  <c r="AA706" i="2"/>
  <c r="U706" i="2"/>
  <c r="Z706" i="2"/>
  <c r="S706" i="2"/>
  <c r="K706" i="2"/>
  <c r="E706" i="2"/>
  <c r="Q706" i="2"/>
  <c r="J708" i="2"/>
  <c r="Z710" i="2"/>
  <c r="V710" i="2"/>
  <c r="R710" i="2"/>
  <c r="N710" i="2"/>
  <c r="J710" i="2"/>
  <c r="F710" i="2"/>
  <c r="AA710" i="2"/>
  <c r="U710" i="2"/>
  <c r="P710" i="2"/>
  <c r="K710" i="2"/>
  <c r="E710" i="2"/>
  <c r="W710" i="2"/>
  <c r="O710" i="2"/>
  <c r="H710" i="2"/>
  <c r="AB710" i="2"/>
  <c r="T710" i="2"/>
  <c r="M710" i="2"/>
  <c r="G710" i="2"/>
  <c r="Y710" i="2"/>
  <c r="S710" i="2"/>
  <c r="L710" i="2"/>
  <c r="D710" i="2"/>
  <c r="Y800" i="2"/>
  <c r="U800" i="2"/>
  <c r="Q800" i="2"/>
  <c r="M800" i="2"/>
  <c r="I800" i="2"/>
  <c r="E800" i="2"/>
  <c r="AB800" i="2"/>
  <c r="X800" i="2"/>
  <c r="T800" i="2"/>
  <c r="P800" i="2"/>
  <c r="L800" i="2"/>
  <c r="H800" i="2"/>
  <c r="D800" i="2"/>
  <c r="W800" i="2"/>
  <c r="O800" i="2"/>
  <c r="G800" i="2"/>
  <c r="V800" i="2"/>
  <c r="N800" i="2"/>
  <c r="F800" i="2"/>
  <c r="R800" i="2"/>
  <c r="AA800" i="2"/>
  <c r="K800" i="2"/>
  <c r="Z800" i="2"/>
  <c r="J800" i="2"/>
  <c r="S812" i="2"/>
  <c r="V880" i="2"/>
  <c r="Y904" i="2"/>
  <c r="U904" i="2"/>
  <c r="Q904" i="2"/>
  <c r="M904" i="2"/>
  <c r="I904" i="2"/>
  <c r="E904" i="2"/>
  <c r="AA904" i="2"/>
  <c r="V904" i="2"/>
  <c r="P904" i="2"/>
  <c r="K904" i="2"/>
  <c r="F904" i="2"/>
  <c r="Z904" i="2"/>
  <c r="T904" i="2"/>
  <c r="O904" i="2"/>
  <c r="J904" i="2"/>
  <c r="D904" i="2"/>
  <c r="S904" i="2"/>
  <c r="H904" i="2"/>
  <c r="AB904" i="2"/>
  <c r="R904" i="2"/>
  <c r="G904" i="2"/>
  <c r="W904" i="2"/>
  <c r="K9" i="3"/>
  <c r="K10" i="3" s="1"/>
  <c r="K11" i="3" s="1"/>
  <c r="N904" i="2"/>
  <c r="L904" i="2"/>
  <c r="F654" i="2"/>
  <c r="K654" i="2"/>
  <c r="P654" i="2"/>
  <c r="V654" i="2"/>
  <c r="F658" i="2"/>
  <c r="K658" i="2"/>
  <c r="P658" i="2"/>
  <c r="V658" i="2"/>
  <c r="E672" i="2"/>
  <c r="J672" i="2"/>
  <c r="P672" i="2"/>
  <c r="U672" i="2"/>
  <c r="Z678" i="2"/>
  <c r="V678" i="2"/>
  <c r="R678" i="2"/>
  <c r="N678" i="2"/>
  <c r="J678" i="2"/>
  <c r="F678" i="2"/>
  <c r="H678" i="2"/>
  <c r="M678" i="2"/>
  <c r="S678" i="2"/>
  <c r="X678" i="2"/>
  <c r="AA680" i="2"/>
  <c r="W680" i="2"/>
  <c r="S680" i="2"/>
  <c r="O680" i="2"/>
  <c r="K680" i="2"/>
  <c r="G680" i="2"/>
  <c r="H680" i="2"/>
  <c r="M680" i="2"/>
  <c r="R680" i="2"/>
  <c r="X680" i="2"/>
  <c r="U686" i="2"/>
  <c r="F688" i="2"/>
  <c r="K688" i="2"/>
  <c r="Q688" i="2"/>
  <c r="V688" i="2"/>
  <c r="Z694" i="2"/>
  <c r="AA694" i="2"/>
  <c r="V694" i="2"/>
  <c r="R694" i="2"/>
  <c r="N694" i="2"/>
  <c r="J694" i="2"/>
  <c r="F694" i="2"/>
  <c r="H694" i="2"/>
  <c r="M694" i="2"/>
  <c r="S694" i="2"/>
  <c r="X694" i="2"/>
  <c r="N712" i="2"/>
  <c r="Y724" i="2"/>
  <c r="U724" i="2"/>
  <c r="Q724" i="2"/>
  <c r="M724" i="2"/>
  <c r="I724" i="2"/>
  <c r="E724" i="2"/>
  <c r="E865" i="2" s="1"/>
  <c r="AB724" i="2"/>
  <c r="W724" i="2"/>
  <c r="R724" i="2"/>
  <c r="L724" i="2"/>
  <c r="G724" i="2"/>
  <c r="AA724" i="2"/>
  <c r="AA865" i="2" s="1"/>
  <c r="V724" i="2"/>
  <c r="P724" i="2"/>
  <c r="P865" i="2" s="1"/>
  <c r="K724" i="2"/>
  <c r="F724" i="2"/>
  <c r="N724" i="2"/>
  <c r="X724" i="2"/>
  <c r="H728" i="2"/>
  <c r="Y732" i="2"/>
  <c r="U732" i="2"/>
  <c r="Q732" i="2"/>
  <c r="M732" i="2"/>
  <c r="I732" i="2"/>
  <c r="E732" i="2"/>
  <c r="AB732" i="2"/>
  <c r="W732" i="2"/>
  <c r="R732" i="2"/>
  <c r="L732" i="2"/>
  <c r="G732" i="2"/>
  <c r="AA732" i="2"/>
  <c r="V732" i="2"/>
  <c r="P732" i="2"/>
  <c r="K732" i="2"/>
  <c r="F732" i="2"/>
  <c r="N732" i="2"/>
  <c r="X732" i="2"/>
  <c r="H736" i="2"/>
  <c r="Y740" i="2"/>
  <c r="U740" i="2"/>
  <c r="Q740" i="2"/>
  <c r="M740" i="2"/>
  <c r="I740" i="2"/>
  <c r="E740" i="2"/>
  <c r="AB740" i="2"/>
  <c r="W740" i="2"/>
  <c r="R740" i="2"/>
  <c r="L740" i="2"/>
  <c r="G740" i="2"/>
  <c r="AA740" i="2"/>
  <c r="V740" i="2"/>
  <c r="P740" i="2"/>
  <c r="K740" i="2"/>
  <c r="F740" i="2"/>
  <c r="N740" i="2"/>
  <c r="X740" i="2"/>
  <c r="H744" i="2"/>
  <c r="Y748" i="2"/>
  <c r="U748" i="2"/>
  <c r="Q748" i="2"/>
  <c r="M748" i="2"/>
  <c r="I748" i="2"/>
  <c r="E748" i="2"/>
  <c r="AB748" i="2"/>
  <c r="W748" i="2"/>
  <c r="R748" i="2"/>
  <c r="L748" i="2"/>
  <c r="G748" i="2"/>
  <c r="AA748" i="2"/>
  <c r="V748" i="2"/>
  <c r="P748" i="2"/>
  <c r="K748" i="2"/>
  <c r="F748" i="2"/>
  <c r="N748" i="2"/>
  <c r="X748" i="2"/>
  <c r="H752" i="2"/>
  <c r="Y756" i="2"/>
  <c r="U756" i="2"/>
  <c r="Q756" i="2"/>
  <c r="M756" i="2"/>
  <c r="I756" i="2"/>
  <c r="E756" i="2"/>
  <c r="AB756" i="2"/>
  <c r="W756" i="2"/>
  <c r="R756" i="2"/>
  <c r="L756" i="2"/>
  <c r="G756" i="2"/>
  <c r="AA756" i="2"/>
  <c r="V756" i="2"/>
  <c r="P756" i="2"/>
  <c r="K756" i="2"/>
  <c r="F756" i="2"/>
  <c r="N756" i="2"/>
  <c r="X756" i="2"/>
  <c r="H760" i="2"/>
  <c r="Y764" i="2"/>
  <c r="U764" i="2"/>
  <c r="Q764" i="2"/>
  <c r="M764" i="2"/>
  <c r="I764" i="2"/>
  <c r="E764" i="2"/>
  <c r="AB764" i="2"/>
  <c r="W764" i="2"/>
  <c r="R764" i="2"/>
  <c r="L764" i="2"/>
  <c r="G764" i="2"/>
  <c r="AA764" i="2"/>
  <c r="V764" i="2"/>
  <c r="P764" i="2"/>
  <c r="K764" i="2"/>
  <c r="F764" i="2"/>
  <c r="N764" i="2"/>
  <c r="X764" i="2"/>
  <c r="H768" i="2"/>
  <c r="Y772" i="2"/>
  <c r="U772" i="2"/>
  <c r="Q772" i="2"/>
  <c r="M772" i="2"/>
  <c r="I772" i="2"/>
  <c r="E772" i="2"/>
  <c r="AB772" i="2"/>
  <c r="W772" i="2"/>
  <c r="R772" i="2"/>
  <c r="L772" i="2"/>
  <c r="G772" i="2"/>
  <c r="AA772" i="2"/>
  <c r="V772" i="2"/>
  <c r="P772" i="2"/>
  <c r="K772" i="2"/>
  <c r="F772" i="2"/>
  <c r="N772" i="2"/>
  <c r="X772" i="2"/>
  <c r="Y784" i="2"/>
  <c r="U784" i="2"/>
  <c r="Q784" i="2"/>
  <c r="M784" i="2"/>
  <c r="I784" i="2"/>
  <c r="E784" i="2"/>
  <c r="AB784" i="2"/>
  <c r="X784" i="2"/>
  <c r="T784" i="2"/>
  <c r="P784" i="2"/>
  <c r="L784" i="2"/>
  <c r="H784" i="2"/>
  <c r="D784" i="2"/>
  <c r="W784" i="2"/>
  <c r="O784" i="2"/>
  <c r="G784" i="2"/>
  <c r="V784" i="2"/>
  <c r="N784" i="2"/>
  <c r="F784" i="2"/>
  <c r="S784" i="2"/>
  <c r="Y796" i="2"/>
  <c r="U796" i="2"/>
  <c r="Q796" i="2"/>
  <c r="M796" i="2"/>
  <c r="I796" i="2"/>
  <c r="E796" i="2"/>
  <c r="AB796" i="2"/>
  <c r="X796" i="2"/>
  <c r="T796" i="2"/>
  <c r="P796" i="2"/>
  <c r="L796" i="2"/>
  <c r="H796" i="2"/>
  <c r="D796" i="2"/>
  <c r="Z796" i="2"/>
  <c r="R796" i="2"/>
  <c r="J796" i="2"/>
  <c r="W796" i="2"/>
  <c r="O796" i="2"/>
  <c r="G796" i="2"/>
  <c r="S796" i="2"/>
  <c r="K816" i="2"/>
  <c r="K828" i="2"/>
  <c r="Z894" i="2"/>
  <c r="V894" i="2"/>
  <c r="R894" i="2"/>
  <c r="N894" i="2"/>
  <c r="J894" i="2"/>
  <c r="F894" i="2"/>
  <c r="AA894" i="2"/>
  <c r="U894" i="2"/>
  <c r="P894" i="2"/>
  <c r="K894" i="2"/>
  <c r="E894" i="2"/>
  <c r="Y894" i="2"/>
  <c r="T894" i="2"/>
  <c r="O894" i="2"/>
  <c r="I894" i="2"/>
  <c r="D894" i="2"/>
  <c r="S894" i="2"/>
  <c r="H894" i="2"/>
  <c r="AB894" i="2"/>
  <c r="Q894" i="2"/>
  <c r="G894" i="2"/>
  <c r="X894" i="2"/>
  <c r="Y912" i="2"/>
  <c r="U912" i="2"/>
  <c r="Q912" i="2"/>
  <c r="M912" i="2"/>
  <c r="I912" i="2"/>
  <c r="E912" i="2"/>
  <c r="X912" i="2"/>
  <c r="S912" i="2"/>
  <c r="N912" i="2"/>
  <c r="H912" i="2"/>
  <c r="AB912" i="2"/>
  <c r="W912" i="2"/>
  <c r="R912" i="2"/>
  <c r="L912" i="2"/>
  <c r="G912" i="2"/>
  <c r="AA912" i="2"/>
  <c r="P912" i="2"/>
  <c r="F912" i="2"/>
  <c r="Z912" i="2"/>
  <c r="O912" i="2"/>
  <c r="D912" i="2"/>
  <c r="V912" i="2"/>
  <c r="Z936" i="2"/>
  <c r="V936" i="2"/>
  <c r="R936" i="2"/>
  <c r="N936" i="2"/>
  <c r="J936" i="2"/>
  <c r="F936" i="2"/>
  <c r="AA936" i="2"/>
  <c r="U936" i="2"/>
  <c r="P936" i="2"/>
  <c r="K936" i="2"/>
  <c r="E936" i="2"/>
  <c r="Y936" i="2"/>
  <c r="T936" i="2"/>
  <c r="O936" i="2"/>
  <c r="I936" i="2"/>
  <c r="D936" i="2"/>
  <c r="S936" i="2"/>
  <c r="H936" i="2"/>
  <c r="AB936" i="2"/>
  <c r="Q936" i="2"/>
  <c r="G936" i="2"/>
  <c r="X936" i="2"/>
  <c r="AB1052" i="2"/>
  <c r="X1052" i="2"/>
  <c r="T1052" i="2"/>
  <c r="P1052" i="2"/>
  <c r="L1052" i="2"/>
  <c r="H1052" i="2"/>
  <c r="D1052" i="2"/>
  <c r="W1052" i="2"/>
  <c r="R1052" i="2"/>
  <c r="M1052" i="2"/>
  <c r="G1052" i="2"/>
  <c r="AA1052" i="2"/>
  <c r="V1052" i="2"/>
  <c r="Q1052" i="2"/>
  <c r="K1052" i="2"/>
  <c r="F1052" i="2"/>
  <c r="Z1052" i="2"/>
  <c r="U1052" i="2"/>
  <c r="O1052" i="2"/>
  <c r="J1052" i="2"/>
  <c r="E1052" i="2"/>
  <c r="N1052" i="2"/>
  <c r="I1052" i="2"/>
  <c r="Y1052" i="2"/>
  <c r="S1052" i="2"/>
  <c r="Y780" i="2"/>
  <c r="U780" i="2"/>
  <c r="Q780" i="2"/>
  <c r="M780" i="2"/>
  <c r="I780" i="2"/>
  <c r="E780" i="2"/>
  <c r="AB780" i="2"/>
  <c r="X780" i="2"/>
  <c r="T780" i="2"/>
  <c r="P780" i="2"/>
  <c r="L780" i="2"/>
  <c r="H780" i="2"/>
  <c r="D780" i="2"/>
  <c r="Z780" i="2"/>
  <c r="R780" i="2"/>
  <c r="J780" i="2"/>
  <c r="W780" i="2"/>
  <c r="O780" i="2"/>
  <c r="G780" i="2"/>
  <c r="S780" i="2"/>
  <c r="Z882" i="2"/>
  <c r="V882" i="2"/>
  <c r="R882" i="2"/>
  <c r="N882" i="2"/>
  <c r="J882" i="2"/>
  <c r="F882" i="2"/>
  <c r="AB882" i="2"/>
  <c r="W882" i="2"/>
  <c r="Q882" i="2"/>
  <c r="L882" i="2"/>
  <c r="G882" i="2"/>
  <c r="AA882" i="2"/>
  <c r="U882" i="2"/>
  <c r="P882" i="2"/>
  <c r="K882" i="2"/>
  <c r="E882" i="2"/>
  <c r="S882" i="2"/>
  <c r="H882" i="2"/>
  <c r="Y882" i="2"/>
  <c r="O882" i="2"/>
  <c r="D882" i="2"/>
  <c r="X882" i="2"/>
  <c r="J998" i="2"/>
  <c r="E998" i="2"/>
  <c r="I998" i="2"/>
  <c r="G9" i="3"/>
  <c r="G10" i="3" s="1"/>
  <c r="G11" i="3" s="1"/>
  <c r="G998" i="2"/>
  <c r="G1001" i="2" s="1"/>
  <c r="L998" i="2"/>
  <c r="F998" i="2"/>
  <c r="Y654" i="2"/>
  <c r="U654" i="2"/>
  <c r="Q654" i="2"/>
  <c r="M654" i="2"/>
  <c r="I654" i="2"/>
  <c r="E654" i="2"/>
  <c r="H654" i="2"/>
  <c r="N654" i="2"/>
  <c r="S654" i="2"/>
  <c r="X654" i="2"/>
  <c r="Y658" i="2"/>
  <c r="U658" i="2"/>
  <c r="Q658" i="2"/>
  <c r="M658" i="2"/>
  <c r="I658" i="2"/>
  <c r="E658" i="2"/>
  <c r="H658" i="2"/>
  <c r="N658" i="2"/>
  <c r="S658" i="2"/>
  <c r="X658" i="2"/>
  <c r="AA672" i="2"/>
  <c r="W672" i="2"/>
  <c r="S672" i="2"/>
  <c r="O672" i="2"/>
  <c r="K672" i="2"/>
  <c r="G672" i="2"/>
  <c r="H672" i="2"/>
  <c r="M672" i="2"/>
  <c r="R672" i="2"/>
  <c r="X672" i="2"/>
  <c r="U678" i="2"/>
  <c r="AA678" i="2"/>
  <c r="J680" i="2"/>
  <c r="P680" i="2"/>
  <c r="U680" i="2"/>
  <c r="Z680" i="2"/>
  <c r="Z686" i="2"/>
  <c r="V686" i="2"/>
  <c r="R686" i="2"/>
  <c r="N686" i="2"/>
  <c r="J686" i="2"/>
  <c r="F686" i="2"/>
  <c r="H686" i="2"/>
  <c r="M686" i="2"/>
  <c r="S686" i="2"/>
  <c r="X686" i="2"/>
  <c r="AB688" i="2"/>
  <c r="X688" i="2"/>
  <c r="T688" i="2"/>
  <c r="P688" i="2"/>
  <c r="L688" i="2"/>
  <c r="H688" i="2"/>
  <c r="D688" i="2"/>
  <c r="I688" i="2"/>
  <c r="N688" i="2"/>
  <c r="S688" i="2"/>
  <c r="Y688" i="2"/>
  <c r="K694" i="2"/>
  <c r="P694" i="2"/>
  <c r="U694" i="2"/>
  <c r="AB694" i="2"/>
  <c r="AB712" i="2"/>
  <c r="X712" i="2"/>
  <c r="T712" i="2"/>
  <c r="P712" i="2"/>
  <c r="L712" i="2"/>
  <c r="H712" i="2"/>
  <c r="D712" i="2"/>
  <c r="AA712" i="2"/>
  <c r="V712" i="2"/>
  <c r="Q712" i="2"/>
  <c r="K712" i="2"/>
  <c r="F712" i="2"/>
  <c r="J712" i="2"/>
  <c r="R712" i="2"/>
  <c r="Y712" i="2"/>
  <c r="Y728" i="2"/>
  <c r="U728" i="2"/>
  <c r="Q728" i="2"/>
  <c r="M728" i="2"/>
  <c r="I728" i="2"/>
  <c r="E728" i="2"/>
  <c r="AB728" i="2"/>
  <c r="W728" i="2"/>
  <c r="R728" i="2"/>
  <c r="L728" i="2"/>
  <c r="G728" i="2"/>
  <c r="AA728" i="2"/>
  <c r="V728" i="2"/>
  <c r="P728" i="2"/>
  <c r="K728" i="2"/>
  <c r="F728" i="2"/>
  <c r="N728" i="2"/>
  <c r="X728" i="2"/>
  <c r="Y736" i="2"/>
  <c r="U736" i="2"/>
  <c r="Q736" i="2"/>
  <c r="M736" i="2"/>
  <c r="I736" i="2"/>
  <c r="E736" i="2"/>
  <c r="AB736" i="2"/>
  <c r="W736" i="2"/>
  <c r="R736" i="2"/>
  <c r="L736" i="2"/>
  <c r="G736" i="2"/>
  <c r="AA736" i="2"/>
  <c r="V736" i="2"/>
  <c r="P736" i="2"/>
  <c r="K736" i="2"/>
  <c r="F736" i="2"/>
  <c r="N736" i="2"/>
  <c r="X736" i="2"/>
  <c r="Y744" i="2"/>
  <c r="U744" i="2"/>
  <c r="Q744" i="2"/>
  <c r="M744" i="2"/>
  <c r="I744" i="2"/>
  <c r="E744" i="2"/>
  <c r="AB744" i="2"/>
  <c r="W744" i="2"/>
  <c r="R744" i="2"/>
  <c r="L744" i="2"/>
  <c r="G744" i="2"/>
  <c r="AA744" i="2"/>
  <c r="V744" i="2"/>
  <c r="P744" i="2"/>
  <c r="K744" i="2"/>
  <c r="F744" i="2"/>
  <c r="N744" i="2"/>
  <c r="X744" i="2"/>
  <c r="Y752" i="2"/>
  <c r="U752" i="2"/>
  <c r="Q752" i="2"/>
  <c r="M752" i="2"/>
  <c r="I752" i="2"/>
  <c r="E752" i="2"/>
  <c r="AB752" i="2"/>
  <c r="W752" i="2"/>
  <c r="R752" i="2"/>
  <c r="L752" i="2"/>
  <c r="G752" i="2"/>
  <c r="AA752" i="2"/>
  <c r="V752" i="2"/>
  <c r="P752" i="2"/>
  <c r="K752" i="2"/>
  <c r="F752" i="2"/>
  <c r="N752" i="2"/>
  <c r="X752" i="2"/>
  <c r="Y760" i="2"/>
  <c r="U760" i="2"/>
  <c r="Q760" i="2"/>
  <c r="M760" i="2"/>
  <c r="I760" i="2"/>
  <c r="E760" i="2"/>
  <c r="AB760" i="2"/>
  <c r="W760" i="2"/>
  <c r="R760" i="2"/>
  <c r="L760" i="2"/>
  <c r="G760" i="2"/>
  <c r="AA760" i="2"/>
  <c r="V760" i="2"/>
  <c r="P760" i="2"/>
  <c r="K760" i="2"/>
  <c r="F760" i="2"/>
  <c r="N760" i="2"/>
  <c r="X760" i="2"/>
  <c r="Y768" i="2"/>
  <c r="U768" i="2"/>
  <c r="Q768" i="2"/>
  <c r="M768" i="2"/>
  <c r="I768" i="2"/>
  <c r="E768" i="2"/>
  <c r="AB768" i="2"/>
  <c r="W768" i="2"/>
  <c r="R768" i="2"/>
  <c r="L768" i="2"/>
  <c r="G768" i="2"/>
  <c r="AA768" i="2"/>
  <c r="V768" i="2"/>
  <c r="P768" i="2"/>
  <c r="K768" i="2"/>
  <c r="F768" i="2"/>
  <c r="N768" i="2"/>
  <c r="X768" i="2"/>
  <c r="F780" i="2"/>
  <c r="V780" i="2"/>
  <c r="Y816" i="2"/>
  <c r="U816" i="2"/>
  <c r="Q816" i="2"/>
  <c r="M816" i="2"/>
  <c r="I816" i="2"/>
  <c r="E816" i="2"/>
  <c r="AB816" i="2"/>
  <c r="X816" i="2"/>
  <c r="T816" i="2"/>
  <c r="P816" i="2"/>
  <c r="L816" i="2"/>
  <c r="H816" i="2"/>
  <c r="D816" i="2"/>
  <c r="W816" i="2"/>
  <c r="O816" i="2"/>
  <c r="G816" i="2"/>
  <c r="V816" i="2"/>
  <c r="N816" i="2"/>
  <c r="F816" i="2"/>
  <c r="S816" i="2"/>
  <c r="Y828" i="2"/>
  <c r="U828" i="2"/>
  <c r="Q828" i="2"/>
  <c r="M828" i="2"/>
  <c r="I828" i="2"/>
  <c r="E828" i="2"/>
  <c r="AB828" i="2"/>
  <c r="X828" i="2"/>
  <c r="T828" i="2"/>
  <c r="P828" i="2"/>
  <c r="L828" i="2"/>
  <c r="H828" i="2"/>
  <c r="D828" i="2"/>
  <c r="Z828" i="2"/>
  <c r="R828" i="2"/>
  <c r="J828" i="2"/>
  <c r="W828" i="2"/>
  <c r="O828" i="2"/>
  <c r="G828" i="2"/>
  <c r="S828" i="2"/>
  <c r="B9" i="3"/>
  <c r="B10" i="3" s="1"/>
  <c r="B11" i="3" s="1"/>
  <c r="AB874" i="2"/>
  <c r="X874" i="2"/>
  <c r="T874" i="2"/>
  <c r="P874" i="2"/>
  <c r="L874" i="2"/>
  <c r="H874" i="2"/>
  <c r="D874" i="2"/>
  <c r="W874" i="2"/>
  <c r="R874" i="2"/>
  <c r="M874" i="2"/>
  <c r="G874" i="2"/>
  <c r="AA874" i="2"/>
  <c r="V874" i="2"/>
  <c r="Q874" i="2"/>
  <c r="K874" i="2"/>
  <c r="F874" i="2"/>
  <c r="U874" i="2"/>
  <c r="J874" i="2"/>
  <c r="S874" i="2"/>
  <c r="I874" i="2"/>
  <c r="Y874" i="2"/>
  <c r="I882" i="2"/>
  <c r="AB954" i="2"/>
  <c r="X954" i="2"/>
  <c r="T954" i="2"/>
  <c r="P954" i="2"/>
  <c r="L954" i="2"/>
  <c r="H954" i="2"/>
  <c r="D954" i="2"/>
  <c r="AA954" i="2"/>
  <c r="V954" i="2"/>
  <c r="Q954" i="2"/>
  <c r="K954" i="2"/>
  <c r="F954" i="2"/>
  <c r="Z954" i="2"/>
  <c r="U954" i="2"/>
  <c r="O954" i="2"/>
  <c r="J954" i="2"/>
  <c r="E954" i="2"/>
  <c r="S954" i="2"/>
  <c r="I954" i="2"/>
  <c r="R954" i="2"/>
  <c r="G954" i="2"/>
  <c r="Y954" i="2"/>
  <c r="N998" i="2"/>
  <c r="Z1164" i="2"/>
  <c r="V1164" i="2"/>
  <c r="R1164" i="2"/>
  <c r="N1164" i="2"/>
  <c r="J1164" i="2"/>
  <c r="F1164" i="2"/>
  <c r="Y1164" i="2"/>
  <c r="U1164" i="2"/>
  <c r="Q1164" i="2"/>
  <c r="M1164" i="2"/>
  <c r="I1164" i="2"/>
  <c r="E1164" i="2"/>
  <c r="W1164" i="2"/>
  <c r="O1164" i="2"/>
  <c r="G1164" i="2"/>
  <c r="AB1164" i="2"/>
  <c r="T1164" i="2"/>
  <c r="L1164" i="2"/>
  <c r="D1164" i="2"/>
  <c r="P1164" i="2"/>
  <c r="AA1164" i="2"/>
  <c r="K1164" i="2"/>
  <c r="X1164" i="2"/>
  <c r="H1164" i="2"/>
  <c r="S1164" i="2"/>
  <c r="G652" i="2"/>
  <c r="K652" i="2"/>
  <c r="O652" i="2"/>
  <c r="S652" i="2"/>
  <c r="W652" i="2"/>
  <c r="G656" i="2"/>
  <c r="K656" i="2"/>
  <c r="O656" i="2"/>
  <c r="S656" i="2"/>
  <c r="W656" i="2"/>
  <c r="Z702" i="2"/>
  <c r="V702" i="2"/>
  <c r="R702" i="2"/>
  <c r="N702" i="2"/>
  <c r="J702" i="2"/>
  <c r="F702" i="2"/>
  <c r="H702" i="2"/>
  <c r="M702" i="2"/>
  <c r="S702" i="2"/>
  <c r="X702" i="2"/>
  <c r="AA704" i="2"/>
  <c r="W704" i="2"/>
  <c r="S704" i="2"/>
  <c r="O704" i="2"/>
  <c r="K704" i="2"/>
  <c r="G704" i="2"/>
  <c r="H704" i="2"/>
  <c r="M704" i="2"/>
  <c r="R704" i="2"/>
  <c r="X704" i="2"/>
  <c r="J776" i="2"/>
  <c r="R776" i="2"/>
  <c r="Y788" i="2"/>
  <c r="U788" i="2"/>
  <c r="Q788" i="2"/>
  <c r="M788" i="2"/>
  <c r="I788" i="2"/>
  <c r="E788" i="2"/>
  <c r="AB788" i="2"/>
  <c r="X788" i="2"/>
  <c r="T788" i="2"/>
  <c r="P788" i="2"/>
  <c r="L788" i="2"/>
  <c r="H788" i="2"/>
  <c r="D788" i="2"/>
  <c r="K788" i="2"/>
  <c r="S788" i="2"/>
  <c r="AA788" i="2"/>
  <c r="J792" i="2"/>
  <c r="R792" i="2"/>
  <c r="Y804" i="2"/>
  <c r="U804" i="2"/>
  <c r="Q804" i="2"/>
  <c r="M804" i="2"/>
  <c r="I804" i="2"/>
  <c r="E804" i="2"/>
  <c r="AB804" i="2"/>
  <c r="X804" i="2"/>
  <c r="T804" i="2"/>
  <c r="P804" i="2"/>
  <c r="L804" i="2"/>
  <c r="H804" i="2"/>
  <c r="D804" i="2"/>
  <c r="K804" i="2"/>
  <c r="S804" i="2"/>
  <c r="AA804" i="2"/>
  <c r="J808" i="2"/>
  <c r="R808" i="2"/>
  <c r="Y820" i="2"/>
  <c r="U820" i="2"/>
  <c r="Q820" i="2"/>
  <c r="M820" i="2"/>
  <c r="I820" i="2"/>
  <c r="E820" i="2"/>
  <c r="AB820" i="2"/>
  <c r="X820" i="2"/>
  <c r="T820" i="2"/>
  <c r="P820" i="2"/>
  <c r="L820" i="2"/>
  <c r="H820" i="2"/>
  <c r="D820" i="2"/>
  <c r="K820" i="2"/>
  <c r="S820" i="2"/>
  <c r="AA820" i="2"/>
  <c r="J824" i="2"/>
  <c r="R824" i="2"/>
  <c r="J884" i="2"/>
  <c r="AB910" i="2"/>
  <c r="X910" i="2"/>
  <c r="T910" i="2"/>
  <c r="P910" i="2"/>
  <c r="L910" i="2"/>
  <c r="H910" i="2"/>
  <c r="D910" i="2"/>
  <c r="Y910" i="2"/>
  <c r="S910" i="2"/>
  <c r="N910" i="2"/>
  <c r="I910" i="2"/>
  <c r="W910" i="2"/>
  <c r="R910" i="2"/>
  <c r="M910" i="2"/>
  <c r="G910" i="2"/>
  <c r="K910" i="2"/>
  <c r="V910" i="2"/>
  <c r="R9" i="3"/>
  <c r="R10" i="3" s="1"/>
  <c r="R11" i="3" s="1"/>
  <c r="J932" i="2"/>
  <c r="Y934" i="2"/>
  <c r="U934" i="2"/>
  <c r="Q934" i="2"/>
  <c r="M934" i="2"/>
  <c r="I934" i="2"/>
  <c r="E934" i="2"/>
  <c r="AB934" i="2"/>
  <c r="W934" i="2"/>
  <c r="R934" i="2"/>
  <c r="L934" i="2"/>
  <c r="G934" i="2"/>
  <c r="AA934" i="2"/>
  <c r="V934" i="2"/>
  <c r="P934" i="2"/>
  <c r="K934" i="2"/>
  <c r="F934" i="2"/>
  <c r="N934" i="2"/>
  <c r="X934" i="2"/>
  <c r="L938" i="2"/>
  <c r="K942" i="2"/>
  <c r="L952" i="2"/>
  <c r="Z956" i="2"/>
  <c r="V956" i="2"/>
  <c r="R956" i="2"/>
  <c r="N956" i="2"/>
  <c r="J956" i="2"/>
  <c r="F956" i="2"/>
  <c r="AB956" i="2"/>
  <c r="W956" i="2"/>
  <c r="Q956" i="2"/>
  <c r="L956" i="2"/>
  <c r="G956" i="2"/>
  <c r="AA956" i="2"/>
  <c r="U956" i="2"/>
  <c r="P956" i="2"/>
  <c r="K956" i="2"/>
  <c r="E956" i="2"/>
  <c r="M956" i="2"/>
  <c r="X956" i="2"/>
  <c r="Z1050" i="2"/>
  <c r="V1050" i="2"/>
  <c r="R1050" i="2"/>
  <c r="N1050" i="2"/>
  <c r="J1050" i="2"/>
  <c r="F1050" i="2"/>
  <c r="AB1050" i="2"/>
  <c r="W1050" i="2"/>
  <c r="Q1050" i="2"/>
  <c r="L1050" i="2"/>
  <c r="G1050" i="2"/>
  <c r="AA1050" i="2"/>
  <c r="U1050" i="2"/>
  <c r="P1050" i="2"/>
  <c r="K1050" i="2"/>
  <c r="E1050" i="2"/>
  <c r="Y1050" i="2"/>
  <c r="T1050" i="2"/>
  <c r="O1050" i="2"/>
  <c r="I1050" i="2"/>
  <c r="D1050" i="2"/>
  <c r="S1050" i="2"/>
  <c r="M1050" i="2"/>
  <c r="Y1096" i="2"/>
  <c r="U1096" i="2"/>
  <c r="Q1096" i="2"/>
  <c r="M1096" i="2"/>
  <c r="I1096" i="2"/>
  <c r="E1096" i="2"/>
  <c r="AB1096" i="2"/>
  <c r="X1096" i="2"/>
  <c r="T1096" i="2"/>
  <c r="P1096" i="2"/>
  <c r="L1096" i="2"/>
  <c r="H1096" i="2"/>
  <c r="D1096" i="2"/>
  <c r="Z1096" i="2"/>
  <c r="R1096" i="2"/>
  <c r="J1096" i="2"/>
  <c r="W1096" i="2"/>
  <c r="O1096" i="2"/>
  <c r="G1096" i="2"/>
  <c r="V1096" i="2"/>
  <c r="N1096" i="2"/>
  <c r="F1096" i="2"/>
  <c r="AA1096" i="2"/>
  <c r="S1096" i="2"/>
  <c r="C1199" i="2"/>
  <c r="Z1198" i="2"/>
  <c r="Z1199" i="2" s="1"/>
  <c r="V1198" i="2"/>
  <c r="V1199" i="2" s="1"/>
  <c r="R1198" i="2"/>
  <c r="R1199" i="2" s="1"/>
  <c r="N1198" i="2"/>
  <c r="N1199" i="2" s="1"/>
  <c r="J1198" i="2"/>
  <c r="J1199" i="2" s="1"/>
  <c r="F1198" i="2"/>
  <c r="F1199" i="2" s="1"/>
  <c r="AB1198" i="2"/>
  <c r="AB1199" i="2" s="1"/>
  <c r="W1198" i="2"/>
  <c r="W1199" i="2" s="1"/>
  <c r="Q1198" i="2"/>
  <c r="Q1199" i="2" s="1"/>
  <c r="L1198" i="2"/>
  <c r="L1199" i="2" s="1"/>
  <c r="G1198" i="2"/>
  <c r="G1199" i="2" s="1"/>
  <c r="AA1198" i="2"/>
  <c r="AA1199" i="2" s="1"/>
  <c r="U1198" i="2"/>
  <c r="U1199" i="2" s="1"/>
  <c r="P1198" i="2"/>
  <c r="P1199" i="2" s="1"/>
  <c r="K1198" i="2"/>
  <c r="K1199" i="2" s="1"/>
  <c r="E1198" i="2"/>
  <c r="E1199" i="2" s="1"/>
  <c r="S1198" i="2"/>
  <c r="S1199" i="2" s="1"/>
  <c r="H1198" i="2"/>
  <c r="H1199" i="2" s="1"/>
  <c r="Y1198" i="2"/>
  <c r="Y1199" i="2" s="1"/>
  <c r="O1198" i="2"/>
  <c r="O1199" i="2" s="1"/>
  <c r="D1198" i="2"/>
  <c r="D1199" i="2" s="1"/>
  <c r="T1198" i="2"/>
  <c r="T1199" i="2" s="1"/>
  <c r="M1198" i="2"/>
  <c r="M1199" i="2" s="1"/>
  <c r="I1198" i="2"/>
  <c r="I1199" i="2" s="1"/>
  <c r="Y776" i="2"/>
  <c r="U776" i="2"/>
  <c r="Q776" i="2"/>
  <c r="M776" i="2"/>
  <c r="I776" i="2"/>
  <c r="E776" i="2"/>
  <c r="AB776" i="2"/>
  <c r="X776" i="2"/>
  <c r="T776" i="2"/>
  <c r="P776" i="2"/>
  <c r="L776" i="2"/>
  <c r="H776" i="2"/>
  <c r="D776" i="2"/>
  <c r="K776" i="2"/>
  <c r="S776" i="2"/>
  <c r="AA776" i="2"/>
  <c r="Y792" i="2"/>
  <c r="U792" i="2"/>
  <c r="Q792" i="2"/>
  <c r="M792" i="2"/>
  <c r="I792" i="2"/>
  <c r="E792" i="2"/>
  <c r="AB792" i="2"/>
  <c r="X792" i="2"/>
  <c r="T792" i="2"/>
  <c r="P792" i="2"/>
  <c r="L792" i="2"/>
  <c r="H792" i="2"/>
  <c r="D792" i="2"/>
  <c r="K792" i="2"/>
  <c r="S792" i="2"/>
  <c r="AA792" i="2"/>
  <c r="Y808" i="2"/>
  <c r="U808" i="2"/>
  <c r="Q808" i="2"/>
  <c r="M808" i="2"/>
  <c r="I808" i="2"/>
  <c r="E808" i="2"/>
  <c r="AB808" i="2"/>
  <c r="X808" i="2"/>
  <c r="T808" i="2"/>
  <c r="P808" i="2"/>
  <c r="L808" i="2"/>
  <c r="H808" i="2"/>
  <c r="D808" i="2"/>
  <c r="K808" i="2"/>
  <c r="S808" i="2"/>
  <c r="AA808" i="2"/>
  <c r="Y824" i="2"/>
  <c r="U824" i="2"/>
  <c r="Q824" i="2"/>
  <c r="M824" i="2"/>
  <c r="I824" i="2"/>
  <c r="E824" i="2"/>
  <c r="AB824" i="2"/>
  <c r="X824" i="2"/>
  <c r="T824" i="2"/>
  <c r="P824" i="2"/>
  <c r="L824" i="2"/>
  <c r="H824" i="2"/>
  <c r="D824" i="2"/>
  <c r="K824" i="2"/>
  <c r="S824" i="2"/>
  <c r="AA824" i="2"/>
  <c r="AB884" i="2"/>
  <c r="X884" i="2"/>
  <c r="T884" i="2"/>
  <c r="P884" i="2"/>
  <c r="L884" i="2"/>
  <c r="H884" i="2"/>
  <c r="D884" i="2"/>
  <c r="W884" i="2"/>
  <c r="R884" i="2"/>
  <c r="M884" i="2"/>
  <c r="G884" i="2"/>
  <c r="AA884" i="2"/>
  <c r="V884" i="2"/>
  <c r="Q884" i="2"/>
  <c r="K884" i="2"/>
  <c r="F884" i="2"/>
  <c r="N884" i="2"/>
  <c r="Y884" i="2"/>
  <c r="AB932" i="2"/>
  <c r="X932" i="2"/>
  <c r="T932" i="2"/>
  <c r="P932" i="2"/>
  <c r="L932" i="2"/>
  <c r="H932" i="2"/>
  <c r="D932" i="2"/>
  <c r="W932" i="2"/>
  <c r="R932" i="2"/>
  <c r="M932" i="2"/>
  <c r="G932" i="2"/>
  <c r="AA932" i="2"/>
  <c r="V932" i="2"/>
  <c r="Q932" i="2"/>
  <c r="K932" i="2"/>
  <c r="F932" i="2"/>
  <c r="N932" i="2"/>
  <c r="Y932" i="2"/>
  <c r="AA938" i="2"/>
  <c r="W938" i="2"/>
  <c r="S938" i="2"/>
  <c r="O938" i="2"/>
  <c r="K938" i="2"/>
  <c r="G938" i="2"/>
  <c r="Z938" i="2"/>
  <c r="U938" i="2"/>
  <c r="P938" i="2"/>
  <c r="J938" i="2"/>
  <c r="E938" i="2"/>
  <c r="Y938" i="2"/>
  <c r="T938" i="2"/>
  <c r="N938" i="2"/>
  <c r="I938" i="2"/>
  <c r="D938" i="2"/>
  <c r="M938" i="2"/>
  <c r="X938" i="2"/>
  <c r="Y942" i="2"/>
  <c r="U942" i="2"/>
  <c r="Q942" i="2"/>
  <c r="M942" i="2"/>
  <c r="I942" i="2"/>
  <c r="E942" i="2"/>
  <c r="Z942" i="2"/>
  <c r="T942" i="2"/>
  <c r="O942" i="2"/>
  <c r="J942" i="2"/>
  <c r="D942" i="2"/>
  <c r="X942" i="2"/>
  <c r="S942" i="2"/>
  <c r="N942" i="2"/>
  <c r="H942" i="2"/>
  <c r="L942" i="2"/>
  <c r="W942" i="2"/>
  <c r="Z952" i="2"/>
  <c r="V952" i="2"/>
  <c r="R952" i="2"/>
  <c r="N952" i="2"/>
  <c r="J952" i="2"/>
  <c r="F952" i="2"/>
  <c r="AA952" i="2"/>
  <c r="U952" i="2"/>
  <c r="P952" i="2"/>
  <c r="K952" i="2"/>
  <c r="E952" i="2"/>
  <c r="Y952" i="2"/>
  <c r="T952" i="2"/>
  <c r="O952" i="2"/>
  <c r="I952" i="2"/>
  <c r="D952" i="2"/>
  <c r="M952" i="2"/>
  <c r="X952" i="2"/>
  <c r="Y1028" i="2"/>
  <c r="U1028" i="2"/>
  <c r="Q1028" i="2"/>
  <c r="M1028" i="2"/>
  <c r="I1028" i="2"/>
  <c r="E1028" i="2"/>
  <c r="AB1028" i="2"/>
  <c r="X1028" i="2"/>
  <c r="T1028" i="2"/>
  <c r="P1028" i="2"/>
  <c r="L1028" i="2"/>
  <c r="H1028" i="2"/>
  <c r="D1028" i="2"/>
  <c r="W1028" i="2"/>
  <c r="O1028" i="2"/>
  <c r="G1028" i="2"/>
  <c r="V1028" i="2"/>
  <c r="N1028" i="2"/>
  <c r="F1028" i="2"/>
  <c r="S1028" i="2"/>
  <c r="Z1038" i="2"/>
  <c r="V1038" i="2"/>
  <c r="R1038" i="2"/>
  <c r="N1038" i="2"/>
  <c r="J1038" i="2"/>
  <c r="F1038" i="2"/>
  <c r="Y1038" i="2"/>
  <c r="U1038" i="2"/>
  <c r="Q1038" i="2"/>
  <c r="M1038" i="2"/>
  <c r="I1038" i="2"/>
  <c r="E1038" i="2"/>
  <c r="AB1038" i="2"/>
  <c r="X1038" i="2"/>
  <c r="T1038" i="2"/>
  <c r="P1038" i="2"/>
  <c r="L1038" i="2"/>
  <c r="H1038" i="2"/>
  <c r="W1038" i="2"/>
  <c r="G1038" i="2"/>
  <c r="S1038" i="2"/>
  <c r="D1038" i="2"/>
  <c r="Z1074" i="2"/>
  <c r="V1074" i="2"/>
  <c r="R1074" i="2"/>
  <c r="N1074" i="2"/>
  <c r="J1074" i="2"/>
  <c r="F1074" i="2"/>
  <c r="Y1074" i="2"/>
  <c r="U1074" i="2"/>
  <c r="Q1074" i="2"/>
  <c r="M1074" i="2"/>
  <c r="I1074" i="2"/>
  <c r="E1074" i="2"/>
  <c r="X1074" i="2"/>
  <c r="P1074" i="2"/>
  <c r="H1074" i="2"/>
  <c r="W1074" i="2"/>
  <c r="O1074" i="2"/>
  <c r="G1074" i="2"/>
  <c r="AB1074" i="2"/>
  <c r="T1074" i="2"/>
  <c r="L1074" i="2"/>
  <c r="D1074" i="2"/>
  <c r="S1074" i="2"/>
  <c r="K1074" i="2"/>
  <c r="Y1136" i="2"/>
  <c r="Z1136" i="2"/>
  <c r="U1136" i="2"/>
  <c r="Q1136" i="2"/>
  <c r="M1136" i="2"/>
  <c r="I1136" i="2"/>
  <c r="E1136" i="2"/>
  <c r="X1136" i="2"/>
  <c r="T1136" i="2"/>
  <c r="P1136" i="2"/>
  <c r="L1136" i="2"/>
  <c r="H1136" i="2"/>
  <c r="D1136" i="2"/>
  <c r="AA1136" i="2"/>
  <c r="R1136" i="2"/>
  <c r="J1136" i="2"/>
  <c r="W1136" i="2"/>
  <c r="O1136" i="2"/>
  <c r="G1136" i="2"/>
  <c r="V1136" i="2"/>
  <c r="N1136" i="2"/>
  <c r="F1136" i="2"/>
  <c r="AB1136" i="2"/>
  <c r="S1136" i="2"/>
  <c r="X1198" i="2"/>
  <c r="X1199" i="2" s="1"/>
  <c r="Z890" i="2"/>
  <c r="V890" i="2"/>
  <c r="R890" i="2"/>
  <c r="N890" i="2"/>
  <c r="J890" i="2"/>
  <c r="F890" i="2"/>
  <c r="H890" i="2"/>
  <c r="M890" i="2"/>
  <c r="S890" i="2"/>
  <c r="X890" i="2"/>
  <c r="AB892" i="2"/>
  <c r="X892" i="2"/>
  <c r="T892" i="2"/>
  <c r="P892" i="2"/>
  <c r="L892" i="2"/>
  <c r="H892" i="2"/>
  <c r="D892" i="2"/>
  <c r="I892" i="2"/>
  <c r="N892" i="2"/>
  <c r="S892" i="2"/>
  <c r="Y892" i="2"/>
  <c r="Z906" i="2"/>
  <c r="V906" i="2"/>
  <c r="R906" i="2"/>
  <c r="N906" i="2"/>
  <c r="J906" i="2"/>
  <c r="F906" i="2"/>
  <c r="H906" i="2"/>
  <c r="M906" i="2"/>
  <c r="S906" i="2"/>
  <c r="X906" i="2"/>
  <c r="AA908" i="2"/>
  <c r="W908" i="2"/>
  <c r="S908" i="2"/>
  <c r="O908" i="2"/>
  <c r="K908" i="2"/>
  <c r="G908" i="2"/>
  <c r="H908" i="2"/>
  <c r="M908" i="2"/>
  <c r="R908" i="2"/>
  <c r="X908" i="2"/>
  <c r="Z948" i="2"/>
  <c r="V948" i="2"/>
  <c r="R948" i="2"/>
  <c r="N948" i="2"/>
  <c r="J948" i="2"/>
  <c r="F948" i="2"/>
  <c r="H948" i="2"/>
  <c r="M948" i="2"/>
  <c r="S948" i="2"/>
  <c r="X948" i="2"/>
  <c r="AB950" i="2"/>
  <c r="X950" i="2"/>
  <c r="T950" i="2"/>
  <c r="P950" i="2"/>
  <c r="L950" i="2"/>
  <c r="H950" i="2"/>
  <c r="D950" i="2"/>
  <c r="I950" i="2"/>
  <c r="N950" i="2"/>
  <c r="S950" i="2"/>
  <c r="Y950" i="2"/>
  <c r="Z964" i="2"/>
  <c r="V964" i="2"/>
  <c r="R964" i="2"/>
  <c r="N964" i="2"/>
  <c r="J964" i="2"/>
  <c r="F964" i="2"/>
  <c r="H964" i="2"/>
  <c r="M964" i="2"/>
  <c r="S964" i="2"/>
  <c r="X964" i="2"/>
  <c r="AB966" i="2"/>
  <c r="X966" i="2"/>
  <c r="T966" i="2"/>
  <c r="P966" i="2"/>
  <c r="L966" i="2"/>
  <c r="H966" i="2"/>
  <c r="D966" i="2"/>
  <c r="I966" i="2"/>
  <c r="N966" i="2"/>
  <c r="S966" i="2"/>
  <c r="Y966" i="2"/>
  <c r="Y978" i="2"/>
  <c r="U978" i="2"/>
  <c r="Q978" i="2"/>
  <c r="Q987" i="2" s="1"/>
  <c r="M978" i="2"/>
  <c r="I978" i="2"/>
  <c r="E978" i="2"/>
  <c r="E987" i="2" s="1"/>
  <c r="H978" i="2"/>
  <c r="N978" i="2"/>
  <c r="S978" i="2"/>
  <c r="X978" i="2"/>
  <c r="AB1000" i="2"/>
  <c r="AB1001" i="2" s="1"/>
  <c r="X1000" i="2"/>
  <c r="X1001" i="2" s="1"/>
  <c r="T1000" i="2"/>
  <c r="T1001" i="2" s="1"/>
  <c r="P1000" i="2"/>
  <c r="P1001" i="2" s="1"/>
  <c r="L1000" i="2"/>
  <c r="H1000" i="2"/>
  <c r="H1001" i="2" s="1"/>
  <c r="D1000" i="2"/>
  <c r="D1001" i="2" s="1"/>
  <c r="I1000" i="2"/>
  <c r="I1001" i="2" s="1"/>
  <c r="N1000" i="2"/>
  <c r="S1000" i="2"/>
  <c r="S1001" i="2" s="1"/>
  <c r="Y1000" i="2"/>
  <c r="Y1001" i="2" s="1"/>
  <c r="Y1012" i="2"/>
  <c r="U1012" i="2"/>
  <c r="Q1012" i="2"/>
  <c r="M1012" i="2"/>
  <c r="I1012" i="2"/>
  <c r="E1012" i="2"/>
  <c r="H1012" i="2"/>
  <c r="N1012" i="2"/>
  <c r="S1012" i="2"/>
  <c r="X1012" i="2"/>
  <c r="Y1016" i="2"/>
  <c r="U1016" i="2"/>
  <c r="Q1016" i="2"/>
  <c r="M1016" i="2"/>
  <c r="I1016" i="2"/>
  <c r="E1016" i="2"/>
  <c r="H1016" i="2"/>
  <c r="N1016" i="2"/>
  <c r="S1016" i="2"/>
  <c r="X1016" i="2"/>
  <c r="Z1034" i="2"/>
  <c r="V1034" i="2"/>
  <c r="R1034" i="2"/>
  <c r="N1034" i="2"/>
  <c r="J1034" i="2"/>
  <c r="F1034" i="2"/>
  <c r="Y1034" i="2"/>
  <c r="U1034" i="2"/>
  <c r="Q1034" i="2"/>
  <c r="M1034" i="2"/>
  <c r="I1034" i="2"/>
  <c r="E1034" i="2"/>
  <c r="K1034" i="2"/>
  <c r="S1034" i="2"/>
  <c r="AA1034" i="2"/>
  <c r="Y1108" i="2"/>
  <c r="U1108" i="2"/>
  <c r="Q1108" i="2"/>
  <c r="M1108" i="2"/>
  <c r="I1108" i="2"/>
  <c r="E1108" i="2"/>
  <c r="AB1108" i="2"/>
  <c r="X1108" i="2"/>
  <c r="T1108" i="2"/>
  <c r="P1108" i="2"/>
  <c r="L1108" i="2"/>
  <c r="H1108" i="2"/>
  <c r="D1108" i="2"/>
  <c r="W1108" i="2"/>
  <c r="O1108" i="2"/>
  <c r="G1108" i="2"/>
  <c r="V1108" i="2"/>
  <c r="N1108" i="2"/>
  <c r="F1108" i="2"/>
  <c r="AA1108" i="2"/>
  <c r="S1108" i="2"/>
  <c r="K1108" i="2"/>
  <c r="G722" i="2"/>
  <c r="K722" i="2"/>
  <c r="O722" i="2"/>
  <c r="S722" i="2"/>
  <c r="W722" i="2"/>
  <c r="G726" i="2"/>
  <c r="K726" i="2"/>
  <c r="O726" i="2"/>
  <c r="S726" i="2"/>
  <c r="W726" i="2"/>
  <c r="G730" i="2"/>
  <c r="K730" i="2"/>
  <c r="O730" i="2"/>
  <c r="S730" i="2"/>
  <c r="W730" i="2"/>
  <c r="G734" i="2"/>
  <c r="K734" i="2"/>
  <c r="O734" i="2"/>
  <c r="S734" i="2"/>
  <c r="W734" i="2"/>
  <c r="G738" i="2"/>
  <c r="K738" i="2"/>
  <c r="O738" i="2"/>
  <c r="S738" i="2"/>
  <c r="W738" i="2"/>
  <c r="G742" i="2"/>
  <c r="K742" i="2"/>
  <c r="O742" i="2"/>
  <c r="S742" i="2"/>
  <c r="W742" i="2"/>
  <c r="G746" i="2"/>
  <c r="K746" i="2"/>
  <c r="O746" i="2"/>
  <c r="S746" i="2"/>
  <c r="W746" i="2"/>
  <c r="G750" i="2"/>
  <c r="K750" i="2"/>
  <c r="O750" i="2"/>
  <c r="S750" i="2"/>
  <c r="W750" i="2"/>
  <c r="G754" i="2"/>
  <c r="K754" i="2"/>
  <c r="O754" i="2"/>
  <c r="S754" i="2"/>
  <c r="W754" i="2"/>
  <c r="G758" i="2"/>
  <c r="K758" i="2"/>
  <c r="O758" i="2"/>
  <c r="S758" i="2"/>
  <c r="W758" i="2"/>
  <c r="G762" i="2"/>
  <c r="K762" i="2"/>
  <c r="O762" i="2"/>
  <c r="S762" i="2"/>
  <c r="W762" i="2"/>
  <c r="G766" i="2"/>
  <c r="K766" i="2"/>
  <c r="O766" i="2"/>
  <c r="S766" i="2"/>
  <c r="W766" i="2"/>
  <c r="G770" i="2"/>
  <c r="K770" i="2"/>
  <c r="O770" i="2"/>
  <c r="S770" i="2"/>
  <c r="W770" i="2"/>
  <c r="G774" i="2"/>
  <c r="K774" i="2"/>
  <c r="O774" i="2"/>
  <c r="S774" i="2"/>
  <c r="W774" i="2"/>
  <c r="G778" i="2"/>
  <c r="K778" i="2"/>
  <c r="O778" i="2"/>
  <c r="S778" i="2"/>
  <c r="W778" i="2"/>
  <c r="G782" i="2"/>
  <c r="K782" i="2"/>
  <c r="O782" i="2"/>
  <c r="S782" i="2"/>
  <c r="W782" i="2"/>
  <c r="G786" i="2"/>
  <c r="K786" i="2"/>
  <c r="O786" i="2"/>
  <c r="S786" i="2"/>
  <c r="W786" i="2"/>
  <c r="G790" i="2"/>
  <c r="K790" i="2"/>
  <c r="O790" i="2"/>
  <c r="S790" i="2"/>
  <c r="W790" i="2"/>
  <c r="G794" i="2"/>
  <c r="K794" i="2"/>
  <c r="O794" i="2"/>
  <c r="S794" i="2"/>
  <c r="W794" i="2"/>
  <c r="G798" i="2"/>
  <c r="K798" i="2"/>
  <c r="O798" i="2"/>
  <c r="S798" i="2"/>
  <c r="W798" i="2"/>
  <c r="G802" i="2"/>
  <c r="K802" i="2"/>
  <c r="O802" i="2"/>
  <c r="S802" i="2"/>
  <c r="W802" i="2"/>
  <c r="G806" i="2"/>
  <c r="K806" i="2"/>
  <c r="O806" i="2"/>
  <c r="S806" i="2"/>
  <c r="W806" i="2"/>
  <c r="G810" i="2"/>
  <c r="K810" i="2"/>
  <c r="O810" i="2"/>
  <c r="S810" i="2"/>
  <c r="W810" i="2"/>
  <c r="G814" i="2"/>
  <c r="K814" i="2"/>
  <c r="O814" i="2"/>
  <c r="S814" i="2"/>
  <c r="W814" i="2"/>
  <c r="G818" i="2"/>
  <c r="K818" i="2"/>
  <c r="O818" i="2"/>
  <c r="S818" i="2"/>
  <c r="W818" i="2"/>
  <c r="G822" i="2"/>
  <c r="K822" i="2"/>
  <c r="O822" i="2"/>
  <c r="S822" i="2"/>
  <c r="W822" i="2"/>
  <c r="G826" i="2"/>
  <c r="K826" i="2"/>
  <c r="O826" i="2"/>
  <c r="S826" i="2"/>
  <c r="W826" i="2"/>
  <c r="Y830" i="2"/>
  <c r="U830" i="2"/>
  <c r="Q830" i="2"/>
  <c r="M830" i="2"/>
  <c r="I830" i="2"/>
  <c r="E830" i="2"/>
  <c r="H830" i="2"/>
  <c r="N830" i="2"/>
  <c r="S830" i="2"/>
  <c r="X830" i="2"/>
  <c r="Y834" i="2"/>
  <c r="U834" i="2"/>
  <c r="Q834" i="2"/>
  <c r="M834" i="2"/>
  <c r="I834" i="2"/>
  <c r="E834" i="2"/>
  <c r="H834" i="2"/>
  <c r="N834" i="2"/>
  <c r="S834" i="2"/>
  <c r="X834" i="2"/>
  <c r="Y838" i="2"/>
  <c r="U838" i="2"/>
  <c r="Q838" i="2"/>
  <c r="M838" i="2"/>
  <c r="I838" i="2"/>
  <c r="E838" i="2"/>
  <c r="H838" i="2"/>
  <c r="N838" i="2"/>
  <c r="S838" i="2"/>
  <c r="X838" i="2"/>
  <c r="Y842" i="2"/>
  <c r="U842" i="2"/>
  <c r="Q842" i="2"/>
  <c r="M842" i="2"/>
  <c r="I842" i="2"/>
  <c r="E842" i="2"/>
  <c r="H842" i="2"/>
  <c r="N842" i="2"/>
  <c r="S842" i="2"/>
  <c r="X842" i="2"/>
  <c r="Y846" i="2"/>
  <c r="U846" i="2"/>
  <c r="Q846" i="2"/>
  <c r="M846" i="2"/>
  <c r="I846" i="2"/>
  <c r="E846" i="2"/>
  <c r="H846" i="2"/>
  <c r="N846" i="2"/>
  <c r="S846" i="2"/>
  <c r="X846" i="2"/>
  <c r="Y850" i="2"/>
  <c r="U850" i="2"/>
  <c r="Q850" i="2"/>
  <c r="M850" i="2"/>
  <c r="I850" i="2"/>
  <c r="E850" i="2"/>
  <c r="H850" i="2"/>
  <c r="N850" i="2"/>
  <c r="S850" i="2"/>
  <c r="X850" i="2"/>
  <c r="Y854" i="2"/>
  <c r="U854" i="2"/>
  <c r="Q854" i="2"/>
  <c r="M854" i="2"/>
  <c r="I854" i="2"/>
  <c r="E854" i="2"/>
  <c r="H854" i="2"/>
  <c r="N854" i="2"/>
  <c r="S854" i="2"/>
  <c r="X854" i="2"/>
  <c r="Y858" i="2"/>
  <c r="U858" i="2"/>
  <c r="Q858" i="2"/>
  <c r="M858" i="2"/>
  <c r="I858" i="2"/>
  <c r="E858" i="2"/>
  <c r="H858" i="2"/>
  <c r="N858" i="2"/>
  <c r="S858" i="2"/>
  <c r="X858" i="2"/>
  <c r="Y862" i="2"/>
  <c r="U862" i="2"/>
  <c r="Q862" i="2"/>
  <c r="M862" i="2"/>
  <c r="I862" i="2"/>
  <c r="E862" i="2"/>
  <c r="H862" i="2"/>
  <c r="N862" i="2"/>
  <c r="S862" i="2"/>
  <c r="X862" i="2"/>
  <c r="Z876" i="2"/>
  <c r="V876" i="2"/>
  <c r="R876" i="2"/>
  <c r="N876" i="2"/>
  <c r="J876" i="2"/>
  <c r="F876" i="2"/>
  <c r="H876" i="2"/>
  <c r="M876" i="2"/>
  <c r="S876" i="2"/>
  <c r="X876" i="2"/>
  <c r="AB878" i="2"/>
  <c r="X878" i="2"/>
  <c r="T878" i="2"/>
  <c r="P878" i="2"/>
  <c r="L878" i="2"/>
  <c r="H878" i="2"/>
  <c r="D878" i="2"/>
  <c r="I878" i="2"/>
  <c r="N878" i="2"/>
  <c r="S878" i="2"/>
  <c r="Y878" i="2"/>
  <c r="Z886" i="2"/>
  <c r="V886" i="2"/>
  <c r="R886" i="2"/>
  <c r="N886" i="2"/>
  <c r="J886" i="2"/>
  <c r="F886" i="2"/>
  <c r="H886" i="2"/>
  <c r="M886" i="2"/>
  <c r="S886" i="2"/>
  <c r="X886" i="2"/>
  <c r="AB888" i="2"/>
  <c r="X888" i="2"/>
  <c r="T888" i="2"/>
  <c r="P888" i="2"/>
  <c r="L888" i="2"/>
  <c r="H888" i="2"/>
  <c r="D888" i="2"/>
  <c r="I888" i="2"/>
  <c r="N888" i="2"/>
  <c r="S888" i="2"/>
  <c r="Y888" i="2"/>
  <c r="D890" i="2"/>
  <c r="I890" i="2"/>
  <c r="O890" i="2"/>
  <c r="T890" i="2"/>
  <c r="Y890" i="2"/>
  <c r="E892" i="2"/>
  <c r="J892" i="2"/>
  <c r="O892" i="2"/>
  <c r="U892" i="2"/>
  <c r="Z892" i="2"/>
  <c r="D906" i="2"/>
  <c r="I906" i="2"/>
  <c r="O906" i="2"/>
  <c r="T906" i="2"/>
  <c r="Y906" i="2"/>
  <c r="D908" i="2"/>
  <c r="I908" i="2"/>
  <c r="N908" i="2"/>
  <c r="T908" i="2"/>
  <c r="Y908" i="2"/>
  <c r="Y916" i="2"/>
  <c r="U916" i="2"/>
  <c r="Q916" i="2"/>
  <c r="M916" i="2"/>
  <c r="I916" i="2"/>
  <c r="E916" i="2"/>
  <c r="H916" i="2"/>
  <c r="N916" i="2"/>
  <c r="S916" i="2"/>
  <c r="X916" i="2"/>
  <c r="Z928" i="2"/>
  <c r="V928" i="2"/>
  <c r="R928" i="2"/>
  <c r="N928" i="2"/>
  <c r="J928" i="2"/>
  <c r="F928" i="2"/>
  <c r="H928" i="2"/>
  <c r="M928" i="2"/>
  <c r="S928" i="2"/>
  <c r="X928" i="2"/>
  <c r="AA930" i="2"/>
  <c r="W930" i="2"/>
  <c r="S930" i="2"/>
  <c r="O930" i="2"/>
  <c r="K930" i="2"/>
  <c r="G930" i="2"/>
  <c r="H930" i="2"/>
  <c r="M930" i="2"/>
  <c r="R930" i="2"/>
  <c r="X930" i="2"/>
  <c r="Z944" i="2"/>
  <c r="V944" i="2"/>
  <c r="R944" i="2"/>
  <c r="N944" i="2"/>
  <c r="J944" i="2"/>
  <c r="F944" i="2"/>
  <c r="H944" i="2"/>
  <c r="M944" i="2"/>
  <c r="S944" i="2"/>
  <c r="X944" i="2"/>
  <c r="AB946" i="2"/>
  <c r="X946" i="2"/>
  <c r="T946" i="2"/>
  <c r="P946" i="2"/>
  <c r="L946" i="2"/>
  <c r="H946" i="2"/>
  <c r="D946" i="2"/>
  <c r="I946" i="2"/>
  <c r="N946" i="2"/>
  <c r="S946" i="2"/>
  <c r="Y946" i="2"/>
  <c r="D948" i="2"/>
  <c r="I948" i="2"/>
  <c r="O948" i="2"/>
  <c r="T948" i="2"/>
  <c r="Y948" i="2"/>
  <c r="E950" i="2"/>
  <c r="J950" i="2"/>
  <c r="O950" i="2"/>
  <c r="U950" i="2"/>
  <c r="Z950" i="2"/>
  <c r="Z960" i="2"/>
  <c r="V960" i="2"/>
  <c r="R960" i="2"/>
  <c r="N960" i="2"/>
  <c r="J960" i="2"/>
  <c r="F960" i="2"/>
  <c r="H960" i="2"/>
  <c r="M960" i="2"/>
  <c r="S960" i="2"/>
  <c r="X960" i="2"/>
  <c r="AB962" i="2"/>
  <c r="X962" i="2"/>
  <c r="T962" i="2"/>
  <c r="P962" i="2"/>
  <c r="L962" i="2"/>
  <c r="H962" i="2"/>
  <c r="D962" i="2"/>
  <c r="I962" i="2"/>
  <c r="N962" i="2"/>
  <c r="S962" i="2"/>
  <c r="Y962" i="2"/>
  <c r="D964" i="2"/>
  <c r="I964" i="2"/>
  <c r="O964" i="2"/>
  <c r="T964" i="2"/>
  <c r="Y964" i="2"/>
  <c r="E966" i="2"/>
  <c r="J966" i="2"/>
  <c r="O966" i="2"/>
  <c r="U966" i="2"/>
  <c r="Z966" i="2"/>
  <c r="D978" i="2"/>
  <c r="D987" i="2" s="1"/>
  <c r="J978" i="2"/>
  <c r="O978" i="2"/>
  <c r="T978" i="2"/>
  <c r="Z978" i="2"/>
  <c r="J9" i="3"/>
  <c r="J10" i="3" s="1"/>
  <c r="J11" i="3" s="1"/>
  <c r="E1000" i="2"/>
  <c r="J1000" i="2"/>
  <c r="O1000" i="2"/>
  <c r="O1001" i="2" s="1"/>
  <c r="U1000" i="2"/>
  <c r="U1001" i="2" s="1"/>
  <c r="Z1000" i="2"/>
  <c r="Z1001" i="2" s="1"/>
  <c r="D1012" i="2"/>
  <c r="J1012" i="2"/>
  <c r="O1012" i="2"/>
  <c r="T1012" i="2"/>
  <c r="Z1012" i="2"/>
  <c r="D1016" i="2"/>
  <c r="J1016" i="2"/>
  <c r="O1016" i="2"/>
  <c r="T1016" i="2"/>
  <c r="Z1016" i="2"/>
  <c r="Z1030" i="2"/>
  <c r="V1030" i="2"/>
  <c r="R1030" i="2"/>
  <c r="N1030" i="2"/>
  <c r="J1030" i="2"/>
  <c r="F1030" i="2"/>
  <c r="Y1030" i="2"/>
  <c r="U1030" i="2"/>
  <c r="Q1030" i="2"/>
  <c r="M1030" i="2"/>
  <c r="I1030" i="2"/>
  <c r="E1030" i="2"/>
  <c r="K1030" i="2"/>
  <c r="S1030" i="2"/>
  <c r="AA1030" i="2"/>
  <c r="D1034" i="2"/>
  <c r="L1034" i="2"/>
  <c r="T1034" i="2"/>
  <c r="AB1034" i="2"/>
  <c r="Z1058" i="2"/>
  <c r="V1058" i="2"/>
  <c r="R1058" i="2"/>
  <c r="N1058" i="2"/>
  <c r="J1058" i="2"/>
  <c r="F1058" i="2"/>
  <c r="Y1058" i="2"/>
  <c r="U1058" i="2"/>
  <c r="Q1058" i="2"/>
  <c r="M1058" i="2"/>
  <c r="I1058" i="2"/>
  <c r="E1058" i="2"/>
  <c r="X1058" i="2"/>
  <c r="P1058" i="2"/>
  <c r="H1058" i="2"/>
  <c r="W1058" i="2"/>
  <c r="O1058" i="2"/>
  <c r="G1058" i="2"/>
  <c r="AB1058" i="2"/>
  <c r="T1058" i="2"/>
  <c r="L1058" i="2"/>
  <c r="D1058" i="2"/>
  <c r="J1108" i="2"/>
  <c r="Y1120" i="2"/>
  <c r="U1120" i="2"/>
  <c r="Q1120" i="2"/>
  <c r="M1120" i="2"/>
  <c r="I1120" i="2"/>
  <c r="E1120" i="2"/>
  <c r="AB1120" i="2"/>
  <c r="X1120" i="2"/>
  <c r="T1120" i="2"/>
  <c r="P1120" i="2"/>
  <c r="L1120" i="2"/>
  <c r="H1120" i="2"/>
  <c r="D1120" i="2"/>
  <c r="Z1120" i="2"/>
  <c r="R1120" i="2"/>
  <c r="J1120" i="2"/>
  <c r="W1120" i="2"/>
  <c r="O1120" i="2"/>
  <c r="G1120" i="2"/>
  <c r="V1120" i="2"/>
  <c r="N1120" i="2"/>
  <c r="F1120" i="2"/>
  <c r="AB1144" i="2"/>
  <c r="X1144" i="2"/>
  <c r="T1144" i="2"/>
  <c r="P1144" i="2"/>
  <c r="L1144" i="2"/>
  <c r="H1144" i="2"/>
  <c r="D1144" i="2"/>
  <c r="Y1144" i="2"/>
  <c r="S1144" i="2"/>
  <c r="N1144" i="2"/>
  <c r="I1144" i="2"/>
  <c r="W1144" i="2"/>
  <c r="R1144" i="2"/>
  <c r="M1144" i="2"/>
  <c r="G1144" i="2"/>
  <c r="U1144" i="2"/>
  <c r="J1144" i="2"/>
  <c r="AA1144" i="2"/>
  <c r="Q1144" i="2"/>
  <c r="F1144" i="2"/>
  <c r="Z1144" i="2"/>
  <c r="O1144" i="2"/>
  <c r="E1144" i="2"/>
  <c r="Z1257" i="2"/>
  <c r="V1257" i="2"/>
  <c r="R1257" i="2"/>
  <c r="N1257" i="2"/>
  <c r="J1257" i="2"/>
  <c r="F1257" i="2"/>
  <c r="Y1257" i="2"/>
  <c r="U1257" i="2"/>
  <c r="Q1257" i="2"/>
  <c r="M1257" i="2"/>
  <c r="I1257" i="2"/>
  <c r="E1257" i="2"/>
  <c r="X1257" i="2"/>
  <c r="P1257" i="2"/>
  <c r="H1257" i="2"/>
  <c r="W1257" i="2"/>
  <c r="O1257" i="2"/>
  <c r="G1257" i="2"/>
  <c r="AA1257" i="2"/>
  <c r="K1257" i="2"/>
  <c r="T1257" i="2"/>
  <c r="D1257" i="2"/>
  <c r="AB1257" i="2"/>
  <c r="S1257" i="2"/>
  <c r="L1257" i="2"/>
  <c r="Z1046" i="2"/>
  <c r="V1046" i="2"/>
  <c r="R1046" i="2"/>
  <c r="N1046" i="2"/>
  <c r="J1046" i="2"/>
  <c r="F1046" i="2"/>
  <c r="H1046" i="2"/>
  <c r="M1046" i="2"/>
  <c r="S1046" i="2"/>
  <c r="X1046" i="2"/>
  <c r="AB1048" i="2"/>
  <c r="X1048" i="2"/>
  <c r="T1048" i="2"/>
  <c r="P1048" i="2"/>
  <c r="L1048" i="2"/>
  <c r="H1048" i="2"/>
  <c r="D1048" i="2"/>
  <c r="I1048" i="2"/>
  <c r="N1048" i="2"/>
  <c r="S1048" i="2"/>
  <c r="Y1048" i="2"/>
  <c r="Z1070" i="2"/>
  <c r="V1070" i="2"/>
  <c r="R1070" i="2"/>
  <c r="N1070" i="2"/>
  <c r="J1070" i="2"/>
  <c r="F1070" i="2"/>
  <c r="Y1070" i="2"/>
  <c r="U1070" i="2"/>
  <c r="Q1070" i="2"/>
  <c r="M1070" i="2"/>
  <c r="I1070" i="2"/>
  <c r="E1070" i="2"/>
  <c r="K1070" i="2"/>
  <c r="S1070" i="2"/>
  <c r="AA1070" i="2"/>
  <c r="Y1100" i="2"/>
  <c r="U1100" i="2"/>
  <c r="Q1100" i="2"/>
  <c r="M1100" i="2"/>
  <c r="I1100" i="2"/>
  <c r="E1100" i="2"/>
  <c r="AB1100" i="2"/>
  <c r="X1100" i="2"/>
  <c r="T1100" i="2"/>
  <c r="P1100" i="2"/>
  <c r="L1100" i="2"/>
  <c r="H1100" i="2"/>
  <c r="D1100" i="2"/>
  <c r="K1100" i="2"/>
  <c r="S1100" i="2"/>
  <c r="AA1100" i="2"/>
  <c r="AA1104" i="2"/>
  <c r="W1104" i="2"/>
  <c r="S1104" i="2"/>
  <c r="O1104" i="2"/>
  <c r="K1104" i="2"/>
  <c r="G1104" i="2"/>
  <c r="Z1104" i="2"/>
  <c r="V1104" i="2"/>
  <c r="R1104" i="2"/>
  <c r="N1104" i="2"/>
  <c r="J1104" i="2"/>
  <c r="F1104" i="2"/>
  <c r="I1104" i="2"/>
  <c r="Q1104" i="2"/>
  <c r="Y1104" i="2"/>
  <c r="Y1124" i="2"/>
  <c r="U1124" i="2"/>
  <c r="Q1124" i="2"/>
  <c r="M1124" i="2"/>
  <c r="I1124" i="2"/>
  <c r="E1124" i="2"/>
  <c r="AB1124" i="2"/>
  <c r="X1124" i="2"/>
  <c r="T1124" i="2"/>
  <c r="P1124" i="2"/>
  <c r="L1124" i="2"/>
  <c r="H1124" i="2"/>
  <c r="D1124" i="2"/>
  <c r="K1124" i="2"/>
  <c r="S1124" i="2"/>
  <c r="AA1124" i="2"/>
  <c r="AA1154" i="2"/>
  <c r="W1154" i="2"/>
  <c r="S1154" i="2"/>
  <c r="O1154" i="2"/>
  <c r="K1154" i="2"/>
  <c r="G1154" i="2"/>
  <c r="AB1154" i="2"/>
  <c r="V1154" i="2"/>
  <c r="Q1154" i="2"/>
  <c r="L1154" i="2"/>
  <c r="F1154" i="2"/>
  <c r="Z1154" i="2"/>
  <c r="U1154" i="2"/>
  <c r="P1154" i="2"/>
  <c r="J1154" i="2"/>
  <c r="E1154" i="2"/>
  <c r="M1154" i="2"/>
  <c r="X1154" i="2"/>
  <c r="Z1172" i="2"/>
  <c r="V1172" i="2"/>
  <c r="R1172" i="2"/>
  <c r="N1172" i="2"/>
  <c r="J1172" i="2"/>
  <c r="F1172" i="2"/>
  <c r="AA1172" i="2"/>
  <c r="U1172" i="2"/>
  <c r="P1172" i="2"/>
  <c r="K1172" i="2"/>
  <c r="E1172" i="2"/>
  <c r="Y1172" i="2"/>
  <c r="T1172" i="2"/>
  <c r="O1172" i="2"/>
  <c r="I1172" i="2"/>
  <c r="D1172" i="2"/>
  <c r="S1172" i="2"/>
  <c r="H1172" i="2"/>
  <c r="AB1172" i="2"/>
  <c r="Q1172" i="2"/>
  <c r="G1172" i="2"/>
  <c r="X1172" i="2"/>
  <c r="Z1176" i="2"/>
  <c r="V1176" i="2"/>
  <c r="R1176" i="2"/>
  <c r="N1176" i="2"/>
  <c r="J1176" i="2"/>
  <c r="F1176" i="2"/>
  <c r="AB1176" i="2"/>
  <c r="W1176" i="2"/>
  <c r="Q1176" i="2"/>
  <c r="L1176" i="2"/>
  <c r="G1176" i="2"/>
  <c r="AA1176" i="2"/>
  <c r="U1176" i="2"/>
  <c r="P1176" i="2"/>
  <c r="K1176" i="2"/>
  <c r="E1176" i="2"/>
  <c r="T1176" i="2"/>
  <c r="I1176" i="2"/>
  <c r="S1176" i="2"/>
  <c r="H1176" i="2"/>
  <c r="X1176" i="2"/>
  <c r="G1026" i="2"/>
  <c r="K1026" i="2"/>
  <c r="O1026" i="2"/>
  <c r="S1026" i="2"/>
  <c r="W1026" i="2"/>
  <c r="AA1026" i="2"/>
  <c r="G1032" i="2"/>
  <c r="K1032" i="2"/>
  <c r="O1032" i="2"/>
  <c r="S1032" i="2"/>
  <c r="W1032" i="2"/>
  <c r="AA1032" i="2"/>
  <c r="G1036" i="2"/>
  <c r="K1036" i="2"/>
  <c r="O1036" i="2"/>
  <c r="S1036" i="2"/>
  <c r="W1036" i="2"/>
  <c r="AA1036" i="2"/>
  <c r="AB1040" i="2"/>
  <c r="X1040" i="2"/>
  <c r="T1040" i="2"/>
  <c r="P1040" i="2"/>
  <c r="L1040" i="2"/>
  <c r="H1040" i="2"/>
  <c r="G1040" i="2"/>
  <c r="M1040" i="2"/>
  <c r="R1040" i="2"/>
  <c r="W1040" i="2"/>
  <c r="Z1042" i="2"/>
  <c r="V1042" i="2"/>
  <c r="R1042" i="2"/>
  <c r="N1042" i="2"/>
  <c r="J1042" i="2"/>
  <c r="F1042" i="2"/>
  <c r="H1042" i="2"/>
  <c r="M1042" i="2"/>
  <c r="S1042" i="2"/>
  <c r="X1042" i="2"/>
  <c r="AB1044" i="2"/>
  <c r="X1044" i="2"/>
  <c r="T1044" i="2"/>
  <c r="P1044" i="2"/>
  <c r="L1044" i="2"/>
  <c r="H1044" i="2"/>
  <c r="D1044" i="2"/>
  <c r="I1044" i="2"/>
  <c r="N1044" i="2"/>
  <c r="S1044" i="2"/>
  <c r="Y1044" i="2"/>
  <c r="D1046" i="2"/>
  <c r="I1046" i="2"/>
  <c r="O1046" i="2"/>
  <c r="T1046" i="2"/>
  <c r="Y1046" i="2"/>
  <c r="E1048" i="2"/>
  <c r="J1048" i="2"/>
  <c r="O1048" i="2"/>
  <c r="U1048" i="2"/>
  <c r="Z1048" i="2"/>
  <c r="Z1066" i="2"/>
  <c r="V1066" i="2"/>
  <c r="R1066" i="2"/>
  <c r="N1066" i="2"/>
  <c r="J1066" i="2"/>
  <c r="F1066" i="2"/>
  <c r="Y1066" i="2"/>
  <c r="U1066" i="2"/>
  <c r="Q1066" i="2"/>
  <c r="M1066" i="2"/>
  <c r="I1066" i="2"/>
  <c r="E1066" i="2"/>
  <c r="K1066" i="2"/>
  <c r="S1066" i="2"/>
  <c r="AA1066" i="2"/>
  <c r="D1070" i="2"/>
  <c r="L1070" i="2"/>
  <c r="T1070" i="2"/>
  <c r="AB1070" i="2"/>
  <c r="AB1094" i="2"/>
  <c r="X1094" i="2"/>
  <c r="T1094" i="2"/>
  <c r="P1094" i="2"/>
  <c r="L1094" i="2"/>
  <c r="H1094" i="2"/>
  <c r="D1094" i="2"/>
  <c r="AA1094" i="2"/>
  <c r="W1094" i="2"/>
  <c r="S1094" i="2"/>
  <c r="O1094" i="2"/>
  <c r="K1094" i="2"/>
  <c r="G1094" i="2"/>
  <c r="J1094" i="2"/>
  <c r="R1094" i="2"/>
  <c r="Z1094" i="2"/>
  <c r="F1100" i="2"/>
  <c r="N1100" i="2"/>
  <c r="V1100" i="2"/>
  <c r="D1104" i="2"/>
  <c r="L1104" i="2"/>
  <c r="T1104" i="2"/>
  <c r="AB1104" i="2"/>
  <c r="Y1112" i="2"/>
  <c r="U1112" i="2"/>
  <c r="Q1112" i="2"/>
  <c r="M1112" i="2"/>
  <c r="I1112" i="2"/>
  <c r="E1112" i="2"/>
  <c r="AB1112" i="2"/>
  <c r="X1112" i="2"/>
  <c r="T1112" i="2"/>
  <c r="P1112" i="2"/>
  <c r="L1112" i="2"/>
  <c r="H1112" i="2"/>
  <c r="D1112" i="2"/>
  <c r="K1112" i="2"/>
  <c r="S1112" i="2"/>
  <c r="AA1112" i="2"/>
  <c r="F1124" i="2"/>
  <c r="N1124" i="2"/>
  <c r="V1124" i="2"/>
  <c r="Y1128" i="2"/>
  <c r="U1128" i="2"/>
  <c r="Q1128" i="2"/>
  <c r="M1128" i="2"/>
  <c r="I1128" i="2"/>
  <c r="E1128" i="2"/>
  <c r="AB1128" i="2"/>
  <c r="X1128" i="2"/>
  <c r="T1128" i="2"/>
  <c r="P1128" i="2"/>
  <c r="L1128" i="2"/>
  <c r="H1128" i="2"/>
  <c r="D1128" i="2"/>
  <c r="K1128" i="2"/>
  <c r="S1128" i="2"/>
  <c r="AA1128" i="2"/>
  <c r="D1154" i="2"/>
  <c r="N1154" i="2"/>
  <c r="Y1154" i="2"/>
  <c r="L1172" i="2"/>
  <c r="D1176" i="2"/>
  <c r="Y1176" i="2"/>
  <c r="G832" i="2"/>
  <c r="K832" i="2"/>
  <c r="O832" i="2"/>
  <c r="S832" i="2"/>
  <c r="W832" i="2"/>
  <c r="G836" i="2"/>
  <c r="K836" i="2"/>
  <c r="O836" i="2"/>
  <c r="S836" i="2"/>
  <c r="W836" i="2"/>
  <c r="G840" i="2"/>
  <c r="K840" i="2"/>
  <c r="O840" i="2"/>
  <c r="S840" i="2"/>
  <c r="W840" i="2"/>
  <c r="G844" i="2"/>
  <c r="K844" i="2"/>
  <c r="O844" i="2"/>
  <c r="S844" i="2"/>
  <c r="W844" i="2"/>
  <c r="G848" i="2"/>
  <c r="K848" i="2"/>
  <c r="O848" i="2"/>
  <c r="S848" i="2"/>
  <c r="W848" i="2"/>
  <c r="G852" i="2"/>
  <c r="K852" i="2"/>
  <c r="O852" i="2"/>
  <c r="S852" i="2"/>
  <c r="W852" i="2"/>
  <c r="G856" i="2"/>
  <c r="K856" i="2"/>
  <c r="O856" i="2"/>
  <c r="S856" i="2"/>
  <c r="W856" i="2"/>
  <c r="G860" i="2"/>
  <c r="K860" i="2"/>
  <c r="O860" i="2"/>
  <c r="S860" i="2"/>
  <c r="W860" i="2"/>
  <c r="G914" i="2"/>
  <c r="K914" i="2"/>
  <c r="O914" i="2"/>
  <c r="S914" i="2"/>
  <c r="W914" i="2"/>
  <c r="G918" i="2"/>
  <c r="K918" i="2"/>
  <c r="O918" i="2"/>
  <c r="S918" i="2"/>
  <c r="W918" i="2"/>
  <c r="G976" i="2"/>
  <c r="G987" i="2" s="1"/>
  <c r="K976" i="2"/>
  <c r="K987" i="2" s="1"/>
  <c r="O976" i="2"/>
  <c r="O987" i="2" s="1"/>
  <c r="S976" i="2"/>
  <c r="S987" i="2" s="1"/>
  <c r="W976" i="2"/>
  <c r="W987" i="2" s="1"/>
  <c r="G1010" i="2"/>
  <c r="K1010" i="2"/>
  <c r="O1010" i="2"/>
  <c r="S1010" i="2"/>
  <c r="W1010" i="2"/>
  <c r="G1014" i="2"/>
  <c r="K1014" i="2"/>
  <c r="O1014" i="2"/>
  <c r="S1014" i="2"/>
  <c r="W1014" i="2"/>
  <c r="D1026" i="2"/>
  <c r="H1026" i="2"/>
  <c r="L1026" i="2"/>
  <c r="P1026" i="2"/>
  <c r="T1026" i="2"/>
  <c r="X1026" i="2"/>
  <c r="AB1026" i="2"/>
  <c r="D1032" i="2"/>
  <c r="H1032" i="2"/>
  <c r="L1032" i="2"/>
  <c r="P1032" i="2"/>
  <c r="T1032" i="2"/>
  <c r="X1032" i="2"/>
  <c r="D1036" i="2"/>
  <c r="H1036" i="2"/>
  <c r="L1036" i="2"/>
  <c r="P1036" i="2"/>
  <c r="T1036" i="2"/>
  <c r="X1036" i="2"/>
  <c r="D1040" i="2"/>
  <c r="I1040" i="2"/>
  <c r="N1040" i="2"/>
  <c r="S1040" i="2"/>
  <c r="Y1040" i="2"/>
  <c r="D1042" i="2"/>
  <c r="I1042" i="2"/>
  <c r="O1042" i="2"/>
  <c r="T1042" i="2"/>
  <c r="Y1042" i="2"/>
  <c r="E1044" i="2"/>
  <c r="J1044" i="2"/>
  <c r="O1044" i="2"/>
  <c r="U1044" i="2"/>
  <c r="Z1044" i="2"/>
  <c r="E1046" i="2"/>
  <c r="K1046" i="2"/>
  <c r="P1046" i="2"/>
  <c r="U1046" i="2"/>
  <c r="AA1046" i="2"/>
  <c r="F1048" i="2"/>
  <c r="K1048" i="2"/>
  <c r="Q1048" i="2"/>
  <c r="V1048" i="2"/>
  <c r="AA1048" i="2"/>
  <c r="Z1054" i="2"/>
  <c r="V1054" i="2"/>
  <c r="R1054" i="2"/>
  <c r="N1054" i="2"/>
  <c r="J1054" i="2"/>
  <c r="F1054" i="2"/>
  <c r="H1054" i="2"/>
  <c r="M1054" i="2"/>
  <c r="S1054" i="2"/>
  <c r="X1054" i="2"/>
  <c r="Z1062" i="2"/>
  <c r="V1062" i="2"/>
  <c r="R1062" i="2"/>
  <c r="N1062" i="2"/>
  <c r="J1062" i="2"/>
  <c r="F1062" i="2"/>
  <c r="Y1062" i="2"/>
  <c r="U1062" i="2"/>
  <c r="Q1062" i="2"/>
  <c r="M1062" i="2"/>
  <c r="I1062" i="2"/>
  <c r="E1062" i="2"/>
  <c r="K1062" i="2"/>
  <c r="S1062" i="2"/>
  <c r="AA1062" i="2"/>
  <c r="D1066" i="2"/>
  <c r="L1066" i="2"/>
  <c r="T1066" i="2"/>
  <c r="AB1066" i="2"/>
  <c r="G1070" i="2"/>
  <c r="O1070" i="2"/>
  <c r="W1070" i="2"/>
  <c r="Z1078" i="2"/>
  <c r="V1078" i="2"/>
  <c r="R1078" i="2"/>
  <c r="N1078" i="2"/>
  <c r="J1078" i="2"/>
  <c r="F1078" i="2"/>
  <c r="Y1078" i="2"/>
  <c r="U1078" i="2"/>
  <c r="Q1078" i="2"/>
  <c r="M1078" i="2"/>
  <c r="I1078" i="2"/>
  <c r="E1078" i="2"/>
  <c r="K1078" i="2"/>
  <c r="S1078" i="2"/>
  <c r="AA1078" i="2"/>
  <c r="E1094" i="2"/>
  <c r="M1094" i="2"/>
  <c r="U1094" i="2"/>
  <c r="G1100" i="2"/>
  <c r="O1100" i="2"/>
  <c r="W1100" i="2"/>
  <c r="Z1102" i="2"/>
  <c r="V1102" i="2"/>
  <c r="R1102" i="2"/>
  <c r="N1102" i="2"/>
  <c r="J1102" i="2"/>
  <c r="F1102" i="2"/>
  <c r="Y1102" i="2"/>
  <c r="U1102" i="2"/>
  <c r="Q1102" i="2"/>
  <c r="M1102" i="2"/>
  <c r="I1102" i="2"/>
  <c r="E1102" i="2"/>
  <c r="K1102" i="2"/>
  <c r="S1102" i="2"/>
  <c r="AA1102" i="2"/>
  <c r="E1104" i="2"/>
  <c r="M1104" i="2"/>
  <c r="U1104" i="2"/>
  <c r="AB1106" i="2"/>
  <c r="X1106" i="2"/>
  <c r="T1106" i="2"/>
  <c r="P1106" i="2"/>
  <c r="L1106" i="2"/>
  <c r="H1106" i="2"/>
  <c r="D1106" i="2"/>
  <c r="AA1106" i="2"/>
  <c r="W1106" i="2"/>
  <c r="S1106" i="2"/>
  <c r="O1106" i="2"/>
  <c r="K1106" i="2"/>
  <c r="G1106" i="2"/>
  <c r="J1106" i="2"/>
  <c r="R1106" i="2"/>
  <c r="Z1106" i="2"/>
  <c r="F1112" i="2"/>
  <c r="N1112" i="2"/>
  <c r="V1112" i="2"/>
  <c r="Y1116" i="2"/>
  <c r="U1116" i="2"/>
  <c r="Q1116" i="2"/>
  <c r="M1116" i="2"/>
  <c r="I1116" i="2"/>
  <c r="E1116" i="2"/>
  <c r="AB1116" i="2"/>
  <c r="X1116" i="2"/>
  <c r="T1116" i="2"/>
  <c r="P1116" i="2"/>
  <c r="L1116" i="2"/>
  <c r="H1116" i="2"/>
  <c r="D1116" i="2"/>
  <c r="K1116" i="2"/>
  <c r="S1116" i="2"/>
  <c r="AA1116" i="2"/>
  <c r="G1124" i="2"/>
  <c r="O1124" i="2"/>
  <c r="W1124" i="2"/>
  <c r="F1128" i="2"/>
  <c r="N1128" i="2"/>
  <c r="V1128" i="2"/>
  <c r="Y1132" i="2"/>
  <c r="U1132" i="2"/>
  <c r="Q1132" i="2"/>
  <c r="M1132" i="2"/>
  <c r="I1132" i="2"/>
  <c r="E1132" i="2"/>
  <c r="AB1132" i="2"/>
  <c r="X1132" i="2"/>
  <c r="T1132" i="2"/>
  <c r="P1132" i="2"/>
  <c r="L1132" i="2"/>
  <c r="H1132" i="2"/>
  <c r="D1132" i="2"/>
  <c r="K1132" i="2"/>
  <c r="S1132" i="2"/>
  <c r="AA1132" i="2"/>
  <c r="Y1146" i="2"/>
  <c r="U1146" i="2"/>
  <c r="Q1146" i="2"/>
  <c r="M1146" i="2"/>
  <c r="I1146" i="2"/>
  <c r="E1146" i="2"/>
  <c r="X1146" i="2"/>
  <c r="S1146" i="2"/>
  <c r="N1146" i="2"/>
  <c r="H1146" i="2"/>
  <c r="AB1146" i="2"/>
  <c r="W1146" i="2"/>
  <c r="R1146" i="2"/>
  <c r="L1146" i="2"/>
  <c r="G1146" i="2"/>
  <c r="K1146" i="2"/>
  <c r="V1146" i="2"/>
  <c r="Z1152" i="2"/>
  <c r="V1152" i="2"/>
  <c r="R1152" i="2"/>
  <c r="N1152" i="2"/>
  <c r="J1152" i="2"/>
  <c r="F1152" i="2"/>
  <c r="AB1152" i="2"/>
  <c r="W1152" i="2"/>
  <c r="Q1152" i="2"/>
  <c r="L1152" i="2"/>
  <c r="G1152" i="2"/>
  <c r="AA1152" i="2"/>
  <c r="U1152" i="2"/>
  <c r="P1152" i="2"/>
  <c r="K1152" i="2"/>
  <c r="E1152" i="2"/>
  <c r="M1152" i="2"/>
  <c r="X1152" i="2"/>
  <c r="H1154" i="2"/>
  <c r="R1154" i="2"/>
  <c r="M1172" i="2"/>
  <c r="M1176" i="2"/>
  <c r="Y1208" i="2"/>
  <c r="Y1212" i="2" s="1"/>
  <c r="U1208" i="2"/>
  <c r="U1212" i="2" s="1"/>
  <c r="Q1208" i="2"/>
  <c r="Q1212" i="2" s="1"/>
  <c r="M1208" i="2"/>
  <c r="M1212" i="2" s="1"/>
  <c r="I1208" i="2"/>
  <c r="I1212" i="2" s="1"/>
  <c r="E1208" i="2"/>
  <c r="E1212" i="2" s="1"/>
  <c r="AB1208" i="2"/>
  <c r="AB1212" i="2" s="1"/>
  <c r="W1208" i="2"/>
  <c r="W1212" i="2" s="1"/>
  <c r="R1208" i="2"/>
  <c r="R1212" i="2" s="1"/>
  <c r="L1208" i="2"/>
  <c r="L1212" i="2" s="1"/>
  <c r="G1208" i="2"/>
  <c r="G1212" i="2" s="1"/>
  <c r="AA1208" i="2"/>
  <c r="AA1212" i="2" s="1"/>
  <c r="V1208" i="2"/>
  <c r="V1212" i="2" s="1"/>
  <c r="P1208" i="2"/>
  <c r="P1212" i="2" s="1"/>
  <c r="K1208" i="2"/>
  <c r="K1212" i="2" s="1"/>
  <c r="F1208" i="2"/>
  <c r="F1212" i="2" s="1"/>
  <c r="S1208" i="2"/>
  <c r="S1212" i="2" s="1"/>
  <c r="H1208" i="2"/>
  <c r="H1212" i="2" s="1"/>
  <c r="Z1208" i="2"/>
  <c r="Z1212" i="2" s="1"/>
  <c r="O1208" i="2"/>
  <c r="O1212" i="2" s="1"/>
  <c r="D1208" i="2"/>
  <c r="D1212" i="2" s="1"/>
  <c r="X1208" i="2"/>
  <c r="X1212" i="2" s="1"/>
  <c r="Y1237" i="2"/>
  <c r="U1237" i="2"/>
  <c r="Q1237" i="2"/>
  <c r="M1237" i="2"/>
  <c r="I1237" i="2"/>
  <c r="E1237" i="2"/>
  <c r="AB1237" i="2"/>
  <c r="X1237" i="2"/>
  <c r="T1237" i="2"/>
  <c r="P1237" i="2"/>
  <c r="L1237" i="2"/>
  <c r="H1237" i="2"/>
  <c r="D1237" i="2"/>
  <c r="Z1237" i="2"/>
  <c r="R1237" i="2"/>
  <c r="J1237" i="2"/>
  <c r="W1237" i="2"/>
  <c r="O1237" i="2"/>
  <c r="G1237" i="2"/>
  <c r="AA1237" i="2"/>
  <c r="K1237" i="2"/>
  <c r="V1237" i="2"/>
  <c r="F1237" i="2"/>
  <c r="AA1271" i="2"/>
  <c r="W1271" i="2"/>
  <c r="S1271" i="2"/>
  <c r="O1271" i="2"/>
  <c r="K1271" i="2"/>
  <c r="G1271" i="2"/>
  <c r="Z1271" i="2"/>
  <c r="V1271" i="2"/>
  <c r="R1271" i="2"/>
  <c r="N1271" i="2"/>
  <c r="J1271" i="2"/>
  <c r="F1271" i="2"/>
  <c r="Y1271" i="2"/>
  <c r="U1271" i="2"/>
  <c r="Q1271" i="2"/>
  <c r="M1271" i="2"/>
  <c r="I1271" i="2"/>
  <c r="E1271" i="2"/>
  <c r="AB1271" i="2"/>
  <c r="L1271" i="2"/>
  <c r="X1271" i="2"/>
  <c r="H1271" i="2"/>
  <c r="P1271" i="2"/>
  <c r="D1271" i="2"/>
  <c r="G1056" i="2"/>
  <c r="K1056" i="2"/>
  <c r="O1056" i="2"/>
  <c r="S1056" i="2"/>
  <c r="W1056" i="2"/>
  <c r="AA1056" i="2"/>
  <c r="G1060" i="2"/>
  <c r="K1060" i="2"/>
  <c r="O1060" i="2"/>
  <c r="S1060" i="2"/>
  <c r="W1060" i="2"/>
  <c r="AA1060" i="2"/>
  <c r="G1064" i="2"/>
  <c r="K1064" i="2"/>
  <c r="O1064" i="2"/>
  <c r="S1064" i="2"/>
  <c r="W1064" i="2"/>
  <c r="AA1064" i="2"/>
  <c r="G1068" i="2"/>
  <c r="K1068" i="2"/>
  <c r="O1068" i="2"/>
  <c r="S1068" i="2"/>
  <c r="W1068" i="2"/>
  <c r="AA1068" i="2"/>
  <c r="G1072" i="2"/>
  <c r="K1072" i="2"/>
  <c r="O1072" i="2"/>
  <c r="S1072" i="2"/>
  <c r="W1072" i="2"/>
  <c r="AA1072" i="2"/>
  <c r="G1076" i="2"/>
  <c r="K1076" i="2"/>
  <c r="O1076" i="2"/>
  <c r="S1076" i="2"/>
  <c r="W1076" i="2"/>
  <c r="AA1076" i="2"/>
  <c r="Y1140" i="2"/>
  <c r="U1140" i="2"/>
  <c r="Q1140" i="2"/>
  <c r="M1140" i="2"/>
  <c r="I1140" i="2"/>
  <c r="E1140" i="2"/>
  <c r="H1140" i="2"/>
  <c r="N1140" i="2"/>
  <c r="S1140" i="2"/>
  <c r="X1140" i="2"/>
  <c r="AB1178" i="2"/>
  <c r="X1178" i="2"/>
  <c r="T1178" i="2"/>
  <c r="P1178" i="2"/>
  <c r="L1178" i="2"/>
  <c r="H1178" i="2"/>
  <c r="D1178" i="2"/>
  <c r="W1178" i="2"/>
  <c r="R1178" i="2"/>
  <c r="M1178" i="2"/>
  <c r="G1178" i="2"/>
  <c r="AA1178" i="2"/>
  <c r="V1178" i="2"/>
  <c r="Q1178" i="2"/>
  <c r="K1178" i="2"/>
  <c r="F1178" i="2"/>
  <c r="N1178" i="2"/>
  <c r="Y1178" i="2"/>
  <c r="AB1221" i="2"/>
  <c r="AB1222" i="2" s="1"/>
  <c r="X1221" i="2"/>
  <c r="X1222" i="2" s="1"/>
  <c r="T1221" i="2"/>
  <c r="T1222" i="2" s="1"/>
  <c r="P1221" i="2"/>
  <c r="P1222" i="2" s="1"/>
  <c r="L1221" i="2"/>
  <c r="L1222" i="2" s="1"/>
  <c r="H1221" i="2"/>
  <c r="H1222" i="2" s="1"/>
  <c r="D1221" i="2"/>
  <c r="D1222" i="2" s="1"/>
  <c r="AA1221" i="2"/>
  <c r="AA1222" i="2" s="1"/>
  <c r="V1221" i="2"/>
  <c r="V1222" i="2" s="1"/>
  <c r="Q1221" i="2"/>
  <c r="Q1222" i="2" s="1"/>
  <c r="K1221" i="2"/>
  <c r="K1222" i="2" s="1"/>
  <c r="F1221" i="2"/>
  <c r="F1222" i="2" s="1"/>
  <c r="Z1221" i="2"/>
  <c r="Z1222" i="2" s="1"/>
  <c r="U1221" i="2"/>
  <c r="U1222" i="2" s="1"/>
  <c r="O1221" i="2"/>
  <c r="O1222" i="2" s="1"/>
  <c r="J1221" i="2"/>
  <c r="J1222" i="2" s="1"/>
  <c r="E1221" i="2"/>
  <c r="E1222" i="2" s="1"/>
  <c r="N1221" i="2"/>
  <c r="N1222" i="2" s="1"/>
  <c r="Y1221" i="2"/>
  <c r="Y1222" i="2" s="1"/>
  <c r="AB1273" i="2"/>
  <c r="X1273" i="2"/>
  <c r="T1273" i="2"/>
  <c r="P1273" i="2"/>
  <c r="L1273" i="2"/>
  <c r="H1273" i="2"/>
  <c r="D1273" i="2"/>
  <c r="AA1273" i="2"/>
  <c r="W1273" i="2"/>
  <c r="S1273" i="2"/>
  <c r="O1273" i="2"/>
  <c r="K1273" i="2"/>
  <c r="G1273" i="2"/>
  <c r="Z1273" i="2"/>
  <c r="V1273" i="2"/>
  <c r="R1273" i="2"/>
  <c r="N1273" i="2"/>
  <c r="J1273" i="2"/>
  <c r="F1273" i="2"/>
  <c r="M1273" i="2"/>
  <c r="Y1273" i="2"/>
  <c r="I1273" i="2"/>
  <c r="Q1273" i="2"/>
  <c r="E1273" i="2"/>
  <c r="D1056" i="2"/>
  <c r="H1056" i="2"/>
  <c r="L1056" i="2"/>
  <c r="P1056" i="2"/>
  <c r="T1056" i="2"/>
  <c r="X1056" i="2"/>
  <c r="D1060" i="2"/>
  <c r="H1060" i="2"/>
  <c r="L1060" i="2"/>
  <c r="P1060" i="2"/>
  <c r="T1060" i="2"/>
  <c r="X1060" i="2"/>
  <c r="D1064" i="2"/>
  <c r="H1064" i="2"/>
  <c r="L1064" i="2"/>
  <c r="P1064" i="2"/>
  <c r="T1064" i="2"/>
  <c r="X1064" i="2"/>
  <c r="D1068" i="2"/>
  <c r="H1068" i="2"/>
  <c r="L1068" i="2"/>
  <c r="P1068" i="2"/>
  <c r="T1068" i="2"/>
  <c r="X1068" i="2"/>
  <c r="D1072" i="2"/>
  <c r="H1072" i="2"/>
  <c r="L1072" i="2"/>
  <c r="P1072" i="2"/>
  <c r="T1072" i="2"/>
  <c r="X1072" i="2"/>
  <c r="D1076" i="2"/>
  <c r="H1076" i="2"/>
  <c r="L1076" i="2"/>
  <c r="P1076" i="2"/>
  <c r="T1076" i="2"/>
  <c r="X1076" i="2"/>
  <c r="G1098" i="2"/>
  <c r="K1098" i="2"/>
  <c r="O1098" i="2"/>
  <c r="S1098" i="2"/>
  <c r="W1098" i="2"/>
  <c r="G1110" i="2"/>
  <c r="K1110" i="2"/>
  <c r="O1110" i="2"/>
  <c r="S1110" i="2"/>
  <c r="W1110" i="2"/>
  <c r="G1114" i="2"/>
  <c r="K1114" i="2"/>
  <c r="O1114" i="2"/>
  <c r="S1114" i="2"/>
  <c r="W1114" i="2"/>
  <c r="G1118" i="2"/>
  <c r="K1118" i="2"/>
  <c r="O1118" i="2"/>
  <c r="S1118" i="2"/>
  <c r="W1118" i="2"/>
  <c r="G1122" i="2"/>
  <c r="K1122" i="2"/>
  <c r="O1122" i="2"/>
  <c r="S1122" i="2"/>
  <c r="W1122" i="2"/>
  <c r="G1126" i="2"/>
  <c r="K1126" i="2"/>
  <c r="O1126" i="2"/>
  <c r="S1126" i="2"/>
  <c r="W1126" i="2"/>
  <c r="G1130" i="2"/>
  <c r="K1130" i="2"/>
  <c r="O1130" i="2"/>
  <c r="S1130" i="2"/>
  <c r="W1130" i="2"/>
  <c r="G1134" i="2"/>
  <c r="K1134" i="2"/>
  <c r="O1134" i="2"/>
  <c r="S1134" i="2"/>
  <c r="W1134" i="2"/>
  <c r="D1140" i="2"/>
  <c r="J1140" i="2"/>
  <c r="O1140" i="2"/>
  <c r="T1140" i="2"/>
  <c r="Z1140" i="2"/>
  <c r="Y1150" i="2"/>
  <c r="U1150" i="2"/>
  <c r="Q1150" i="2"/>
  <c r="M1150" i="2"/>
  <c r="I1150" i="2"/>
  <c r="E1150" i="2"/>
  <c r="H1150" i="2"/>
  <c r="N1150" i="2"/>
  <c r="S1150" i="2"/>
  <c r="X1150" i="2"/>
  <c r="AB1174" i="2"/>
  <c r="X1174" i="2"/>
  <c r="T1174" i="2"/>
  <c r="P1174" i="2"/>
  <c r="L1174" i="2"/>
  <c r="H1174" i="2"/>
  <c r="D1174" i="2"/>
  <c r="AA1174" i="2"/>
  <c r="V1174" i="2"/>
  <c r="Q1174" i="2"/>
  <c r="K1174" i="2"/>
  <c r="F1174" i="2"/>
  <c r="Z1174" i="2"/>
  <c r="U1174" i="2"/>
  <c r="O1174" i="2"/>
  <c r="J1174" i="2"/>
  <c r="E1174" i="2"/>
  <c r="N1174" i="2"/>
  <c r="Y1174" i="2"/>
  <c r="E1178" i="2"/>
  <c r="O1178" i="2"/>
  <c r="Z1178" i="2"/>
  <c r="G1221" i="2"/>
  <c r="G1222" i="2" s="1"/>
  <c r="R1221" i="2"/>
  <c r="R1222" i="2" s="1"/>
  <c r="Z1263" i="2"/>
  <c r="V1263" i="2"/>
  <c r="R1263" i="2"/>
  <c r="N1263" i="2"/>
  <c r="J1263" i="2"/>
  <c r="F1263" i="2"/>
  <c r="Y1263" i="2"/>
  <c r="U1263" i="2"/>
  <c r="Q1263" i="2"/>
  <c r="M1263" i="2"/>
  <c r="I1263" i="2"/>
  <c r="E1263" i="2"/>
  <c r="AB1263" i="2"/>
  <c r="X1263" i="2"/>
  <c r="T1263" i="2"/>
  <c r="AA1263" i="2"/>
  <c r="O1263" i="2"/>
  <c r="G1263" i="2"/>
  <c r="W1263" i="2"/>
  <c r="L1263" i="2"/>
  <c r="D1263" i="2"/>
  <c r="P1263" i="2"/>
  <c r="K1263" i="2"/>
  <c r="U1273" i="2"/>
  <c r="AB1166" i="2"/>
  <c r="X1166" i="2"/>
  <c r="G1166" i="2"/>
  <c r="K1166" i="2"/>
  <c r="O1166" i="2"/>
  <c r="S1166" i="2"/>
  <c r="W1166" i="2"/>
  <c r="Z1168" i="2"/>
  <c r="V1168" i="2"/>
  <c r="R1168" i="2"/>
  <c r="N1168" i="2"/>
  <c r="J1168" i="2"/>
  <c r="F1168" i="2"/>
  <c r="H1168" i="2"/>
  <c r="M1168" i="2"/>
  <c r="S1168" i="2"/>
  <c r="X1168" i="2"/>
  <c r="AB1170" i="2"/>
  <c r="X1170" i="2"/>
  <c r="T1170" i="2"/>
  <c r="P1170" i="2"/>
  <c r="L1170" i="2"/>
  <c r="H1170" i="2"/>
  <c r="D1170" i="2"/>
  <c r="I1170" i="2"/>
  <c r="N1170" i="2"/>
  <c r="S1170" i="2"/>
  <c r="Y1170" i="2"/>
  <c r="Z1259" i="2"/>
  <c r="V1259" i="2"/>
  <c r="R1259" i="2"/>
  <c r="N1259" i="2"/>
  <c r="J1259" i="2"/>
  <c r="F1259" i="2"/>
  <c r="Y1259" i="2"/>
  <c r="U1259" i="2"/>
  <c r="Q1259" i="2"/>
  <c r="AB1259" i="2"/>
  <c r="T1259" i="2"/>
  <c r="M1259" i="2"/>
  <c r="H1259" i="2"/>
  <c r="AA1259" i="2"/>
  <c r="S1259" i="2"/>
  <c r="L1259" i="2"/>
  <c r="G1259" i="2"/>
  <c r="K1259" i="2"/>
  <c r="X1259" i="2"/>
  <c r="Y1267" i="2"/>
  <c r="U1267" i="2"/>
  <c r="Q1267" i="2"/>
  <c r="M1267" i="2"/>
  <c r="I1267" i="2"/>
  <c r="E1267" i="2"/>
  <c r="AB1267" i="2"/>
  <c r="X1267" i="2"/>
  <c r="T1267" i="2"/>
  <c r="P1267" i="2"/>
  <c r="L1267" i="2"/>
  <c r="H1267" i="2"/>
  <c r="D1267" i="2"/>
  <c r="AA1267" i="2"/>
  <c r="W1267" i="2"/>
  <c r="S1267" i="2"/>
  <c r="O1267" i="2"/>
  <c r="K1267" i="2"/>
  <c r="G1267" i="2"/>
  <c r="Z1267" i="2"/>
  <c r="J1267" i="2"/>
  <c r="V1267" i="2"/>
  <c r="F1267" i="2"/>
  <c r="Z1269" i="2"/>
  <c r="V1269" i="2"/>
  <c r="R1269" i="2"/>
  <c r="N1269" i="2"/>
  <c r="J1269" i="2"/>
  <c r="F1269" i="2"/>
  <c r="Y1269" i="2"/>
  <c r="U1269" i="2"/>
  <c r="Q1269" i="2"/>
  <c r="M1269" i="2"/>
  <c r="I1269" i="2"/>
  <c r="E1269" i="2"/>
  <c r="AB1269" i="2"/>
  <c r="X1269" i="2"/>
  <c r="T1269" i="2"/>
  <c r="P1269" i="2"/>
  <c r="L1269" i="2"/>
  <c r="H1269" i="2"/>
  <c r="D1269" i="2"/>
  <c r="AA1269" i="2"/>
  <c r="K1269" i="2"/>
  <c r="W1269" i="2"/>
  <c r="G1269" i="2"/>
  <c r="G1138" i="2"/>
  <c r="K1138" i="2"/>
  <c r="O1138" i="2"/>
  <c r="S1138" i="2"/>
  <c r="W1138" i="2"/>
  <c r="G1142" i="2"/>
  <c r="K1142" i="2"/>
  <c r="O1142" i="2"/>
  <c r="S1142" i="2"/>
  <c r="W1142" i="2"/>
  <c r="G1148" i="2"/>
  <c r="K1148" i="2"/>
  <c r="O1148" i="2"/>
  <c r="S1148" i="2"/>
  <c r="W1148" i="2"/>
  <c r="D1166" i="2"/>
  <c r="H1166" i="2"/>
  <c r="L1166" i="2"/>
  <c r="P1166" i="2"/>
  <c r="T1166" i="2"/>
  <c r="Y1166" i="2"/>
  <c r="D1168" i="2"/>
  <c r="I1168" i="2"/>
  <c r="O1168" i="2"/>
  <c r="T1168" i="2"/>
  <c r="Y1168" i="2"/>
  <c r="E1170" i="2"/>
  <c r="J1170" i="2"/>
  <c r="O1170" i="2"/>
  <c r="U1170" i="2"/>
  <c r="Z1170" i="2"/>
  <c r="Y1233" i="2"/>
  <c r="U1233" i="2"/>
  <c r="Q1233" i="2"/>
  <c r="M1233" i="2"/>
  <c r="I1233" i="2"/>
  <c r="E1233" i="2"/>
  <c r="AB1233" i="2"/>
  <c r="X1233" i="2"/>
  <c r="T1233" i="2"/>
  <c r="P1233" i="2"/>
  <c r="L1233" i="2"/>
  <c r="H1233" i="2"/>
  <c r="D1233" i="2"/>
  <c r="K1233" i="2"/>
  <c r="S1233" i="2"/>
  <c r="AA1233" i="2"/>
  <c r="D1259" i="2"/>
  <c r="O1259" i="2"/>
  <c r="N1267" i="2"/>
  <c r="O1269" i="2"/>
  <c r="G1247" i="2"/>
  <c r="G1248" i="2" s="1"/>
  <c r="K1247" i="2"/>
  <c r="K1248" i="2" s="1"/>
  <c r="O1247" i="2"/>
  <c r="O1248" i="2" s="1"/>
  <c r="S1247" i="2"/>
  <c r="S1248" i="2" s="1"/>
  <c r="W1247" i="2"/>
  <c r="W1248" i="2" s="1"/>
  <c r="AA1247" i="2"/>
  <c r="AA1248" i="2" s="1"/>
  <c r="AA1277" i="2"/>
  <c r="W1277" i="2"/>
  <c r="S1277" i="2"/>
  <c r="O1277" i="2"/>
  <c r="K1277" i="2"/>
  <c r="G1277" i="2"/>
  <c r="Z1277" i="2"/>
  <c r="V1277" i="2"/>
  <c r="R1277" i="2"/>
  <c r="N1277" i="2"/>
  <c r="J1277" i="2"/>
  <c r="F1277" i="2"/>
  <c r="Y1277" i="2"/>
  <c r="U1277" i="2"/>
  <c r="Q1277" i="2"/>
  <c r="M1277" i="2"/>
  <c r="I1277" i="2"/>
  <c r="E1277" i="2"/>
  <c r="P1277" i="2"/>
  <c r="AA1279" i="2"/>
  <c r="X1279" i="2"/>
  <c r="T1279" i="2"/>
  <c r="P1279" i="2"/>
  <c r="L1279" i="2"/>
  <c r="H1279" i="2"/>
  <c r="D1279" i="2"/>
  <c r="AB1279" i="2"/>
  <c r="W1279" i="2"/>
  <c r="S1279" i="2"/>
  <c r="O1279" i="2"/>
  <c r="K1279" i="2"/>
  <c r="G1279" i="2"/>
  <c r="Z1279" i="2"/>
  <c r="V1279" i="2"/>
  <c r="R1279" i="2"/>
  <c r="N1279" i="2"/>
  <c r="J1279" i="2"/>
  <c r="F1279" i="2"/>
  <c r="Q1279" i="2"/>
  <c r="G1188" i="2"/>
  <c r="G1189" i="2" s="1"/>
  <c r="K1188" i="2"/>
  <c r="K1189" i="2" s="1"/>
  <c r="O1188" i="2"/>
  <c r="O1189" i="2" s="1"/>
  <c r="S1188" i="2"/>
  <c r="S1189" i="2" s="1"/>
  <c r="W1188" i="2"/>
  <c r="W1189" i="2" s="1"/>
  <c r="G1231" i="2"/>
  <c r="K1231" i="2"/>
  <c r="O1231" i="2"/>
  <c r="S1231" i="2"/>
  <c r="W1231" i="2"/>
  <c r="G1235" i="2"/>
  <c r="K1235" i="2"/>
  <c r="O1235" i="2"/>
  <c r="S1235" i="2"/>
  <c r="W1235" i="2"/>
  <c r="D1247" i="2"/>
  <c r="D1248" i="2" s="1"/>
  <c r="H1247" i="2"/>
  <c r="H1248" i="2" s="1"/>
  <c r="L1247" i="2"/>
  <c r="L1248" i="2" s="1"/>
  <c r="P1247" i="2"/>
  <c r="P1248" i="2" s="1"/>
  <c r="T1247" i="2"/>
  <c r="T1248" i="2" s="1"/>
  <c r="X1247" i="2"/>
  <c r="X1248" i="2" s="1"/>
  <c r="Z1275" i="2"/>
  <c r="V1275" i="2"/>
  <c r="R1275" i="2"/>
  <c r="N1275" i="2"/>
  <c r="J1275" i="2"/>
  <c r="F1275" i="2"/>
  <c r="Y1275" i="2"/>
  <c r="U1275" i="2"/>
  <c r="Q1275" i="2"/>
  <c r="M1275" i="2"/>
  <c r="I1275" i="2"/>
  <c r="E1275" i="2"/>
  <c r="AB1275" i="2"/>
  <c r="X1275" i="2"/>
  <c r="T1275" i="2"/>
  <c r="P1275" i="2"/>
  <c r="L1275" i="2"/>
  <c r="H1275" i="2"/>
  <c r="D1275" i="2"/>
  <c r="S1275" i="2"/>
  <c r="D1277" i="2"/>
  <c r="T1277" i="2"/>
  <c r="E1279" i="2"/>
  <c r="U1279" i="2"/>
  <c r="Z1285" i="2"/>
  <c r="V1285" i="2"/>
  <c r="R1285" i="2"/>
  <c r="N1285" i="2"/>
  <c r="J1285" i="2"/>
  <c r="F1285" i="2"/>
  <c r="Y1285" i="2"/>
  <c r="U1285" i="2"/>
  <c r="Q1285" i="2"/>
  <c r="M1285" i="2"/>
  <c r="I1285" i="2"/>
  <c r="E1285" i="2"/>
  <c r="X1285" i="2"/>
  <c r="P1285" i="2"/>
  <c r="H1285" i="2"/>
  <c r="W1285" i="2"/>
  <c r="O1285" i="2"/>
  <c r="G1285" i="2"/>
  <c r="AB1285" i="2"/>
  <c r="T1285" i="2"/>
  <c r="L1285" i="2"/>
  <c r="D1285" i="2"/>
  <c r="Z1297" i="2"/>
  <c r="V1297" i="2"/>
  <c r="R1297" i="2"/>
  <c r="N1297" i="2"/>
  <c r="J1297" i="2"/>
  <c r="F1297" i="2"/>
  <c r="Y1297" i="2"/>
  <c r="U1297" i="2"/>
  <c r="Q1297" i="2"/>
  <c r="M1297" i="2"/>
  <c r="I1297" i="2"/>
  <c r="E1297" i="2"/>
  <c r="K1297" i="2"/>
  <c r="S1297" i="2"/>
  <c r="AA1297" i="2"/>
  <c r="G1261" i="2"/>
  <c r="K1261" i="2"/>
  <c r="O1261" i="2"/>
  <c r="S1261" i="2"/>
  <c r="W1261" i="2"/>
  <c r="AA1261" i="2"/>
  <c r="G1265" i="2"/>
  <c r="K1265" i="2"/>
  <c r="O1265" i="2"/>
  <c r="S1265" i="2"/>
  <c r="W1265" i="2"/>
  <c r="AA1265" i="2"/>
  <c r="Z1293" i="2"/>
  <c r="V1293" i="2"/>
  <c r="R1293" i="2"/>
  <c r="N1293" i="2"/>
  <c r="J1293" i="2"/>
  <c r="F1293" i="2"/>
  <c r="Y1293" i="2"/>
  <c r="U1293" i="2"/>
  <c r="Q1293" i="2"/>
  <c r="M1293" i="2"/>
  <c r="I1293" i="2"/>
  <c r="E1293" i="2"/>
  <c r="K1293" i="2"/>
  <c r="S1293" i="2"/>
  <c r="AA1293" i="2"/>
  <c r="D1297" i="2"/>
  <c r="L1297" i="2"/>
  <c r="T1297" i="2"/>
  <c r="AB1297" i="2"/>
  <c r="D1261" i="2"/>
  <c r="H1261" i="2"/>
  <c r="L1261" i="2"/>
  <c r="P1261" i="2"/>
  <c r="T1261" i="2"/>
  <c r="X1261" i="2"/>
  <c r="D1265" i="2"/>
  <c r="H1265" i="2"/>
  <c r="L1265" i="2"/>
  <c r="P1265" i="2"/>
  <c r="T1265" i="2"/>
  <c r="X1265" i="2"/>
  <c r="Z1281" i="2"/>
  <c r="V1281" i="2"/>
  <c r="R1281" i="2"/>
  <c r="N1281" i="2"/>
  <c r="J1281" i="2"/>
  <c r="Y1281" i="2"/>
  <c r="U1281" i="2"/>
  <c r="Q1281" i="2"/>
  <c r="M1281" i="2"/>
  <c r="I1281" i="2"/>
  <c r="E1281" i="2"/>
  <c r="H1281" i="2"/>
  <c r="P1281" i="2"/>
  <c r="X1281" i="2"/>
  <c r="Z1289" i="2"/>
  <c r="V1289" i="2"/>
  <c r="R1289" i="2"/>
  <c r="N1289" i="2"/>
  <c r="J1289" i="2"/>
  <c r="F1289" i="2"/>
  <c r="Y1289" i="2"/>
  <c r="U1289" i="2"/>
  <c r="Q1289" i="2"/>
  <c r="M1289" i="2"/>
  <c r="I1289" i="2"/>
  <c r="E1289" i="2"/>
  <c r="K1289" i="2"/>
  <c r="S1289" i="2"/>
  <c r="AA1289" i="2"/>
  <c r="D1293" i="2"/>
  <c r="L1293" i="2"/>
  <c r="T1293" i="2"/>
  <c r="AB1293" i="2"/>
  <c r="G1297" i="2"/>
  <c r="O1297" i="2"/>
  <c r="W1297" i="2"/>
  <c r="G1283" i="2"/>
  <c r="K1283" i="2"/>
  <c r="O1283" i="2"/>
  <c r="S1283" i="2"/>
  <c r="W1283" i="2"/>
  <c r="AA1283" i="2"/>
  <c r="G1287" i="2"/>
  <c r="K1287" i="2"/>
  <c r="O1287" i="2"/>
  <c r="S1287" i="2"/>
  <c r="W1287" i="2"/>
  <c r="AA1287" i="2"/>
  <c r="G1291" i="2"/>
  <c r="K1291" i="2"/>
  <c r="O1291" i="2"/>
  <c r="S1291" i="2"/>
  <c r="W1291" i="2"/>
  <c r="AA1291" i="2"/>
  <c r="G1295" i="2"/>
  <c r="K1295" i="2"/>
  <c r="O1295" i="2"/>
  <c r="S1295" i="2"/>
  <c r="W1295" i="2"/>
  <c r="AA1295" i="2"/>
  <c r="H1283" i="2"/>
  <c r="L1283" i="2"/>
  <c r="P1283" i="2"/>
  <c r="T1283" i="2"/>
  <c r="X1283" i="2"/>
  <c r="D1287" i="2"/>
  <c r="H1287" i="2"/>
  <c r="L1287" i="2"/>
  <c r="P1287" i="2"/>
  <c r="T1287" i="2"/>
  <c r="X1287" i="2"/>
  <c r="D1291" i="2"/>
  <c r="H1291" i="2"/>
  <c r="L1291" i="2"/>
  <c r="P1291" i="2"/>
  <c r="T1291" i="2"/>
  <c r="X1291" i="2"/>
  <c r="D1295" i="2"/>
  <c r="H1295" i="2"/>
  <c r="L1295" i="2"/>
  <c r="P1295" i="2"/>
  <c r="T1295" i="2"/>
  <c r="X1295" i="2"/>
  <c r="E1001" i="2" l="1"/>
  <c r="F1001" i="2"/>
  <c r="U987" i="2"/>
  <c r="Y987" i="2"/>
  <c r="H987" i="2"/>
  <c r="T987" i="2"/>
  <c r="X987" i="2"/>
  <c r="J987" i="2"/>
  <c r="N987" i="2"/>
  <c r="Z460" i="2"/>
  <c r="O460" i="2"/>
  <c r="I460" i="2"/>
  <c r="T460" i="2"/>
  <c r="AA460" i="2"/>
  <c r="K460" i="2"/>
  <c r="V460" i="2"/>
  <c r="F460" i="2"/>
  <c r="U460" i="2"/>
  <c r="E460" i="2"/>
  <c r="L460" i="2"/>
  <c r="D460" i="2"/>
  <c r="J460" i="2"/>
  <c r="Y460" i="2"/>
  <c r="AB460" i="2"/>
  <c r="W460" i="2"/>
  <c r="G460" i="2"/>
  <c r="R460" i="2"/>
  <c r="Q460" i="2"/>
  <c r="X460" i="2"/>
  <c r="P460" i="2"/>
  <c r="S460" i="2"/>
  <c r="N460" i="2"/>
  <c r="M460" i="2"/>
  <c r="H460" i="2"/>
  <c r="AB178" i="2"/>
  <c r="P178" i="2"/>
  <c r="G865" i="2"/>
  <c r="Q865" i="2"/>
  <c r="S865" i="2"/>
  <c r="I865" i="2"/>
  <c r="H865" i="2"/>
  <c r="W865" i="2"/>
  <c r="N865" i="2"/>
  <c r="M865" i="2"/>
  <c r="O865" i="2"/>
  <c r="Y865" i="2"/>
  <c r="X865" i="2"/>
  <c r="AB865" i="2"/>
  <c r="F865" i="2"/>
  <c r="K865" i="2"/>
  <c r="T865" i="2"/>
  <c r="R865" i="2"/>
  <c r="V865" i="2"/>
  <c r="U865" i="2"/>
  <c r="J1238" i="2"/>
  <c r="E1238" i="2"/>
  <c r="S1238" i="2"/>
  <c r="F1238" i="2"/>
  <c r="X1238" i="2"/>
  <c r="AA1238" i="2"/>
  <c r="H1238" i="2"/>
  <c r="M1238" i="2"/>
  <c r="Z1238" i="2"/>
  <c r="G663" i="2"/>
  <c r="P663" i="2"/>
  <c r="T663" i="2"/>
  <c r="Y663" i="2"/>
  <c r="K663" i="2"/>
  <c r="W663" i="2"/>
  <c r="O663" i="2"/>
  <c r="H663" i="2"/>
  <c r="X663" i="2"/>
  <c r="V663" i="2"/>
  <c r="Q663" i="2"/>
  <c r="J663" i="2"/>
  <c r="Z663" i="2"/>
  <c r="E663" i="2"/>
  <c r="M663" i="2"/>
  <c r="AA663" i="2"/>
  <c r="N663" i="2"/>
  <c r="U663" i="2"/>
  <c r="S663" i="2"/>
  <c r="L663" i="2"/>
  <c r="AB663" i="2"/>
  <c r="R663" i="2"/>
  <c r="I663" i="2"/>
  <c r="J1017" i="2"/>
  <c r="R1017" i="2"/>
  <c r="N1017" i="2"/>
  <c r="P1017" i="2"/>
  <c r="M1017" i="2"/>
  <c r="AA1017" i="2"/>
  <c r="Q1017" i="2"/>
  <c r="Z1017" i="2"/>
  <c r="D1017" i="2"/>
  <c r="F1017" i="2"/>
  <c r="L1017" i="2"/>
  <c r="W1017" i="2"/>
  <c r="G1017" i="2"/>
  <c r="AB1017" i="2"/>
  <c r="V1017" i="2"/>
  <c r="L178" i="2"/>
  <c r="AA178" i="2"/>
  <c r="F212" i="2"/>
  <c r="X919" i="2"/>
  <c r="T1238" i="2"/>
  <c r="AB1238" i="2"/>
  <c r="Q1238" i="2"/>
  <c r="U1179" i="2"/>
  <c r="H1017" i="2"/>
  <c r="O1017" i="2"/>
  <c r="X1017" i="2"/>
  <c r="E1017" i="2"/>
  <c r="U1017" i="2"/>
  <c r="Y1017" i="2"/>
  <c r="Q178" i="2"/>
  <c r="Z178" i="2"/>
  <c r="T178" i="2"/>
  <c r="Q1155" i="2"/>
  <c r="F1155" i="2"/>
  <c r="Y1155" i="2"/>
  <c r="I1155" i="2"/>
  <c r="V1155" i="2"/>
  <c r="M1155" i="2"/>
  <c r="N1001" i="2"/>
  <c r="J1001" i="2"/>
  <c r="D713" i="2"/>
  <c r="T713" i="2"/>
  <c r="Q713" i="2"/>
  <c r="V713" i="2"/>
  <c r="F713" i="2"/>
  <c r="Z713" i="2"/>
  <c r="L713" i="2"/>
  <c r="O713" i="2"/>
  <c r="I713" i="2"/>
  <c r="Y713" i="2"/>
  <c r="AB713" i="2"/>
  <c r="N713" i="2"/>
  <c r="D967" i="2"/>
  <c r="I967" i="2"/>
  <c r="Y967" i="2"/>
  <c r="E967" i="2"/>
  <c r="T967" i="2"/>
  <c r="K967" i="2"/>
  <c r="O967" i="2"/>
  <c r="Q967" i="2"/>
  <c r="AA967" i="2"/>
  <c r="U967" i="2"/>
  <c r="P967" i="2"/>
  <c r="L919" i="2"/>
  <c r="AA919" i="2"/>
  <c r="S919" i="2"/>
  <c r="J919" i="2"/>
  <c r="Z895" i="2"/>
  <c r="O895" i="2"/>
  <c r="N895" i="2"/>
  <c r="E895" i="2"/>
  <c r="U895" i="2"/>
  <c r="Y895" i="2"/>
  <c r="V895" i="2"/>
  <c r="L1238" i="2"/>
  <c r="P1238" i="2"/>
  <c r="U1238" i="2"/>
  <c r="R1238" i="2"/>
  <c r="I1238" i="2"/>
  <c r="D1238" i="2"/>
  <c r="Y1238" i="2"/>
  <c r="D1155" i="2"/>
  <c r="X1298" i="2"/>
  <c r="Z1298" i="2"/>
  <c r="R967" i="2"/>
  <c r="P1179" i="2"/>
  <c r="AB1179" i="2"/>
  <c r="N1179" i="2"/>
  <c r="L895" i="2"/>
  <c r="U713" i="2"/>
  <c r="I919" i="2"/>
  <c r="O1238" i="2"/>
  <c r="E1155" i="2"/>
  <c r="K1017" i="2"/>
  <c r="J1155" i="2"/>
  <c r="S1155" i="2"/>
  <c r="H1155" i="2"/>
  <c r="X1155" i="2"/>
  <c r="S1298" i="2"/>
  <c r="K1298" i="2"/>
  <c r="W1298" i="2"/>
  <c r="E1298" i="2"/>
  <c r="U1298" i="2"/>
  <c r="N1298" i="2"/>
  <c r="X967" i="2"/>
  <c r="F967" i="2"/>
  <c r="V967" i="2"/>
  <c r="D1179" i="2"/>
  <c r="G1179" i="2"/>
  <c r="I1179" i="2"/>
  <c r="Y1179" i="2"/>
  <c r="R1179" i="2"/>
  <c r="I895" i="2"/>
  <c r="F895" i="2"/>
  <c r="AA895" i="2"/>
  <c r="W895" i="2"/>
  <c r="P895" i="2"/>
  <c r="H713" i="2"/>
  <c r="S713" i="2"/>
  <c r="L1001" i="2"/>
  <c r="P713" i="2"/>
  <c r="N919" i="2"/>
  <c r="R919" i="2"/>
  <c r="D919" i="2"/>
  <c r="Z919" i="2"/>
  <c r="V919" i="2"/>
  <c r="M919" i="2"/>
  <c r="N178" i="2"/>
  <c r="O178" i="2"/>
  <c r="E178" i="2"/>
  <c r="U178" i="2"/>
  <c r="J178" i="2"/>
  <c r="Y203" i="2"/>
  <c r="Y212" i="2" s="1"/>
  <c r="U203" i="2"/>
  <c r="U212" i="2" s="1"/>
  <c r="Q203" i="2"/>
  <c r="Q212" i="2" s="1"/>
  <c r="M203" i="2"/>
  <c r="M212" i="2" s="1"/>
  <c r="I203" i="2"/>
  <c r="E203" i="2"/>
  <c r="AB203" i="2"/>
  <c r="X203" i="2"/>
  <c r="X212" i="2" s="1"/>
  <c r="T203" i="2"/>
  <c r="T212" i="2" s="1"/>
  <c r="P203" i="2"/>
  <c r="L203" i="2"/>
  <c r="L212" i="2" s="1"/>
  <c r="H203" i="2"/>
  <c r="H212" i="2" s="1"/>
  <c r="D203" i="2"/>
  <c r="D212" i="2" s="1"/>
  <c r="AA203" i="2"/>
  <c r="W203" i="2"/>
  <c r="W212" i="2" s="1"/>
  <c r="S203" i="2"/>
  <c r="S212" i="2" s="1"/>
  <c r="O203" i="2"/>
  <c r="K203" i="2"/>
  <c r="G203" i="2"/>
  <c r="G212" i="2" s="1"/>
  <c r="Z203" i="2"/>
  <c r="J203" i="2"/>
  <c r="F9" i="3"/>
  <c r="F10" i="3" s="1"/>
  <c r="F11" i="3" s="1"/>
  <c r="N203" i="2"/>
  <c r="N212" i="2" s="1"/>
  <c r="V203" i="2"/>
  <c r="V212" i="2" s="1"/>
  <c r="F203" i="2"/>
  <c r="R203" i="2"/>
  <c r="AB31" i="2"/>
  <c r="X31" i="2"/>
  <c r="T31" i="2"/>
  <c r="P31" i="2"/>
  <c r="L31" i="2"/>
  <c r="H31" i="2"/>
  <c r="D31" i="2"/>
  <c r="W31" i="2"/>
  <c r="O31" i="2"/>
  <c r="G31" i="2"/>
  <c r="Y31" i="2"/>
  <c r="Q31" i="2"/>
  <c r="M31" i="2"/>
  <c r="I31" i="2"/>
  <c r="E31" i="2"/>
  <c r="AA31" i="2"/>
  <c r="S31" i="2"/>
  <c r="K31" i="2"/>
  <c r="U31" i="2"/>
  <c r="Z31" i="2"/>
  <c r="V31" i="2"/>
  <c r="R31" i="2"/>
  <c r="N31" i="2"/>
  <c r="J31" i="2"/>
  <c r="F31" i="2"/>
  <c r="T1155" i="2"/>
  <c r="T1298" i="2"/>
  <c r="J1298" i="2"/>
  <c r="E1179" i="2"/>
  <c r="R895" i="2"/>
  <c r="M713" i="2"/>
  <c r="G919" i="2"/>
  <c r="P919" i="2"/>
  <c r="K1238" i="2"/>
  <c r="G1155" i="2"/>
  <c r="AB1155" i="2"/>
  <c r="AA1298" i="2"/>
  <c r="Y1298" i="2"/>
  <c r="J967" i="2"/>
  <c r="L967" i="2"/>
  <c r="AB967" i="2"/>
  <c r="N1155" i="2"/>
  <c r="S1179" i="2"/>
  <c r="K1179" i="2"/>
  <c r="L1179" i="2"/>
  <c r="O1179" i="2"/>
  <c r="M1179" i="2"/>
  <c r="F1179" i="2"/>
  <c r="V1179" i="2"/>
  <c r="S895" i="2"/>
  <c r="K895" i="2"/>
  <c r="G895" i="2"/>
  <c r="D895" i="2"/>
  <c r="T895" i="2"/>
  <c r="X713" i="2"/>
  <c r="G713" i="2"/>
  <c r="W713" i="2"/>
  <c r="J713" i="2"/>
  <c r="AB919" i="2"/>
  <c r="F919" i="2"/>
  <c r="Q919" i="2"/>
  <c r="S178" i="2"/>
  <c r="I178" i="2"/>
  <c r="Y178" i="2"/>
  <c r="V178" i="2"/>
  <c r="AB23" i="2"/>
  <c r="X23" i="2"/>
  <c r="T23" i="2"/>
  <c r="P23" i="2"/>
  <c r="L23" i="2"/>
  <c r="H23" i="2"/>
  <c r="D23" i="2"/>
  <c r="W23" i="2"/>
  <c r="O23" i="2"/>
  <c r="G23" i="2"/>
  <c r="U23" i="2"/>
  <c r="M23" i="2"/>
  <c r="E23" i="2"/>
  <c r="AA23" i="2"/>
  <c r="AA162" i="2" s="1"/>
  <c r="S23" i="2"/>
  <c r="K23" i="2"/>
  <c r="Y23" i="2"/>
  <c r="Q23" i="2"/>
  <c r="Q162" i="2" s="1"/>
  <c r="I23" i="2"/>
  <c r="Z23" i="2"/>
  <c r="V23" i="2"/>
  <c r="R23" i="2"/>
  <c r="N23" i="2"/>
  <c r="J23" i="2"/>
  <c r="F23" i="2"/>
  <c r="R178" i="2"/>
  <c r="R1155" i="2"/>
  <c r="O1155" i="2"/>
  <c r="L1298" i="2"/>
  <c r="O1298" i="2"/>
  <c r="Q1298" i="2"/>
  <c r="H967" i="2"/>
  <c r="X1179" i="2"/>
  <c r="AB895" i="2"/>
  <c r="T919" i="2"/>
  <c r="Y919" i="2"/>
  <c r="K178" i="2"/>
  <c r="W1155" i="2"/>
  <c r="L1155" i="2"/>
  <c r="AB1298" i="2"/>
  <c r="H1298" i="2"/>
  <c r="I1298" i="2"/>
  <c r="R1298" i="2"/>
  <c r="S967" i="2"/>
  <c r="Z967" i="2"/>
  <c r="I1017" i="2"/>
  <c r="W1238" i="2"/>
  <c r="G1238" i="2"/>
  <c r="U1155" i="2"/>
  <c r="S1017" i="2"/>
  <c r="Z1155" i="2"/>
  <c r="K1155" i="2"/>
  <c r="AA1155" i="2"/>
  <c r="P1155" i="2"/>
  <c r="D1298" i="2"/>
  <c r="G1298" i="2"/>
  <c r="P1298" i="2"/>
  <c r="M1298" i="2"/>
  <c r="F1298" i="2"/>
  <c r="V1298" i="2"/>
  <c r="T1017" i="2"/>
  <c r="G967" i="2"/>
  <c r="W967" i="2"/>
  <c r="M967" i="2"/>
  <c r="N967" i="2"/>
  <c r="H1179" i="2"/>
  <c r="AA1179" i="2"/>
  <c r="T1179" i="2"/>
  <c r="W1179" i="2"/>
  <c r="Q1179" i="2"/>
  <c r="J1179" i="2"/>
  <c r="Z1179" i="2"/>
  <c r="J895" i="2"/>
  <c r="Q895" i="2"/>
  <c r="M895" i="2"/>
  <c r="H895" i="2"/>
  <c r="X895" i="2"/>
  <c r="R713" i="2"/>
  <c r="K713" i="2"/>
  <c r="AA713" i="2"/>
  <c r="E713" i="2"/>
  <c r="W919" i="2"/>
  <c r="H919" i="2"/>
  <c r="O919" i="2"/>
  <c r="K919" i="2"/>
  <c r="E919" i="2"/>
  <c r="U919" i="2"/>
  <c r="F162" i="2"/>
  <c r="G178" i="2"/>
  <c r="W178" i="2"/>
  <c r="H178" i="2"/>
  <c r="X178" i="2"/>
  <c r="M178" i="2"/>
  <c r="F178" i="2"/>
  <c r="S162" i="2" l="1"/>
  <c r="J162" i="2"/>
  <c r="Z162" i="2"/>
  <c r="M162" i="2"/>
  <c r="W162" i="2"/>
  <c r="P162" i="2"/>
  <c r="V162" i="2"/>
  <c r="O162" i="2"/>
  <c r="L162" i="2"/>
  <c r="AB162" i="2"/>
  <c r="K162" i="2"/>
  <c r="I4" i="3" s="1"/>
  <c r="I5" i="3" s="1"/>
  <c r="I6" i="3" s="1"/>
  <c r="I162" i="2"/>
  <c r="G4" i="3" s="1"/>
  <c r="G5" i="3" s="1"/>
  <c r="G6" i="3" s="1"/>
  <c r="R162" i="2"/>
  <c r="O4" i="3" s="1"/>
  <c r="O5" i="3" s="1"/>
  <c r="O6" i="3" s="1"/>
  <c r="G162" i="2"/>
  <c r="E4" i="3" s="1"/>
  <c r="E5" i="3" s="1"/>
  <c r="E6" i="3" s="1"/>
  <c r="H162" i="2"/>
  <c r="F4" i="3" s="1"/>
  <c r="X162" i="2"/>
  <c r="T4" i="3" s="1"/>
  <c r="T5" i="3" s="1"/>
  <c r="T6" i="3" s="1"/>
  <c r="D162" i="2"/>
  <c r="B4" i="3" s="1"/>
  <c r="B5" i="3" s="1"/>
  <c r="B6" i="3" s="1"/>
  <c r="Y162" i="2"/>
  <c r="U4" i="3" s="1"/>
  <c r="U5" i="3" s="1"/>
  <c r="U6" i="3" s="1"/>
  <c r="E162" i="2"/>
  <c r="C4" i="3" s="1"/>
  <c r="C5" i="3" s="1"/>
  <c r="C6" i="3" s="1"/>
  <c r="N162" i="2"/>
  <c r="L4" i="3" s="1"/>
  <c r="L5" i="3" s="1"/>
  <c r="L6" i="3" s="1"/>
  <c r="U162" i="2"/>
  <c r="Q4" i="3" s="1"/>
  <c r="Q5" i="3" s="1"/>
  <c r="Q6" i="3" s="1"/>
  <c r="T162" i="2"/>
  <c r="P4" i="3" s="1"/>
  <c r="P5" i="3" s="1"/>
  <c r="P6" i="3" s="1"/>
  <c r="J4" i="3"/>
  <c r="J5" i="3" s="1"/>
  <c r="J6" i="3" s="1"/>
  <c r="R4" i="3"/>
  <c r="R5" i="3" s="1"/>
  <c r="R6" i="3" s="1"/>
  <c r="N4" i="3"/>
  <c r="N5" i="3" s="1"/>
  <c r="N6" i="3" s="1"/>
  <c r="D4" i="3"/>
  <c r="D5" i="3" s="1"/>
  <c r="D6" i="3" s="1"/>
  <c r="M4" i="3"/>
  <c r="M5" i="3" s="1"/>
  <c r="M6" i="3" s="1"/>
  <c r="S4" i="3"/>
  <c r="S5" i="3" s="1"/>
  <c r="S6" i="3" s="1"/>
  <c r="K4" i="3"/>
  <c r="K5" i="3" s="1"/>
  <c r="K6" i="3" s="1"/>
  <c r="V4" i="3"/>
  <c r="V5" i="3" s="1"/>
  <c r="V6" i="3" s="1"/>
  <c r="H4" i="3"/>
  <c r="H5" i="3" s="1"/>
  <c r="H6" i="3" s="1"/>
  <c r="F5" i="3" l="1"/>
  <c r="F6" i="3" s="1"/>
</calcChain>
</file>

<file path=xl/sharedStrings.xml><?xml version="1.0" encoding="utf-8"?>
<sst xmlns="http://schemas.openxmlformats.org/spreadsheetml/2006/main" count="1503" uniqueCount="643">
  <si>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</si>
  <si>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</si>
  <si>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</si>
  <si>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</si>
  <si>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</si>
  <si>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</si>
  <si>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</si>
  <si>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</si>
  <si>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</si>
  <si>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</si>
  <si>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</si>
  <si>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</si>
  <si>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</si>
  <si>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</si>
  <si>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</si>
  <si>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</si>
  <si>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</si>
  <si>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</si>
  <si>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</si>
  <si>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</si>
  <si>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</si>
  <si>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</si>
  <si>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</si>
  <si>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</si>
  <si>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</si>
  <si>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</si>
  <si>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</si>
  <si>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</si>
  <si>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</si>
  <si>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</si>
  <si>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</si>
  <si>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</si>
  <si>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</si>
  <si>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</si>
  <si>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</si>
  <si>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</si>
  <si>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</si>
  <si>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</si>
  <si>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</si>
  <si>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</si>
  <si>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</si>
  <si>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</si>
  <si>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</si>
  <si>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</si>
  <si>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</si>
  <si>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</si>
  <si>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</si>
  <si>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</si>
  <si>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</si>
  <si>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</si>
  <si>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</si>
  <si>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Potomac-Appalachian Transmission Highline, L.L.C. (PATH)</t>
  </si>
  <si>
    <t>b0490</t>
  </si>
  <si>
    <t>b0491</t>
  </si>
  <si>
    <t>b0492</t>
  </si>
  <si>
    <t>b0560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</si>
  <si>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</si>
  <si>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</si>
  <si>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</si>
  <si>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</si>
  <si>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</si>
  <si>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</si>
  <si>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</si>
  <si>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</si>
  <si>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</si>
  <si>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</si>
  <si>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</si>
  <si>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</si>
  <si>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</si>
  <si>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</si>
  <si>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</si>
  <si>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</si>
  <si>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</si>
  <si>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</si>
  <si>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</si>
  <si>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</si>
  <si>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</si>
  <si>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</si>
  <si>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</si>
  <si>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</si>
  <si>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</si>
  <si>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</si>
  <si>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</si>
  <si>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</si>
  <si>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</si>
  <si>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</si>
  <si>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</si>
  <si>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</si>
  <si>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</si>
  <si>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</si>
  <si>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</si>
  <si>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</si>
  <si>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</si>
  <si>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</si>
  <si>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</si>
  <si>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</si>
  <si>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</si>
  <si>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</si>
  <si>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</si>
  <si>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</si>
  <si>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</si>
  <si>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</si>
  <si>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</si>
  <si>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</si>
  <si>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</si>
  <si>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</si>
  <si>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</si>
  <si>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</si>
  <si>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</si>
  <si>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</si>
  <si>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b0664-665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</si>
  <si>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</si>
  <si>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</si>
  <si>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</si>
  <si>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</si>
  <si>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</si>
  <si>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</si>
  <si>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</si>
  <si>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</si>
  <si>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</si>
  <si>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</si>
  <si>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</si>
  <si>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</si>
  <si>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</si>
  <si>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</si>
  <si>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</si>
  <si>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</si>
  <si>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</si>
  <si>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</si>
  <si>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</si>
  <si>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</si>
  <si>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</si>
  <si>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</si>
  <si>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</si>
  <si>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</si>
  <si>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</si>
  <si>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</si>
  <si>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</si>
  <si>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</si>
  <si>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</si>
  <si>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</si>
  <si>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</si>
  <si>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</si>
  <si>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</si>
  <si>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</si>
  <si>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</si>
  <si>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</si>
  <si>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</si>
  <si>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</si>
  <si>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</si>
  <si>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</si>
  <si>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</si>
  <si>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</si>
  <si>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</si>
  <si>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</si>
  <si>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</si>
  <si>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</si>
  <si>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</si>
  <si>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</si>
  <si>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</si>
  <si>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</si>
  <si>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</si>
  <si>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</si>
  <si>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</si>
  <si>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</si>
  <si>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</si>
  <si>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</si>
  <si>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</si>
  <si>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</si>
  <si>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</si>
  <si>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</si>
  <si>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</si>
  <si>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</si>
  <si>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</si>
  <si>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</si>
  <si>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</si>
  <si>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</si>
  <si>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</si>
  <si>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</si>
  <si>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</si>
  <si>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</si>
  <si>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</si>
  <si>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</si>
  <si>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</si>
  <si>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</si>
  <si>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</si>
  <si>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</si>
  <si>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</si>
  <si>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</si>
  <si>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</si>
  <si>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</si>
  <si>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</si>
  <si>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</si>
  <si>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</si>
  <si>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</si>
  <si>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</si>
  <si>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</si>
  <si>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</si>
  <si>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</si>
  <si>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</si>
  <si>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</si>
  <si>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</si>
  <si>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</si>
  <si>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</si>
  <si>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</si>
  <si>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</si>
  <si>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</si>
  <si>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</si>
  <si>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</si>
  <si>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</si>
  <si>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b2018</t>
  </si>
  <si>
    <t>b1661</t>
  </si>
  <si>
    <t>b1255</t>
  </si>
  <si>
    <t>b1588</t>
  </si>
  <si>
    <t>b2436.21</t>
  </si>
  <si>
    <t>b2436.22</t>
  </si>
  <si>
    <t>b2436.81</t>
  </si>
  <si>
    <t>b2436.83</t>
  </si>
  <si>
    <t>b2436.90</t>
  </si>
  <si>
    <t>b2437.10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</si>
  <si>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</si>
  <si>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</si>
  <si>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</si>
  <si>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</si>
  <si>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</si>
  <si>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</si>
  <si>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</si>
  <si>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</si>
  <si>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</si>
  <si>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</si>
  <si>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</si>
  <si>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</si>
  <si>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</si>
  <si>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</si>
  <si>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</si>
  <si>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</si>
  <si>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</si>
  <si>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</si>
  <si>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</si>
  <si>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</si>
  <si>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</si>
  <si>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</si>
  <si>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</si>
  <si>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</si>
  <si>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</si>
  <si>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</si>
  <si>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</si>
  <si>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</si>
  <si>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</si>
  <si>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</si>
  <si>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</si>
  <si>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</si>
  <si>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</si>
  <si>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</si>
  <si>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</si>
  <si>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</si>
  <si>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</si>
  <si>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</si>
  <si>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</si>
  <si>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</si>
  <si>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</si>
  <si>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</si>
  <si>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</si>
  <si>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</si>
  <si>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</si>
  <si>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</si>
  <si>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</si>
  <si>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</si>
  <si>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</si>
  <si>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</si>
  <si>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</si>
  <si>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</si>
  <si>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</si>
  <si>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</si>
  <si>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</si>
  <si>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</si>
  <si>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</si>
  <si>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</si>
  <si>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</si>
  <si>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</si>
  <si>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</si>
  <si>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b2436.10</t>
  </si>
  <si>
    <t>b2436.84</t>
  </si>
  <si>
    <t>b2436.85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</si>
  <si>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</si>
  <si>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</si>
  <si>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</si>
  <si>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</si>
  <si>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</si>
  <si>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</si>
  <si>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</si>
  <si>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</si>
  <si>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</si>
  <si>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</si>
  <si>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</si>
  <si>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</si>
  <si>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</si>
  <si>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</si>
  <si>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</si>
  <si>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</si>
  <si>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</si>
  <si>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</si>
  <si>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</si>
  <si>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</si>
  <si>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b1023.3</t>
  </si>
  <si>
    <t>b1905.1</t>
  </si>
  <si>
    <t>b1905.5</t>
  </si>
  <si>
    <t>b1696</t>
  </si>
  <si>
    <t>b2373</t>
  </si>
  <si>
    <t>b1712.1</t>
  </si>
  <si>
    <t>b1465.1</t>
  </si>
  <si>
    <t>b2230</t>
  </si>
  <si>
    <t>b2423</t>
  </si>
  <si>
    <t>b2230_dfax</t>
  </si>
  <si>
    <t>b2423_dfax</t>
  </si>
  <si>
    <t>b0497</t>
  </si>
  <si>
    <t>b1016</t>
  </si>
  <si>
    <t>b1251</t>
  </si>
  <si>
    <t>b1804</t>
  </si>
  <si>
    <t>b2261</t>
  </si>
  <si>
    <t>b2494</t>
  </si>
  <si>
    <t>s1041</t>
  </si>
  <si>
    <t>Required Transmission Enhancements owned by:  Jersey Central Power &amp; Light (Transmission)</t>
  </si>
  <si>
    <t>b0174</t>
  </si>
  <si>
    <t>b0268</t>
  </si>
  <si>
    <t>b0726</t>
  </si>
  <si>
    <t>b2015</t>
  </si>
  <si>
    <t>b1608</t>
  </si>
  <si>
    <t>b0674</t>
  </si>
  <si>
    <t>b0674.1</t>
  </si>
  <si>
    <t>Required Transmission Enhancements owned by: Mid-Atlantic Interstate Transmission, LLC</t>
  </si>
  <si>
    <t>b0215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</si>
  <si>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</si>
  <si>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</si>
  <si>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</si>
  <si>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</si>
  <si>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</si>
  <si>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</si>
  <si>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</si>
  <si>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</si>
  <si>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</si>
  <si>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</si>
  <si>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</si>
  <si>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</si>
  <si>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</si>
  <si>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</si>
  <si>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</si>
  <si>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</si>
  <si>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</si>
  <si>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</si>
  <si>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</si>
  <si>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</si>
  <si>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</si>
  <si>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</si>
  <si>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</si>
  <si>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</si>
  <si>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</si>
  <si>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</si>
  <si>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</si>
  <si>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</si>
  <si>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</si>
  <si>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</si>
  <si>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</si>
  <si>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</si>
  <si>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</si>
  <si>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Required Transmission Enhancements owned by: American Transmission Systems, Inc.</t>
  </si>
  <si>
    <t>b1587</t>
  </si>
  <si>
    <t>b1920</t>
  </si>
  <si>
    <t>b1977</t>
  </si>
  <si>
    <t>b1959</t>
  </si>
  <si>
    <t>b1589</t>
  </si>
  <si>
    <t>b2146</t>
  </si>
  <si>
    <t>b2702</t>
  </si>
  <si>
    <t>b2743.5</t>
  </si>
  <si>
    <t>b2743.1.</t>
  </si>
  <si>
    <t>b2752.5</t>
  </si>
  <si>
    <t>b2752.1</t>
  </si>
  <si>
    <t>b2687.1</t>
  </si>
  <si>
    <t>b2702_dfax</t>
  </si>
  <si>
    <t>b2687.2</t>
  </si>
  <si>
    <t>b2687.1_dfax</t>
  </si>
  <si>
    <t>b2687.2_dfax</t>
  </si>
  <si>
    <t>b1905.3</t>
  </si>
  <si>
    <t>b1905.4</t>
  </si>
  <si>
    <t>b2744</t>
  </si>
  <si>
    <t>b2744_dfax</t>
  </si>
  <si>
    <t>highlighted rows</t>
  </si>
  <si>
    <t>b2587</t>
  </si>
  <si>
    <t>b1251.1</t>
  </si>
  <si>
    <t>b2006</t>
  </si>
  <si>
    <t>b2006.1</t>
  </si>
  <si>
    <t>b2237</t>
  </si>
  <si>
    <t>b2728</t>
  </si>
  <si>
    <t>b1398.8</t>
  </si>
  <si>
    <t>b0287</t>
  </si>
  <si>
    <t>b0208</t>
  </si>
  <si>
    <t>b2237_dfax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</si>
  <si>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</si>
  <si>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</si>
  <si>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</si>
  <si>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</si>
  <si>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</si>
  <si>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</si>
  <si>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</si>
  <si>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</si>
  <si>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b0495_dfax</t>
  </si>
  <si>
    <t>b1803_dfax</t>
  </si>
  <si>
    <t>b1804_dfax</t>
  </si>
  <si>
    <t>b0376_dfax</t>
  </si>
  <si>
    <t>b0217_dfax</t>
  </si>
  <si>
    <t>b0222_dfax</t>
  </si>
  <si>
    <t>b0328.3_dfax</t>
  </si>
  <si>
    <t>b0328.4_dfax</t>
  </si>
  <si>
    <t>b0231_dfax</t>
  </si>
  <si>
    <t>b0837_dfax</t>
  </si>
  <si>
    <t>b0329.2B_dfax</t>
  </si>
  <si>
    <t>b1507_dfax</t>
  </si>
  <si>
    <t>b0457_dfax</t>
  </si>
  <si>
    <t>b0784_dfax</t>
  </si>
  <si>
    <t>b1647_dfax</t>
  </si>
  <si>
    <t>b1648_dfax</t>
  </si>
  <si>
    <t>b1649_dfax</t>
  </si>
  <si>
    <t>b1650_dfax</t>
  </si>
  <si>
    <t>b1188_dfax</t>
  </si>
  <si>
    <t>b0756.1_dfax</t>
  </si>
  <si>
    <t>b1797_dfax</t>
  </si>
  <si>
    <t>b1799_dfax</t>
  </si>
  <si>
    <t>b1798_dfax</t>
  </si>
  <si>
    <t>b1805_dfax</t>
  </si>
  <si>
    <t>b1906.1_dfax</t>
  </si>
  <si>
    <t>b1908_dfax</t>
  </si>
  <si>
    <t>b1905.2_dfax</t>
  </si>
  <si>
    <t>b1694_dfax</t>
  </si>
  <si>
    <t>b1905.1_dfax</t>
  </si>
  <si>
    <t>b0498_dfax</t>
  </si>
  <si>
    <t>b0489_dfax</t>
  </si>
  <si>
    <t>b0172.2_dfax</t>
  </si>
  <si>
    <t>b0489.5-9_dfax</t>
  </si>
  <si>
    <t>b1410-1415_dfax</t>
  </si>
  <si>
    <t>b0290_dfax</t>
  </si>
  <si>
    <t>b0487_dfax</t>
  </si>
  <si>
    <t>b0171.2_dfax</t>
  </si>
  <si>
    <t>b0172.1_dfax</t>
  </si>
  <si>
    <t>b0284.2_dfax</t>
  </si>
  <si>
    <t>b2006.1_dfax</t>
  </si>
  <si>
    <t>b0504_dfax</t>
  </si>
  <si>
    <t>b1465.2_dfax</t>
  </si>
  <si>
    <t>b1465.4_dfax</t>
  </si>
  <si>
    <t>b1465.3_dfax</t>
  </si>
  <si>
    <t>b1659.14_dfax</t>
  </si>
  <si>
    <t>b1661_dfax</t>
  </si>
  <si>
    <t>b1962_dfax</t>
  </si>
  <si>
    <t>b1663.2_dfax</t>
  </si>
  <si>
    <t>b1659.13_dfax</t>
  </si>
  <si>
    <t>b0210.A_dfax</t>
  </si>
  <si>
    <t>b0272.1_dfax</t>
  </si>
  <si>
    <t>b0751_dfax</t>
  </si>
  <si>
    <t>b0512.7_dfax</t>
  </si>
  <si>
    <t>b0512.8_dfax</t>
  </si>
  <si>
    <t>b0512.9_dfax</t>
  </si>
  <si>
    <t>b0512.12_dfax</t>
  </si>
  <si>
    <t>b0549_dfax</t>
  </si>
  <si>
    <t>b0269_dfax</t>
  </si>
  <si>
    <t>b0269.6_dfax</t>
  </si>
  <si>
    <t>b0171.1_dfax</t>
  </si>
  <si>
    <t>b0287_dfax</t>
  </si>
  <si>
    <t>b1800_dfax</t>
  </si>
  <si>
    <t>b1660_dfax</t>
  </si>
  <si>
    <t>b0490-b0491_dfax</t>
  </si>
  <si>
    <t>b0492-b0560_dfax</t>
  </si>
  <si>
    <t>b2373_dfax</t>
  </si>
  <si>
    <t>b1465.5</t>
  </si>
  <si>
    <t>b1465.5_dfax</t>
  </si>
  <si>
    <t>b2831.1</t>
  </si>
  <si>
    <t>b2833</t>
  </si>
  <si>
    <t>b2972</t>
  </si>
  <si>
    <t>MISO</t>
  </si>
  <si>
    <t>b1905.6</t>
  </si>
  <si>
    <t>b1905.7</t>
  </si>
  <si>
    <t>b1905.9</t>
  </si>
  <si>
    <t>b2582</t>
  </si>
  <si>
    <t>b2665</t>
  </si>
  <si>
    <t>b2758</t>
  </si>
  <si>
    <t>$/MW (per year)</t>
  </si>
  <si>
    <t>Total Monthly Network Customer Credits</t>
  </si>
  <si>
    <t>Total Monthly Charges</t>
  </si>
  <si>
    <t>Zone</t>
  </si>
  <si>
    <t>$/MW (per month)*</t>
  </si>
  <si>
    <t>*The monthly rate applies to an LSE’s monthly MW total in a zone divided by the number of days in a month</t>
  </si>
  <si>
    <t>b2694</t>
  </si>
  <si>
    <t>b2824</t>
  </si>
  <si>
    <t>b2716</t>
  </si>
  <si>
    <t>b2716_dfax</t>
  </si>
  <si>
    <t>OVEC</t>
  </si>
  <si>
    <t>b2743.2</t>
  </si>
  <si>
    <t>b2743.3</t>
  </si>
  <si>
    <t>b2743.4</t>
  </si>
  <si>
    <t>b0132.3</t>
  </si>
  <si>
    <t>b1364</t>
  </si>
  <si>
    <t>b1362</t>
  </si>
  <si>
    <t>b1816.4</t>
  </si>
  <si>
    <t>b2688.1</t>
  </si>
  <si>
    <t>b2124.4</t>
  </si>
  <si>
    <t>b2124.1</t>
  </si>
  <si>
    <t>b2124.2</t>
  </si>
  <si>
    <t>b2729</t>
  </si>
  <si>
    <t>b2955</t>
  </si>
  <si>
    <t>Required Transmission Enhancements owned by:  Transource West Virginia, LLC</t>
  </si>
  <si>
    <t>Required Transmission Enhancements owned by:  Transource Maryland, LLC</t>
  </si>
  <si>
    <t>Required Transmission Enhancements owned by:  Transource Pennsylvania, LLC</t>
  </si>
  <si>
    <t>New project</t>
  </si>
  <si>
    <t>Required Transmission Enhancements owned by:  Silver Run Electric, Inc.</t>
  </si>
  <si>
    <t>Transmission Enhancement Charges (PJM OATT Schedule 12) Settlement Worksheet</t>
  </si>
  <si>
    <t>b2633.4</t>
  </si>
  <si>
    <t>b2633.4_dfax</t>
  </si>
  <si>
    <t>b2633.5</t>
  </si>
  <si>
    <t>b2633.1-b2633.2</t>
  </si>
  <si>
    <t>Required Transmission Enhancements owned by:  Duquesne Light Company's Network Customers</t>
  </si>
  <si>
    <t>b2971</t>
  </si>
  <si>
    <t>b2973</t>
  </si>
  <si>
    <t>b2974</t>
  </si>
  <si>
    <t>b2975</t>
  </si>
  <si>
    <t>Required Transmission Enhancements owned by:  Northern Indiana Public Service Company (NIPSCO) in Midcontinent Independent System Operator, Inc. (MISO)</t>
  </si>
  <si>
    <t>b2824_dfax</t>
  </si>
  <si>
    <t>Required Transmission Enhancements owned by:  AEP East Operating Companies and AEP Transmission Companies</t>
  </si>
  <si>
    <t>b1570</t>
  </si>
  <si>
    <t>Required Transmission Enhancements owned by:  The Dayton Power &amp; Light Company</t>
  </si>
  <si>
    <t>b2552.2</t>
  </si>
  <si>
    <t>b2944</t>
  </si>
  <si>
    <t>b0210.1</t>
  </si>
  <si>
    <t>b0212</t>
  </si>
  <si>
    <t>b2633.10</t>
  </si>
  <si>
    <t>b0467.1</t>
  </si>
  <si>
    <t>b1126</t>
  </si>
  <si>
    <t>b1596</t>
  </si>
  <si>
    <t>b2692.1-b2692.2</t>
  </si>
  <si>
    <t>b2766.2</t>
  </si>
  <si>
    <t>b2766.2_dfax</t>
  </si>
  <si>
    <t>b2835.1</t>
  </si>
  <si>
    <t>b2835.2</t>
  </si>
  <si>
    <t>b2835.3</t>
  </si>
  <si>
    <t>b2836.2</t>
  </si>
  <si>
    <t>b2836.3</t>
  </si>
  <si>
    <t>b2836.4</t>
  </si>
  <si>
    <t>b2837.1</t>
  </si>
  <si>
    <t>b2837.2</t>
  </si>
  <si>
    <t>b2837.3</t>
  </si>
  <si>
    <t>b2837.4</t>
  </si>
  <si>
    <t>b2837.5</t>
  </si>
  <si>
    <t>b2837.6</t>
  </si>
  <si>
    <t>b2837.7</t>
  </si>
  <si>
    <t>b2837.8</t>
  </si>
  <si>
    <t>b2837.9</t>
  </si>
  <si>
    <t>b2837.10</t>
  </si>
  <si>
    <t>b2837.11</t>
  </si>
  <si>
    <t>b0274</t>
  </si>
  <si>
    <t>b2582_dfax</t>
  </si>
  <si>
    <t>b2665_dfax</t>
  </si>
  <si>
    <t>b2758_dfax</t>
  </si>
  <si>
    <t xml:space="preserve">b2928   </t>
  </si>
  <si>
    <t>b2928_dfax</t>
  </si>
  <si>
    <t>b2960.1</t>
  </si>
  <si>
    <t>b2960.1_dfax</t>
  </si>
  <si>
    <t>b2960.2</t>
  </si>
  <si>
    <t>b2960.2_dfax</t>
  </si>
  <si>
    <t>b0284.3</t>
  </si>
  <si>
    <t>b0369</t>
  </si>
  <si>
    <t>b0284.3_dfax</t>
  </si>
  <si>
    <t>b0369_dfax</t>
  </si>
  <si>
    <t>b2436.33</t>
  </si>
  <si>
    <t>b2436.34</t>
  </si>
  <si>
    <t>b2436.60</t>
  </si>
  <si>
    <t>b2986.12</t>
  </si>
  <si>
    <t>b2986.21</t>
  </si>
  <si>
    <t>Required Transmission Enhancements owned by:  South FirstEnergy Operating Companies</t>
  </si>
  <si>
    <t>b0577</t>
  </si>
  <si>
    <t>b2609.5</t>
  </si>
  <si>
    <t>b0238</t>
  </si>
  <si>
    <t>b0373</t>
  </si>
  <si>
    <t>b1507.2</t>
  </si>
  <si>
    <t>b1507.3</t>
  </si>
  <si>
    <t>b2688.3</t>
  </si>
  <si>
    <t>b1835</t>
  </si>
  <si>
    <t>b1022.11</t>
  </si>
  <si>
    <t>b1022.5</t>
  </si>
  <si>
    <t>b3006</t>
  </si>
  <si>
    <t>b3011.2</t>
  </si>
  <si>
    <t>b3011.5</t>
  </si>
  <si>
    <t>b0577_dfax</t>
  </si>
  <si>
    <t>b1507.2_dfax</t>
  </si>
  <si>
    <t>b1507.3_dfax</t>
  </si>
  <si>
    <t>b0347.17-32_dfax</t>
  </si>
  <si>
    <t>b0347.17-32</t>
  </si>
  <si>
    <t>b3027.1</t>
  </si>
  <si>
    <t>b2978</t>
  </si>
  <si>
    <t>b2759</t>
  </si>
  <si>
    <t>b2978_dfax</t>
  </si>
  <si>
    <t>b2759_dfax</t>
  </si>
  <si>
    <t>b0501-b0503</t>
  </si>
  <si>
    <t>Required Transmission Enhancements owned by:  Dominion Virginia Power's Network Customers</t>
  </si>
  <si>
    <t>b2443</t>
  </si>
  <si>
    <t>b2766.1</t>
  </si>
  <si>
    <t>b2992.3</t>
  </si>
  <si>
    <t>b2992.4</t>
  </si>
  <si>
    <t>b2766.1_dfax</t>
  </si>
  <si>
    <t>b2118</t>
  </si>
  <si>
    <t>b2996-b2996.2</t>
  </si>
  <si>
    <t>(Jan - Dec 2022)</t>
  </si>
  <si>
    <t>b2743.6-7</t>
  </si>
  <si>
    <t>b2743.8</t>
  </si>
  <si>
    <t>b2965</t>
  </si>
  <si>
    <t>b2552.1</t>
  </si>
  <si>
    <t>b3311</t>
  </si>
  <si>
    <t>b2986.22</t>
  </si>
  <si>
    <t>b2836.1</t>
  </si>
  <si>
    <t>b3019</t>
  </si>
  <si>
    <t>b3019_dfax</t>
  </si>
  <si>
    <t>(Jun 2022 - May 2023)</t>
  </si>
  <si>
    <t>b2992.1</t>
  </si>
  <si>
    <t>b2992.2</t>
  </si>
  <si>
    <t>(Jun 2022- May 2023)</t>
  </si>
  <si>
    <t>b3015.2</t>
  </si>
  <si>
    <t>b3012.2</t>
  </si>
  <si>
    <t>b1969</t>
  </si>
  <si>
    <t>b2689.1-2</t>
  </si>
  <si>
    <t>Zonal Peak (MW) for 2023</t>
  </si>
  <si>
    <t>b3145</t>
  </si>
  <si>
    <t>b2752.4</t>
  </si>
  <si>
    <t>b2006.2.1</t>
  </si>
  <si>
    <t>b2986.23</t>
  </si>
  <si>
    <t>b2986.24</t>
  </si>
  <si>
    <t>b2777</t>
  </si>
  <si>
    <t>b3021</t>
  </si>
  <si>
    <t>b3020</t>
  </si>
  <si>
    <t>b3702</t>
  </si>
  <si>
    <t>b3021_dfax</t>
  </si>
  <si>
    <t>b3020_dfax</t>
  </si>
  <si>
    <t xml:space="preserve">incentives </t>
  </si>
  <si>
    <t>(Jan - Dec 2023)</t>
  </si>
  <si>
    <t>January 2023*</t>
  </si>
  <si>
    <r>
      <t xml:space="preserve">*The MONTHLY REVENUE REQUIREMENT values include one-time adjustments (with interest) for January 2023 </t>
    </r>
    <r>
      <rPr>
        <b/>
        <u val="singleAccounting"/>
        <sz val="8"/>
        <color rgb="FFFF0000"/>
        <rFont val="Arial"/>
        <family val="2"/>
      </rPr>
      <t>only</t>
    </r>
    <r>
      <rPr>
        <b/>
        <sz val="8"/>
        <color rgb="FFFF0000"/>
        <rFont val="Arial"/>
        <family val="2"/>
      </rPr>
      <t xml:space="preserve"> as a result of Dominion's 2019 and 2020 FERC Form 1 Resubmissions pursuant to Docket No. AC22-28</t>
    </r>
  </si>
  <si>
    <t>(Jan - Dec 2023)**</t>
  </si>
  <si>
    <t>**Revenue requirements for South FirstEnergy Operating Companies updated pursuant to Interim Settlement Rates accepted by FERC in Docket No. ER21-253 and 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</si>
</sst>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&quot;$&quot;#,##0"/>
    <numFmt numFmtId="168" formatCode="&quot;$&quot;#,##0.00"/>
    <numFmt numFmtId="169" formatCode="&quot;$&quot;#,##0.0"/>
    <numFmt numFmtId="170" formatCode="#,##0.0_);\(#,##0.0\)"/>
    <numFmt numFmtId="171" formatCode="&quot;$&quot;#,##0.000_);\(&quot;$&quot;#,##0.000\)"/>
    <numFmt numFmtId="172" formatCode="&quot;$&quot;#,##0.0_);\(&quot;$&quot;#,##0.0\)"/>
    <numFmt numFmtId="173" formatCode="#,##0.000_);\(#,##0.00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0.0,_);\(0.0,\)"/>
    <numFmt numFmtId="187" formatCode="0.00,_);\(0.00,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0.0,_);\(&quot;$&quot;0.0,\)"/>
    <numFmt numFmtId="204" formatCode="&quot;$&quot;0.00,_);\(&quot;$&quot;0.00,\)"/>
    <numFmt numFmtId="205" formatCode="_(* dd\-mmm\-yy_)_%"/>
    <numFmt numFmtId="206" formatCode="_(* dd\ mmmm\ yyyy_)_%"/>
    <numFmt numFmtId="207" formatCode="_(* mmmm\ dd\,\ yyyy_)_%"/>
    <numFmt numFmtId="208" formatCode="_(* dd\.mm\.yyyy_)_%"/>
    <numFmt numFmtId="209" formatCode="_(* mm/dd/yyyy_)_%"/>
    <numFmt numFmtId="210" formatCode="m/d/yy;@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0.0%;\(0.0%\)"/>
    <numFmt numFmtId="234" formatCode="0.00%_);\(0.00%\)"/>
    <numFmt numFmtId="235" formatCode="0.000%_);\(0.000%\)"/>
    <numFmt numFmtId="236" formatCode="_(0_)%;\(0\)%;\ \ ?_)%"/>
    <numFmt numFmtId="237" formatCode="_._._(* 0_)%;_._.* \(0\)%;_._._(* \ ?_)%"/>
    <numFmt numFmtId="238" formatCode="0%_);\(0%\)"/>
    <numFmt numFmtId="239" formatCode="_(* #,##0_)_%;[Red]_(* \(#,##0\)_%;[Green]_(* 0_)_%;_(@_)_%"/>
    <numFmt numFmtId="240" formatCode="_(* #,##0.0%_);[Red]_(* \-#,##0.0%_);[Green]_(* 0.0%_);_(@_)_%"/>
    <numFmt numFmtId="241" formatCode="_(* #,##0.00%_);[Red]_(* \-#,##0.00%_);[Green]_(* 0.00%_);_(@_)_%"/>
    <numFmt numFmtId="242" formatCode="_(* #,##0.000%_);[Red]_(* \-#,##0.000%_);[Green]_(* 0.000%_);_(@_)_%"/>
    <numFmt numFmtId="243" formatCode="_(0.0_)%;\(0.0\)%;\ \ ?_)%"/>
    <numFmt numFmtId="244" formatCode="_._._(* 0.0_)%;_._.* \(0.0\)%;_._._(* \ ?_)%"/>
    <numFmt numFmtId="245" formatCode="_(0.00_)%;\(0.00\)%;\ \ ?_)%"/>
    <numFmt numFmtId="246" formatCode="_._._(* 0.00_)%;_._.* \(0.00\)%;_._._(* \ ?_)%"/>
    <numFmt numFmtId="247" formatCode="_(0.000_)%;\(0.000\)%;\ \ ?_)%"/>
    <numFmt numFmtId="248" formatCode="_._._(* 0.000_)%;_._.* \(0.000\)%;_._._(* \ ?_)%"/>
    <numFmt numFmtId="249" formatCode="_(0.0000_)%;\(0.0000\)%;\ \ ?_)%"/>
    <numFmt numFmtId="250" formatCode="_._._(* 0.0000_)%;_._.* \(0.0000\)%;_._._(* \ ?_)%"/>
    <numFmt numFmtId="251" formatCode="mmmm\ dd\,\ yy"/>
    <numFmt numFmtId="252" formatCode="0.0\x"/>
    <numFmt numFmtId="253" formatCode="_(* #,##0_);_(* \(#,##0\);_(* \ ?_)"/>
    <numFmt numFmtId="254" formatCode="_(* #,##0.0_);_(* \(#,##0.0\);_(* \ ?_)"/>
    <numFmt numFmtId="255" formatCode="_(* #,##0.00_);_(* \(#,##0.00\);_(* \ ?_)"/>
    <numFmt numFmtId="256" formatCode="_(* #,##0.000_);_(* \(#,##0.000\);_(* \ ?_)"/>
    <numFmt numFmtId="257" formatCode="_(&quot;$&quot;* #,##0_);_(&quot;$&quot;* \(#,##0\);_(&quot;$&quot;* \ ?_)"/>
    <numFmt numFmtId="258" formatCode="_(&quot;$&quot;* #,##0.0_);_(&quot;$&quot;* \(#,##0.0\);_(&quot;$&quot;* \ ?_)"/>
    <numFmt numFmtId="259" formatCode="_(&quot;$&quot;* #,##0.00_);_(&quot;$&quot;* \(#,##0.00\);_(&quot;$&quot;* \ ?_)"/>
    <numFmt numFmtId="260" formatCode="_(&quot;$&quot;* #,##0.000_);_(&quot;$&quot;* \(#,##0.000\);_(&quot;$&quot;* \ ?_)"/>
    <numFmt numFmtId="261" formatCode="0000&quot;A&quot;"/>
    <numFmt numFmtId="262" formatCode="0&quot;E&quot;"/>
    <numFmt numFmtId="263" formatCode="0000&quot;E&quot;"/>
    <numFmt numFmtId="264" formatCode="_(* #,##0_);_(* \(#,##0\);_(* &quot;-&quot;??_);_(@_)"/>
    <numFmt numFmtId="265" formatCode="0.0"/>
    <numFmt numFmtId="266" formatCode="mmmm\ d\,\ yyyy"/>
    <numFmt numFmtId="267" formatCode="mm/dd/yy"/>
    <numFmt numFmtId="268" formatCode="0.00_)"/>
    <numFmt numFmtId="269" formatCode="0.000000%;[Red]\-0.000000%"/>
    <numFmt numFmtId="270" formatCode="&quot;$&quot;#,##0\ ;\(&quot;$&quot;#,##0\)"/>
  </numFmts>
  <fonts count="15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  <font>
      <b/>
      <u val="singleAccounting"/>
      <sz val="8"/>
      <color rgb="FFFF0000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2497">
    <xf numFmtId="0" fontId="0" fillId="0" borderId="0"/>
    <xf numFmtId="9" fontId="156" fillId="0" borderId="0" applyFont="0" applyFill="0" applyBorder="0" applyAlignment="0" applyProtection="0"/>
    <xf numFmtId="44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174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0" fontId="5" fillId="0" borderId="0"/>
    <xf numFmtId="0" fontId="9" fillId="2" borderId="0" applyNumberFormat="0" applyBorder="0" applyAlignment="0" applyProtection="0"/>
    <xf numFmtId="0" fontId="88" fillId="3" borderId="0" applyNumberFormat="0" applyBorder="0" applyAlignment="0" applyProtection="0"/>
    <xf numFmtId="0" fontId="9" fillId="4" borderId="0" applyNumberFormat="0" applyBorder="0" applyAlignment="0" applyProtection="0"/>
    <xf numFmtId="0" fontId="88" fillId="5" borderId="0" applyNumberFormat="0" applyBorder="0" applyAlignment="0" applyProtection="0"/>
    <xf numFmtId="0" fontId="9" fillId="6" borderId="0" applyNumberFormat="0" applyBorder="0" applyAlignment="0" applyProtection="0"/>
    <xf numFmtId="0" fontId="88" fillId="7" borderId="0" applyNumberFormat="0" applyBorder="0" applyAlignment="0" applyProtection="0"/>
    <xf numFmtId="0" fontId="9" fillId="8" borderId="0" applyNumberFormat="0" applyBorder="0" applyAlignment="0" applyProtection="0"/>
    <xf numFmtId="0" fontId="88" fillId="9" borderId="0" applyNumberFormat="0" applyBorder="0" applyAlignment="0" applyProtection="0"/>
    <xf numFmtId="0" fontId="9" fillId="10" borderId="0" applyNumberFormat="0" applyBorder="0" applyAlignment="0" applyProtection="0"/>
    <xf numFmtId="0" fontId="88" fillId="10" borderId="0" applyNumberFormat="0" applyBorder="0" applyAlignment="0" applyProtection="0"/>
    <xf numFmtId="0" fontId="9" fillId="6" borderId="0" applyNumberFormat="0" applyBorder="0" applyAlignment="0" applyProtection="0"/>
    <xf numFmtId="0" fontId="88" fillId="8" borderId="0" applyNumberFormat="0" applyBorder="0" applyAlignment="0" applyProtection="0"/>
    <xf numFmtId="0" fontId="9" fillId="10" borderId="0" applyNumberFormat="0" applyBorder="0" applyAlignment="0" applyProtection="0"/>
    <xf numFmtId="0" fontId="88" fillId="2" borderId="0" applyNumberFormat="0" applyBorder="0" applyAlignment="0" applyProtection="0"/>
    <xf numFmtId="0" fontId="9" fillId="4" borderId="0" applyNumberFormat="0" applyBorder="0" applyAlignment="0" applyProtection="0"/>
    <xf numFmtId="0" fontId="88" fillId="4" borderId="0" applyNumberFormat="0" applyBorder="0" applyAlignment="0" applyProtection="0"/>
    <xf numFmtId="0" fontId="9" fillId="11" borderId="0" applyNumberFormat="0" applyBorder="0" applyAlignment="0" applyProtection="0"/>
    <xf numFmtId="0" fontId="88" fillId="12" borderId="0" applyNumberFormat="0" applyBorder="0" applyAlignment="0" applyProtection="0"/>
    <xf numFmtId="0" fontId="9" fillId="5" borderId="0" applyNumberFormat="0" applyBorder="0" applyAlignment="0" applyProtection="0"/>
    <xf numFmtId="0" fontId="88" fillId="9" borderId="0" applyNumberFormat="0" applyBorder="0" applyAlignment="0" applyProtection="0"/>
    <xf numFmtId="0" fontId="9" fillId="10" borderId="0" applyNumberFormat="0" applyBorder="0" applyAlignment="0" applyProtection="0"/>
    <xf numFmtId="0" fontId="88" fillId="2" borderId="0" applyNumberFormat="0" applyBorder="0" applyAlignment="0" applyProtection="0"/>
    <xf numFmtId="0" fontId="9" fillId="6" borderId="0" applyNumberFormat="0" applyBorder="0" applyAlignment="0" applyProtection="0"/>
    <xf numFmtId="0" fontId="88" fillId="13" borderId="0" applyNumberFormat="0" applyBorder="0" applyAlignment="0" applyProtection="0"/>
    <xf numFmtId="0" fontId="37" fillId="10" borderId="0" applyNumberFormat="0" applyBorder="0" applyAlignment="0" applyProtection="0"/>
    <xf numFmtId="0" fontId="89" fillId="14" borderId="0" applyNumberFormat="0" applyBorder="0" applyAlignment="0" applyProtection="0"/>
    <xf numFmtId="0" fontId="37" fillId="15" borderId="0" applyNumberFormat="0" applyBorder="0" applyAlignment="0" applyProtection="0"/>
    <xf numFmtId="0" fontId="89" fillId="4" borderId="0" applyNumberFormat="0" applyBorder="0" applyAlignment="0" applyProtection="0"/>
    <xf numFmtId="0" fontId="37" fillId="13" borderId="0" applyNumberFormat="0" applyBorder="0" applyAlignment="0" applyProtection="0"/>
    <xf numFmtId="0" fontId="89" fillId="12" borderId="0" applyNumberFormat="0" applyBorder="0" applyAlignment="0" applyProtection="0"/>
    <xf numFmtId="0" fontId="37" fillId="5" borderId="0" applyNumberFormat="0" applyBorder="0" applyAlignment="0" applyProtection="0"/>
    <xf numFmtId="0" fontId="89" fillId="16" borderId="0" applyNumberFormat="0" applyBorder="0" applyAlignment="0" applyProtection="0"/>
    <xf numFmtId="0" fontId="37" fillId="10" borderId="0" applyNumberFormat="0" applyBorder="0" applyAlignment="0" applyProtection="0"/>
    <xf numFmtId="0" fontId="89" fillId="17" borderId="0" applyNumberFormat="0" applyBorder="0" applyAlignment="0" applyProtection="0"/>
    <xf numFmtId="0" fontId="37" fillId="4" borderId="0" applyNumberFormat="0" applyBorder="0" applyAlignment="0" applyProtection="0"/>
    <xf numFmtId="0" fontId="89" fillId="18" borderId="0" applyNumberFormat="0" applyBorder="0" applyAlignment="0" applyProtection="0"/>
    <xf numFmtId="0" fontId="5" fillId="0" borderId="0"/>
    <xf numFmtId="0" fontId="37" fillId="19" borderId="0" applyNumberFormat="0" applyBorder="0" applyAlignment="0" applyProtection="0"/>
    <xf numFmtId="0" fontId="89" fillId="20" borderId="0" applyNumberFormat="0" applyBorder="0" applyAlignment="0" applyProtection="0"/>
    <xf numFmtId="0" fontId="37" fillId="15" borderId="0" applyNumberFormat="0" applyBorder="0" applyAlignment="0" applyProtection="0"/>
    <xf numFmtId="0" fontId="89" fillId="21" borderId="0" applyNumberFormat="0" applyBorder="0" applyAlignment="0" applyProtection="0"/>
    <xf numFmtId="0" fontId="37" fillId="13" borderId="0" applyNumberFormat="0" applyBorder="0" applyAlignment="0" applyProtection="0"/>
    <xf numFmtId="0" fontId="89" fillId="22" borderId="0" applyNumberFormat="0" applyBorder="0" applyAlignment="0" applyProtection="0"/>
    <xf numFmtId="0" fontId="37" fillId="23" borderId="0" applyNumberFormat="0" applyBorder="0" applyAlignment="0" applyProtection="0"/>
    <xf numFmtId="0" fontId="89" fillId="16" borderId="0" applyNumberFormat="0" applyBorder="0" applyAlignment="0" applyProtection="0"/>
    <xf numFmtId="0" fontId="37" fillId="17" borderId="0" applyNumberFormat="0" applyBorder="0" applyAlignment="0" applyProtection="0"/>
    <xf numFmtId="0" fontId="89" fillId="17" borderId="0" applyNumberFormat="0" applyBorder="0" applyAlignment="0" applyProtection="0"/>
    <xf numFmtId="0" fontId="37" fillId="21" borderId="0" applyNumberFormat="0" applyBorder="0" applyAlignment="0" applyProtection="0"/>
    <xf numFmtId="0" fontId="89" fillId="15" borderId="0" applyNumberFormat="0" applyBorder="0" applyAlignment="0" applyProtection="0"/>
    <xf numFmtId="0" fontId="38" fillId="9" borderId="0" applyNumberFormat="0" applyBorder="0" applyAlignment="0" applyProtection="0"/>
    <xf numFmtId="0" fontId="90" fillId="5" borderId="0" applyNumberFormat="0" applyBorder="0" applyAlignment="0" applyProtection="0"/>
    <xf numFmtId="0" fontId="19" fillId="0" borderId="0"/>
    <xf numFmtId="0" fontId="5" fillId="15" borderId="0" applyNumberFormat="0" applyFill="0" applyBorder="0" applyProtection="0"/>
    <xf numFmtId="0" fontId="54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81" fontId="52" fillId="0" borderId="0" applyFont="0" applyFill="0" applyBorder="0" applyAlignment="0" applyProtection="0"/>
    <xf numFmtId="182" fontId="58" fillId="0" borderId="0" applyFont="0" applyFill="0" applyBorder="0" applyProtection="0">
      <alignment horizontal="left"/>
    </xf>
    <xf numFmtId="183" fontId="58" fillId="0" borderId="0" applyFont="0" applyFill="0" applyBorder="0" applyProtection="0">
      <alignment horizontal="left"/>
    </xf>
    <xf numFmtId="184" fontId="58" fillId="0" borderId="0" applyFont="0" applyFill="0" applyBorder="0" applyProtection="0">
      <alignment horizontal="left"/>
    </xf>
    <xf numFmtId="37" fontId="59" fillId="0" borderId="0" applyFont="0" applyFill="0" applyBorder="0">
      <protection locked="0"/>
    </xf>
    <xf numFmtId="185" fontId="60" fillId="0" borderId="0" applyFont="0" applyFill="0" applyBorder="0" applyAlignment="0" applyProtection="0"/>
    <xf numFmtId="0" fontId="61" fillId="0" borderId="0"/>
    <xf numFmtId="0" fontId="61" fillId="0" borderId="0"/>
    <xf numFmtId="168" fontId="7" fillId="0" borderId="0" applyFill="0"/>
    <xf numFmtId="168" fontId="7" fillId="0" borderId="0">
      <alignment horizontal="center"/>
    </xf>
    <xf numFmtId="0" fontId="7" fillId="0" borderId="0" applyFill="0">
      <alignment horizontal="center"/>
    </xf>
    <xf numFmtId="168" fontId="11" fillId="0" borderId="2" applyFill="0"/>
    <xf numFmtId="0" fontId="5" fillId="0" borderId="0" applyFont="0" applyAlignment="0"/>
    <xf numFmtId="0" fontId="12" fillId="0" borderId="0" applyFill="0">
      <alignment vertical="top"/>
    </xf>
    <xf numFmtId="0" fontId="11" fillId="0" borderId="0" applyFill="0">
      <alignment horizontal="left" vertical="top"/>
    </xf>
    <xf numFmtId="168" fontId="13" fillId="0" borderId="3" applyFill="0"/>
    <xf numFmtId="168" fontId="13" fillId="0" borderId="3" applyFill="0"/>
    <xf numFmtId="0" fontId="5" fillId="0" borderId="0" applyNumberFormat="0" applyFont="0" applyAlignment="0"/>
    <xf numFmtId="0" fontId="12" fillId="0" borderId="0" applyFill="0">
      <alignment wrapText="1"/>
    </xf>
    <xf numFmtId="0" fontId="11" fillId="0" borderId="0" applyFill="0">
      <alignment horizontal="left" vertical="top" wrapText="1"/>
    </xf>
    <xf numFmtId="168" fontId="14" fillId="0" borderId="0" applyFill="0"/>
    <xf numFmtId="0" fontId="15" fillId="0" borderId="0" applyNumberFormat="0" applyFont="0"/>
    <xf numFmtId="0" fontId="16" fillId="0" borderId="0" applyFill="0">
      <alignment vertical="top" wrapText="1"/>
    </xf>
    <xf numFmtId="0" fontId="13" fillId="0" borderId="0" applyFill="0">
      <alignment horizontal="left" vertical="top" wrapText="1"/>
    </xf>
    <xf numFmtId="168" fontId="5" fillId="0" borderId="0" applyFill="0"/>
    <xf numFmtId="0" fontId="15" fillId="0" borderId="0" applyNumberFormat="0" applyFont="0"/>
    <xf numFmtId="0" fontId="17" fillId="0" borderId="0" applyFill="0">
      <alignment vertical="center" wrapText="1"/>
    </xf>
    <xf numFmtId="0" fontId="18" fillId="0" borderId="0">
      <alignment horizontal="left" vertical="center" wrapText="1"/>
    </xf>
    <xf numFmtId="168" fontId="19" fillId="0" borderId="0" applyFill="0"/>
    <xf numFmtId="0" fontId="15" fillId="0" borderId="0" applyNumberFormat="0" applyFont="0"/>
    <xf numFmtId="0" fontId="20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8" fontId="21" fillId="0" borderId="0" applyFill="0"/>
    <xf numFmtId="0" fontId="15" fillId="0" borderId="0" applyNumberFormat="0" applyFont="0"/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8" fontId="24" fillId="0" borderId="0" applyFill="0"/>
    <xf numFmtId="0" fontId="15" fillId="0" borderId="0" applyNumberFormat="0" applyFont="0"/>
    <xf numFmtId="0" fontId="25" fillId="0" borderId="0">
      <alignment horizontal="center" wrapText="1"/>
    </xf>
    <xf numFmtId="0" fontId="21" fillId="0" borderId="0" applyFill="0">
      <alignment horizontal="center" wrapText="1"/>
    </xf>
    <xf numFmtId="170" fontId="62" fillId="0" borderId="0" applyFont="0" applyFill="0" applyBorder="0" applyAlignment="0">
      <protection locked="0"/>
    </xf>
    <xf numFmtId="186" fontId="62" fillId="0" borderId="0" applyFont="0" applyFill="0" applyBorder="0" applyAlignment="0">
      <protection locked="0"/>
    </xf>
    <xf numFmtId="39" fontId="5" fillId="0" borderId="0" applyFont="0" applyFill="0" applyBorder="0" applyAlignment="0" applyProtection="0"/>
    <xf numFmtId="187" fontId="63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39" fillId="24" borderId="4" applyNumberFormat="0" applyAlignment="0" applyProtection="0"/>
    <xf numFmtId="0" fontId="91" fillId="25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2" fillId="0" borderId="0" applyFill="0" applyBorder="0">
      <alignment horizontal="center"/>
      <protection locked="0"/>
    </xf>
    <xf numFmtId="0" fontId="40" fillId="26" borderId="5" applyNumberFormat="0" applyAlignment="0" applyProtection="0"/>
    <xf numFmtId="0" fontId="92" fillId="26" borderId="5" applyNumberFormat="0" applyAlignment="0" applyProtection="0"/>
    <xf numFmtId="0" fontId="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8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65" fillId="0" borderId="0" applyFont="0" applyFill="0" applyBorder="0" applyAlignment="0" applyProtection="0"/>
    <xf numFmtId="193" fontId="65" fillId="0" borderId="0" applyFont="0" applyFill="0" applyBorder="0" applyAlignment="0" applyProtection="0"/>
    <xf numFmtId="194" fontId="14" fillId="0" borderId="0" applyFont="0" applyFill="0" applyBorder="0" applyAlignment="0">
      <protection locked="0"/>
    </xf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66" fillId="0" borderId="0" applyFill="0" applyBorder="0" applyAlignment="0" applyProtection="0"/>
    <xf numFmtId="3" fontId="5" fillId="0" borderId="0" applyFont="0" applyFill="0" applyBorder="0" applyAlignment="0" applyProtection="0"/>
    <xf numFmtId="0" fontId="11" fillId="0" borderId="0" applyFill="0" applyBorder="0" applyAlignment="0">
      <protection locked="0"/>
    </xf>
    <xf numFmtId="0" fontId="5" fillId="0" borderId="6"/>
    <xf numFmtId="195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198" fontId="65" fillId="0" borderId="0" applyFont="0" applyFill="0" applyBorder="0" applyAlignment="0" applyProtection="0"/>
    <xf numFmtId="199" fontId="65" fillId="0" borderId="0" applyFont="0" applyFill="0" applyBorder="0" applyAlignment="0" applyProtection="0"/>
    <xf numFmtId="200" fontId="65" fillId="0" borderId="0" applyFont="0" applyFill="0" applyBorder="0" applyAlignment="0" applyProtection="0"/>
    <xf numFmtId="201" fontId="14" fillId="0" borderId="0" applyFont="0" applyFill="0" applyBorder="0" applyAlignment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66" fillId="0" borderId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02" fontId="60" fillId="0" borderId="0" applyFont="0" applyFill="0" applyBorder="0" applyAlignment="0" applyProtection="0"/>
    <xf numFmtId="172" fontId="5" fillId="0" borderId="0" applyFont="0" applyFill="0" applyBorder="0" applyAlignment="0" applyProtection="0"/>
    <xf numFmtId="203" fontId="62" fillId="0" borderId="0" applyFont="0" applyFill="0" applyBorder="0" applyAlignment="0">
      <protection locked="0"/>
    </xf>
    <xf numFmtId="7" fontId="7" fillId="0" borderId="0" applyFont="0" applyFill="0" applyBorder="0" applyAlignment="0" applyProtection="0"/>
    <xf numFmtId="204" fontId="63" fillId="0" borderId="0" applyFont="0" applyFill="0" applyBorder="0" applyAlignment="0" applyProtection="0"/>
    <xf numFmtId="171" fontId="67" fillId="0" borderId="0" applyFont="0" applyFill="0" applyBorder="0" applyAlignment="0" applyProtection="0"/>
    <xf numFmtId="0" fontId="68" fillId="27" borderId="7" applyNumberFormat="0" applyFont="0" applyFill="0" applyProtection="0"/>
    <xf numFmtId="14" fontId="5" fillId="0" borderId="0" applyFont="0" applyFill="0" applyBorder="0" applyAlignment="0" applyProtection="0"/>
    <xf numFmtId="205" fontId="58" fillId="0" borderId="0" applyFont="0" applyFill="0" applyBorder="0" applyProtection="0"/>
    <xf numFmtId="206" fontId="58" fillId="0" borderId="0" applyFont="0" applyFill="0" applyBorder="0" applyProtection="0"/>
    <xf numFmtId="207" fontId="58" fillId="0" borderId="0" applyFont="0" applyFill="0" applyBorder="0" applyAlignment="0" applyProtection="0"/>
    <xf numFmtId="208" fontId="58" fillId="0" borderId="0" applyFont="0" applyFill="0" applyBorder="0" applyAlignment="0" applyProtection="0"/>
    <xf numFmtId="209" fontId="58" fillId="0" borderId="0" applyFont="0" applyFill="0" applyBorder="0" applyAlignment="0" applyProtection="0"/>
    <xf numFmtId="210" fontId="69" fillId="0" borderId="0" applyFont="0" applyFill="0" applyBorder="0" applyAlignment="0" applyProtection="0"/>
    <xf numFmtId="5" fontId="70" fillId="0" borderId="0" applyBorder="0"/>
    <xf numFmtId="172" fontId="70" fillId="0" borderId="0" applyBorder="0"/>
    <xf numFmtId="7" fontId="70" fillId="0" borderId="0" applyBorder="0"/>
    <xf numFmtId="37" fontId="70" fillId="0" borderId="0" applyBorder="0"/>
    <xf numFmtId="170" fontId="70" fillId="0" borderId="0" applyBorder="0"/>
    <xf numFmtId="211" fontId="70" fillId="0" borderId="0" applyBorder="0"/>
    <xf numFmtId="39" fontId="70" fillId="0" borderId="0" applyBorder="0"/>
    <xf numFmtId="212" fontId="70" fillId="0" borderId="0" applyBorder="0"/>
    <xf numFmtId="7" fontId="5" fillId="0" borderId="0" applyFont="0" applyFill="0" applyBorder="0" applyAlignment="0" applyProtection="0"/>
    <xf numFmtId="213" fontId="60" fillId="0" borderId="0" applyFont="0" applyFill="0" applyBorder="0" applyAlignment="0" applyProtection="0"/>
    <xf numFmtId="214" fontId="60" fillId="0" borderId="0" applyFont="0" applyFill="0" applyAlignment="0" applyProtection="0"/>
    <xf numFmtId="213" fontId="60" fillId="0" borderId="0" applyFont="0" applyFill="0" applyBorder="0" applyAlignment="0" applyProtection="0"/>
    <xf numFmtId="215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58" fillId="0" borderId="0" applyFont="0" applyFill="0" applyBorder="0" applyProtection="0">
      <alignment horizontal="center" wrapText="1"/>
    </xf>
    <xf numFmtId="216" fontId="58" fillId="0" borderId="0" applyFont="0" applyFill="0" applyBorder="0" applyProtection="0">
      <alignment horizontal="right"/>
    </xf>
    <xf numFmtId="0" fontId="42" fillId="10" borderId="0" applyNumberFormat="0" applyBorder="0" applyAlignment="0" applyProtection="0"/>
    <xf numFmtId="0" fontId="94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0" applyNumberFormat="0" applyFill="0" applyBorder="0" applyAlignment="0" applyProtection="0"/>
    <xf numFmtId="0" fontId="13" fillId="0" borderId="8" applyNumberFormat="0" applyProtection="0"/>
    <xf numFmtId="0" fontId="13" fillId="0" borderId="9">
      <alignment horizontal="left" vertical="center"/>
    </xf>
    <xf numFmtId="14" fontId="8" fillId="10" borderId="10">
      <alignment horizontal="center" vertical="center" wrapText="1"/>
    </xf>
    <xf numFmtId="0" fontId="2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3" fillId="0" borderId="11" applyNumberFormat="0" applyFill="0" applyAlignment="0" applyProtection="0"/>
    <xf numFmtId="0" fontId="95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2" fillId="0" borderId="0" applyFill="0" applyAlignment="0">
      <protection locked="0"/>
    </xf>
    <xf numFmtId="0" fontId="32" fillId="0" borderId="1" applyFill="0" applyAlignment="0">
      <protection locked="0"/>
    </xf>
    <xf numFmtId="0" fontId="27" fillId="0" borderId="10"/>
    <xf numFmtId="0" fontId="28" fillId="0" borderId="0"/>
    <xf numFmtId="0" fontId="74" fillId="0" borderId="1" applyNumberFormat="0" applyFill="0" applyAlignment="0" applyProtection="0"/>
    <xf numFmtId="0" fontId="69" fillId="28" borderId="0" applyNumberFormat="0" applyFont="0" applyBorder="0" applyAlignment="0" applyProtection="0"/>
    <xf numFmtId="0" fontId="50" fillId="0" borderId="0" applyNumberFormat="0" applyFill="0" applyBorder="0">
      <protection locked="0"/>
    </xf>
    <xf numFmtId="0" fontId="55" fillId="29" borderId="13" applyNumberFormat="0" applyAlignment="0" applyProtection="0"/>
    <xf numFmtId="217" fontId="58" fillId="0" borderId="0" applyFont="0" applyFill="0" applyBorder="0" applyProtection="0">
      <alignment horizontal="left"/>
    </xf>
    <xf numFmtId="218" fontId="58" fillId="0" borderId="0" applyFont="0" applyFill="0" applyBorder="0" applyProtection="0">
      <alignment horizontal="left"/>
    </xf>
    <xf numFmtId="219" fontId="58" fillId="0" borderId="0" applyFont="0" applyFill="0" applyBorder="0" applyProtection="0">
      <alignment horizontal="left"/>
    </xf>
    <xf numFmtId="220" fontId="58" fillId="0" borderId="0" applyFont="0" applyFill="0" applyBorder="0" applyProtection="0">
      <alignment horizontal="left"/>
    </xf>
    <xf numFmtId="0" fontId="7" fillId="6" borderId="13" applyNumberFormat="0" applyBorder="0" applyAlignment="0" applyProtection="0"/>
    <xf numFmtId="0" fontId="44" fillId="11" borderId="4" applyNumberFormat="0" applyAlignment="0" applyProtection="0"/>
    <xf numFmtId="0" fontId="96" fillId="8" borderId="4" applyNumberFormat="0" applyAlignment="0" applyProtection="0"/>
    <xf numFmtId="0" fontId="96" fillId="8" borderId="4" applyNumberFormat="0" applyAlignment="0" applyProtection="0"/>
    <xf numFmtId="0" fontId="96" fillId="8" borderId="4" applyNumberFormat="0" applyAlignment="0" applyProtection="0"/>
    <xf numFmtId="0" fontId="44" fillId="11" borderId="4" applyNumberFormat="0" applyAlignment="0" applyProtection="0"/>
    <xf numFmtId="5" fontId="75" fillId="0" borderId="0" applyBorder="0"/>
    <xf numFmtId="172" fontId="75" fillId="0" borderId="0" applyBorder="0"/>
    <xf numFmtId="7" fontId="75" fillId="0" borderId="0" applyBorder="0"/>
    <xf numFmtId="37" fontId="75" fillId="0" borderId="0" applyBorder="0"/>
    <xf numFmtId="170" fontId="75" fillId="0" borderId="0" applyBorder="0"/>
    <xf numFmtId="211" fontId="75" fillId="0" borderId="0" applyBorder="0"/>
    <xf numFmtId="39" fontId="75" fillId="0" borderId="0" applyBorder="0"/>
    <xf numFmtId="212" fontId="75" fillId="0" borderId="0" applyBorder="0"/>
    <xf numFmtId="0" fontId="69" fillId="0" borderId="14" applyNumberFormat="0" applyFont="0" applyFill="0" applyAlignment="0" applyProtection="0"/>
    <xf numFmtId="0" fontId="76" fillId="0" borderId="0"/>
    <xf numFmtId="0" fontId="7" fillId="25" borderId="0"/>
    <xf numFmtId="0" fontId="45" fillId="0" borderId="15" applyNumberFormat="0" applyFill="0" applyAlignment="0" applyProtection="0"/>
    <xf numFmtId="0" fontId="97" fillId="0" borderId="16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0" fontId="5" fillId="0" borderId="0" applyFont="0" applyFill="0" applyBorder="0" applyProtection="0"/>
    <xf numFmtId="225" fontId="5" fillId="0" borderId="0" applyFont="0" applyFill="0" applyBorder="0" applyAlignment="0" applyProtection="0"/>
    <xf numFmtId="0" fontId="46" fillId="11" borderId="0" applyNumberFormat="0" applyBorder="0" applyAlignment="0" applyProtection="0"/>
    <xf numFmtId="0" fontId="98" fillId="11" borderId="0" applyNumberFormat="0" applyBorder="0" applyAlignment="0" applyProtection="0"/>
    <xf numFmtId="37" fontId="77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7" fontId="8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8" fontId="10" fillId="0" borderId="0" applyProtection="0"/>
    <xf numFmtId="0" fontId="5" fillId="0" borderId="0"/>
    <xf numFmtId="168" fontId="10" fillId="0" borderId="0" applyProtection="0"/>
    <xf numFmtId="0" fontId="5" fillId="0" borderId="0"/>
    <xf numFmtId="168" fontId="1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8" fontId="10" fillId="0" borderId="0" applyProtection="0"/>
    <xf numFmtId="0" fontId="5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156" fillId="0" borderId="0"/>
    <xf numFmtId="0" fontId="156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>
      <alignment vertical="top"/>
    </xf>
    <xf numFmtId="0" fontId="5" fillId="0" borderId="0"/>
    <xf numFmtId="0" fontId="49" fillId="0" borderId="0">
      <alignment vertical="top"/>
    </xf>
    <xf numFmtId="0" fontId="5" fillId="0" borderId="0"/>
    <xf numFmtId="0" fontId="156" fillId="0" borderId="0"/>
    <xf numFmtId="0" fontId="156" fillId="0" borderId="0"/>
    <xf numFmtId="0" fontId="3" fillId="0" borderId="0"/>
    <xf numFmtId="0" fontId="156" fillId="0" borderId="0"/>
    <xf numFmtId="0" fontId="156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0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29" fillId="0" borderId="0"/>
    <xf numFmtId="168" fontId="10" fillId="0" borderId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0" fillId="0" borderId="0" applyProtection="0"/>
    <xf numFmtId="168" fontId="10" fillId="0" borderId="0" applyProtection="0"/>
    <xf numFmtId="168" fontId="10" fillId="0" borderId="0" applyProtection="0"/>
    <xf numFmtId="0" fontId="3" fillId="0" borderId="0"/>
    <xf numFmtId="0" fontId="3" fillId="0" borderId="0"/>
    <xf numFmtId="0" fontId="156" fillId="0" borderId="0"/>
    <xf numFmtId="0" fontId="5" fillId="0" borderId="0"/>
    <xf numFmtId="168" fontId="1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0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10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156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156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3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02" fillId="0" borderId="0"/>
    <xf numFmtId="168" fontId="1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17" applyNumberFormat="0" applyFont="0" applyAlignment="0" applyProtection="0"/>
    <xf numFmtId="0" fontId="47" fillId="24" borderId="18" applyNumberFormat="0" applyAlignment="0" applyProtection="0"/>
    <xf numFmtId="0" fontId="99" fillId="25" borderId="18" applyNumberFormat="0" applyAlignment="0" applyProtection="0"/>
    <xf numFmtId="0" fontId="52" fillId="30" borderId="0" applyNumberFormat="0" applyFont="0" applyBorder="0" applyAlignment="0"/>
    <xf numFmtId="226" fontId="5" fillId="0" borderId="0" applyFont="0" applyFill="0" applyBorder="0" applyAlignment="0" applyProtection="0"/>
    <xf numFmtId="227" fontId="78" fillId="0" borderId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8" fontId="5" fillId="0" borderId="0"/>
    <xf numFmtId="229" fontId="60" fillId="0" borderId="0"/>
    <xf numFmtId="229" fontId="60" fillId="0" borderId="0"/>
    <xf numFmtId="227" fontId="78" fillId="0" borderId="0"/>
    <xf numFmtId="0" fontId="60" fillId="0" borderId="0"/>
    <xf numFmtId="227" fontId="66" fillId="0" borderId="0"/>
    <xf numFmtId="228" fontId="5" fillId="0" borderId="0"/>
    <xf numFmtId="229" fontId="60" fillId="0" borderId="0"/>
    <xf numFmtId="229" fontId="60" fillId="0" borderId="0"/>
    <xf numFmtId="0" fontId="60" fillId="0" borderId="0"/>
    <xf numFmtId="0" fontId="60" fillId="0" borderId="0"/>
    <xf numFmtId="230" fontId="60" fillId="0" borderId="0"/>
    <xf numFmtId="167" fontId="60" fillId="0" borderId="0"/>
    <xf numFmtId="231" fontId="60" fillId="0" borderId="0"/>
    <xf numFmtId="230" fontId="60" fillId="0" borderId="0"/>
    <xf numFmtId="167" fontId="60" fillId="0" borderId="0"/>
    <xf numFmtId="232" fontId="60" fillId="0" borderId="0"/>
    <xf numFmtId="232" fontId="60" fillId="0" borderId="0"/>
    <xf numFmtId="169" fontId="60" fillId="0" borderId="0"/>
    <xf numFmtId="231" fontId="60" fillId="0" borderId="0"/>
    <xf numFmtId="165" fontId="60" fillId="0" borderId="0"/>
    <xf numFmtId="169" fontId="60" fillId="0" borderId="0"/>
    <xf numFmtId="169" fontId="60" fillId="0" borderId="0"/>
    <xf numFmtId="0" fontId="60" fillId="0" borderId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7" fontId="78" fillId="0" borderId="0"/>
    <xf numFmtId="227" fontId="78" fillId="0" borderId="0"/>
    <xf numFmtId="226" fontId="5" fillId="0" borderId="0" applyFont="0" applyFill="0" applyBorder="0" applyAlignment="0" applyProtection="0"/>
    <xf numFmtId="227" fontId="78" fillId="0" borderId="0"/>
    <xf numFmtId="227" fontId="78" fillId="0" borderId="0"/>
    <xf numFmtId="230" fontId="60" fillId="0" borderId="0"/>
    <xf numFmtId="167" fontId="60" fillId="0" borderId="0"/>
    <xf numFmtId="231" fontId="60" fillId="0" borderId="0"/>
    <xf numFmtId="230" fontId="60" fillId="0" borderId="0"/>
    <xf numFmtId="167" fontId="60" fillId="0" borderId="0"/>
    <xf numFmtId="232" fontId="60" fillId="0" borderId="0"/>
    <xf numFmtId="232" fontId="60" fillId="0" borderId="0"/>
    <xf numFmtId="169" fontId="60" fillId="0" borderId="0"/>
    <xf numFmtId="231" fontId="60" fillId="0" borderId="0"/>
    <xf numFmtId="165" fontId="60" fillId="0" borderId="0"/>
    <xf numFmtId="169" fontId="60" fillId="0" borderId="0"/>
    <xf numFmtId="169" fontId="60" fillId="0" borderId="0"/>
    <xf numFmtId="233" fontId="19" fillId="24" borderId="0" applyFont="0" applyFill="0" applyBorder="0" applyAlignment="0" applyProtection="0"/>
    <xf numFmtId="234" fontId="19" fillId="24" borderId="0" applyFont="0" applyFill="0" applyBorder="0" applyAlignment="0" applyProtection="0"/>
    <xf numFmtId="235" fontId="5" fillId="0" borderId="0" applyFont="0" applyFill="0" applyBorder="0" applyAlignment="0" applyProtection="0"/>
    <xf numFmtId="236" fontId="65" fillId="0" borderId="0" applyFont="0" applyFill="0" applyBorder="0" applyAlignment="0" applyProtection="0"/>
    <xf numFmtId="237" fontId="56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8" fillId="0" borderId="0" applyFont="0" applyFill="0" applyBorder="0" applyAlignment="0" applyProtection="0"/>
    <xf numFmtId="240" fontId="58" fillId="0" borderId="0" applyFont="0" applyFill="0" applyBorder="0" applyAlignment="0" applyProtection="0"/>
    <xf numFmtId="241" fontId="58" fillId="0" borderId="0" applyFont="0" applyFill="0" applyBorder="0" applyAlignment="0" applyProtection="0"/>
    <xf numFmtId="242" fontId="58" fillId="0" borderId="0" applyFont="0" applyFill="0" applyBorder="0" applyAlignment="0" applyProtection="0"/>
    <xf numFmtId="243" fontId="65" fillId="0" borderId="0" applyFont="0" applyFill="0" applyBorder="0" applyAlignment="0" applyProtection="0"/>
    <xf numFmtId="244" fontId="56" fillId="0" borderId="0" applyFont="0" applyFill="0" applyBorder="0" applyAlignment="0" applyProtection="0"/>
    <xf numFmtId="245" fontId="65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65" fillId="0" borderId="0" applyFont="0" applyFill="0" applyBorder="0" applyAlignment="0" applyProtection="0"/>
    <xf numFmtId="248" fontId="56" fillId="0" borderId="0" applyFont="0" applyFill="0" applyBorder="0" applyAlignment="0" applyProtection="0"/>
    <xf numFmtId="249" fontId="14" fillId="0" borderId="0" applyFont="0" applyFill="0" applyBorder="0" applyAlignment="0">
      <protection locked="0"/>
    </xf>
    <xf numFmtId="250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66" fillId="0" borderId="0" applyFill="0" applyBorder="0" applyAlignment="0" applyProtection="0"/>
    <xf numFmtId="9" fontId="70" fillId="0" borderId="0" applyBorder="0"/>
    <xf numFmtId="166" fontId="70" fillId="0" borderId="0" applyBorder="0"/>
    <xf numFmtId="10" fontId="70" fillId="0" borderId="0" applyBorder="0"/>
    <xf numFmtId="0" fontId="29" fillId="0" borderId="0" applyNumberFormat="0" applyFont="0" applyFill="0" applyBorder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5" fillId="0" borderId="0">
      <alignment horizontal="left" vertical="top"/>
    </xf>
    <xf numFmtId="0" fontId="30" fillId="0" borderId="10">
      <alignment horizontal="center"/>
    </xf>
    <xf numFmtId="3" fontId="29" fillId="0" borderId="0" applyFont="0" applyFill="0" applyBorder="0" applyAlignment="0" applyProtection="0"/>
    <xf numFmtId="0" fontId="29" fillId="31" borderId="0" applyNumberFormat="0" applyFont="0" applyBorder="0" applyAlignment="0" applyProtection="0"/>
    <xf numFmtId="3" fontId="5" fillId="0" borderId="0">
      <alignment horizontal="right" vertical="top"/>
    </xf>
    <xf numFmtId="41" fontId="18" fillId="25" borderId="19" applyFill="0"/>
    <xf numFmtId="0" fontId="31" fillId="0" borderId="0">
      <alignment horizontal="left" indent="7"/>
    </xf>
    <xf numFmtId="41" fontId="18" fillId="0" borderId="19" applyFill="0">
      <alignment horizontal="left" indent="2"/>
    </xf>
    <xf numFmtId="168" fontId="32" fillId="0" borderId="1" applyFill="0">
      <alignment horizontal="right"/>
    </xf>
    <xf numFmtId="0" fontId="8" fillId="0" borderId="13" applyNumberFormat="0" applyFont="0" applyBorder="0">
      <alignment horizontal="right"/>
    </xf>
    <xf numFmtId="0" fontId="33" fillId="0" borderId="0" applyFill="0"/>
    <xf numFmtId="0" fontId="13" fillId="0" borderId="0" applyFill="0"/>
    <xf numFmtId="4" fontId="32" fillId="0" borderId="1" applyFill="0"/>
    <xf numFmtId="0" fontId="5" fillId="0" borderId="0" applyNumberFormat="0" applyFont="0" applyBorder="0" applyAlignment="0"/>
    <xf numFmtId="0" fontId="16" fillId="0" borderId="0" applyFill="0">
      <alignment horizontal="left" indent="1"/>
    </xf>
    <xf numFmtId="0" fontId="34" fillId="0" borderId="0" applyFill="0">
      <alignment horizontal="left" indent="1"/>
    </xf>
    <xf numFmtId="4" fontId="19" fillId="0" borderId="0" applyFill="0"/>
    <xf numFmtId="0" fontId="5" fillId="0" borderId="0" applyNumberFormat="0" applyFont="0" applyFill="0" applyBorder="0" applyAlignment="0"/>
    <xf numFmtId="0" fontId="16" fillId="0" borderId="0" applyFill="0">
      <alignment horizontal="left" indent="2"/>
    </xf>
    <xf numFmtId="0" fontId="13" fillId="0" borderId="0" applyFill="0">
      <alignment horizontal="left" indent="2"/>
    </xf>
    <xf numFmtId="4" fontId="19" fillId="0" borderId="0" applyFill="0"/>
    <xf numFmtId="0" fontId="5" fillId="0" borderId="0" applyNumberFormat="0" applyFont="0" applyBorder="0" applyAlignment="0"/>
    <xf numFmtId="0" fontId="35" fillId="0" borderId="0">
      <alignment horizontal="left" indent="3"/>
    </xf>
    <xf numFmtId="0" fontId="36" fillId="0" borderId="0" applyFill="0">
      <alignment horizontal="left" indent="3"/>
    </xf>
    <xf numFmtId="4" fontId="19" fillId="0" borderId="0" applyFill="0"/>
    <xf numFmtId="0" fontId="5" fillId="0" borderId="0" applyNumberFormat="0" applyFont="0" applyBorder="0" applyAlignment="0"/>
    <xf numFmtId="0" fontId="20" fillId="0" borderId="0">
      <alignment horizontal="left" indent="4"/>
    </xf>
    <xf numFmtId="0" fontId="5" fillId="0" borderId="0" applyFill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69" fillId="0" borderId="20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0" fillId="0" borderId="0"/>
    <xf numFmtId="0" fontId="57" fillId="0" borderId="10">
      <alignment horizontal="right"/>
    </xf>
    <xf numFmtId="0" fontId="11" fillId="6" borderId="0"/>
    <xf numFmtId="251" fontId="67" fillId="0" borderId="0">
      <alignment horizontal="center"/>
    </xf>
    <xf numFmtId="252" fontId="81" fillId="0" borderId="0">
      <alignment horizontal="center"/>
    </xf>
    <xf numFmtId="0" fontId="82" fillId="0" borderId="0" applyNumberFormat="0" applyFill="0" applyBorder="0" applyAlignment="0" applyProtection="0"/>
    <xf numFmtId="0" fontId="4" fillId="0" borderId="0" applyNumberFormat="0" applyBorder="0" applyAlignment="0"/>
    <xf numFmtId="0" fontId="51" fillId="0" borderId="0" applyNumberFormat="0" applyBorder="0" applyAlignment="0"/>
    <xf numFmtId="0" fontId="5" fillId="25" borderId="6" applyNumberFormat="0" applyFont="0" applyAlignment="0"/>
    <xf numFmtId="0" fontId="69" fillId="27" borderId="0" applyNumberFormat="0" applyFont="0" applyBorder="0" applyAlignment="0" applyProtection="0"/>
    <xf numFmtId="0" fontId="83" fillId="0" borderId="9" applyNumberFormat="0" applyFont="0" applyFill="0" applyAlignment="0" applyProtection="0"/>
    <xf numFmtId="0" fontId="53" fillId="0" borderId="0" applyFill="0" applyBorder="0" applyProtection="0">
      <alignment horizontal="left" vertical="top"/>
    </xf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/>
    <xf numFmtId="0" fontId="5" fillId="0" borderId="3" applyNumberFormat="0" applyFont="0" applyFill="0" applyAlignment="0" applyProtection="0"/>
    <xf numFmtId="0" fontId="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53" fontId="56" fillId="0" borderId="0" applyFont="0" applyFill="0" applyBorder="0" applyAlignment="0" applyProtection="0"/>
    <xf numFmtId="254" fontId="56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6" fillId="27" borderId="21" applyFont="0" applyFill="0" applyBorder="0" applyAlignment="0" applyProtection="0"/>
    <xf numFmtId="261" fontId="60" fillId="0" borderId="0" applyFont="0" applyFill="0" applyBorder="0" applyAlignment="0" applyProtection="0"/>
    <xf numFmtId="262" fontId="63" fillId="0" borderId="0" applyFont="0" applyFill="0" applyBorder="0" applyAlignment="0" applyProtection="0"/>
    <xf numFmtId="263" fontId="67" fillId="0" borderId="9" applyFont="0" applyFill="0" applyBorder="0">
      <protection locked="0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215" fontId="10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6" fillId="0" borderId="0"/>
    <xf numFmtId="9" fontId="3" fillId="0" borderId="0" applyFont="0" applyFill="0" applyBorder="0" applyAlignment="0" applyProtection="0"/>
    <xf numFmtId="0" fontId="106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06" fillId="0" borderId="0"/>
    <xf numFmtId="44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6" fillId="0" borderId="0"/>
    <xf numFmtId="0" fontId="156" fillId="0" borderId="0"/>
    <xf numFmtId="43" fontId="15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2" borderId="0"/>
    <xf numFmtId="0" fontId="37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2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37" fillId="5" borderId="0" applyNumberFormat="0" applyBorder="0" applyAlignment="0" applyProtection="0"/>
    <xf numFmtId="0" fontId="37" fillId="22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26" borderId="0" applyNumberFormat="0" applyBorder="0" applyAlignment="0" applyProtection="0"/>
    <xf numFmtId="0" fontId="37" fillId="37" borderId="0" applyNumberFormat="0" applyBorder="0" applyAlignment="0" applyProtection="0"/>
    <xf numFmtId="0" fontId="37" fillId="35" borderId="0" applyNumberFormat="0" applyBorder="0" applyAlignment="0" applyProtection="0"/>
    <xf numFmtId="0" fontId="9" fillId="40" borderId="0" applyNumberFormat="0" applyBorder="0" applyAlignment="0" applyProtection="0"/>
    <xf numFmtId="0" fontId="9" fillId="23" borderId="0" applyNumberFormat="0" applyBorder="0" applyAlignment="0" applyProtection="0"/>
    <xf numFmtId="0" fontId="37" fillId="35" borderId="0" applyNumberFormat="0" applyBorder="0" applyAlignment="0" applyProtection="0"/>
    <xf numFmtId="0" fontId="37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37" fillId="13" borderId="0" applyNumberFormat="0" applyBorder="0" applyAlignment="0" applyProtection="0"/>
    <xf numFmtId="0" fontId="130" fillId="6" borderId="0" applyNumberFormat="0" applyBorder="0" applyAlignment="0" applyProtection="0"/>
    <xf numFmtId="0" fontId="131" fillId="41" borderId="22" applyNumberFormat="0" applyAlignment="0" applyProtection="0"/>
    <xf numFmtId="0" fontId="40" fillId="39" borderId="5" applyNumberFormat="0" applyAlignment="0" applyProtection="0"/>
    <xf numFmtId="0" fontId="132" fillId="42" borderId="0" applyNumberFormat="0" applyBorder="0" applyAlignment="0" applyProtection="0"/>
    <xf numFmtId="0" fontId="132" fillId="43" borderId="0" applyNumberFormat="0" applyBorder="0" applyAlignment="0" applyProtection="0"/>
    <xf numFmtId="0" fontId="132" fillId="44" borderId="0" applyNumberFormat="0" applyBorder="0" applyAlignment="0" applyProtection="0"/>
    <xf numFmtId="0" fontId="9" fillId="12" borderId="0" applyNumberFormat="0" applyBorder="0" applyAlignment="0" applyProtection="0"/>
    <xf numFmtId="0" fontId="133" fillId="0" borderId="23" applyNumberFormat="0" applyFill="0" applyAlignment="0" applyProtection="0"/>
    <xf numFmtId="0" fontId="134" fillId="0" borderId="24" applyNumberFormat="0" applyFill="0" applyAlignment="0" applyProtection="0"/>
    <xf numFmtId="0" fontId="43" fillId="0" borderId="25" applyNumberFormat="0" applyFill="0" applyAlignment="0" applyProtection="0"/>
    <xf numFmtId="0" fontId="135" fillId="8" borderId="22" applyNumberFormat="0" applyAlignment="0" applyProtection="0"/>
    <xf numFmtId="0" fontId="42" fillId="0" borderId="26" applyNumberFormat="0" applyFill="0" applyAlignment="0" applyProtection="0"/>
    <xf numFmtId="0" fontId="42" fillId="8" borderId="0" applyNumberFormat="0" applyBorder="0" applyAlignment="0" applyProtection="0"/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4" borderId="29" applyNumberFormat="0">
      <protection locked="0"/>
    </xf>
    <xf numFmtId="0" fontId="6" fillId="23" borderId="30" applyBorder="0"/>
    <xf numFmtId="0" fontId="126" fillId="6" borderId="27" applyNumberFormat="0" applyProtection="0">
      <alignment vertical="center"/>
    </xf>
    <xf numFmtId="0" fontId="137" fillId="6" borderId="13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9" borderId="13"/>
    <xf numFmtId="0" fontId="129" fillId="24" borderId="22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132" fillId="0" borderId="31" applyNumberFormat="0" applyFill="0" applyAlignment="0" applyProtection="0"/>
    <xf numFmtId="0" fontId="136" fillId="0" borderId="0" applyNumberFormat="0" applyFill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22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156" fillId="0" borderId="0"/>
    <xf numFmtId="0" fontId="3" fillId="0" borderId="0"/>
    <xf numFmtId="43" fontId="3" fillId="0" borderId="0" applyFont="0" applyFill="0" applyBorder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6" fillId="0" borderId="0"/>
    <xf numFmtId="0" fontId="3" fillId="0" borderId="0"/>
    <xf numFmtId="9" fontId="3" fillId="0" borderId="0" applyFont="0" applyFill="0" applyBorder="0" applyAlignment="0" applyProtection="0"/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101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8" fillId="0" borderId="0"/>
    <xf numFmtId="37" fontId="18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50" borderId="32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7" fillId="32" borderId="0"/>
    <xf numFmtId="43" fontId="3" fillId="0" borderId="0" applyFont="0" applyFill="0" applyBorder="0" applyAlignment="0" applyProtection="0"/>
    <xf numFmtId="43" fontId="156" fillId="0" borderId="0" applyFont="0" applyFill="0" applyBorder="0" applyAlignment="0" applyProtection="0"/>
    <xf numFmtId="0" fontId="3" fillId="0" borderId="0"/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45" borderId="22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6" fillId="23" borderId="30" applyBorder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40" borderId="22" applyNumberFormat="0" applyProtection="0">
      <alignment horizontal="left" vertical="center" indent="1"/>
    </xf>
    <xf numFmtId="0" fontId="3" fillId="0" borderId="0"/>
    <xf numFmtId="43" fontId="3" fillId="0" borderId="0" applyFont="0" applyFill="0" applyBorder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7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7" fillId="22" borderId="22" applyNumberFormat="0" applyProtection="0">
      <alignment horizontal="right" vertical="center"/>
    </xf>
    <xf numFmtId="0" fontId="3" fillId="0" borderId="0"/>
    <xf numFmtId="9" fontId="3" fillId="0" borderId="0" applyFont="0" applyFill="0" applyBorder="0" applyAlignment="0" applyProtection="0"/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6" fillId="23" borderId="30" applyBorder="0"/>
    <xf numFmtId="0" fontId="128" fillId="48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37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8" borderId="22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46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6" fillId="6" borderId="2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2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28" applyNumberFormat="0" applyProtection="0">
      <alignment horizontal="left" vertical="center" indent="1"/>
    </xf>
    <xf numFmtId="0" fontId="3" fillId="0" borderId="0"/>
    <xf numFmtId="0" fontId="3" fillId="0" borderId="0"/>
    <xf numFmtId="0" fontId="132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3" borderId="22" applyNumberFormat="0" applyProtection="0">
      <alignment horizontal="right" vertical="center"/>
    </xf>
    <xf numFmtId="0" fontId="3" fillId="0" borderId="0"/>
    <xf numFmtId="0" fontId="7" fillId="17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48" borderId="2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6" borderId="2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6" borderId="27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6" fillId="23" borderId="30" applyBorder="0"/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5" fillId="8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3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6" borderId="22" applyNumberFormat="0" applyFont="0" applyAlignment="0" applyProtection="0"/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21" borderId="28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6" fillId="23" borderId="30" applyBorder="0"/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13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2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1" fillId="41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6" fillId="23" borderId="30" applyBorder="0"/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0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6" fillId="23" borderId="30" applyBorder="0"/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47" fillId="41" borderId="18" applyNumberFormat="0" applyAlignment="0" applyProtection="0"/>
    <xf numFmtId="0" fontId="47" fillId="41" borderId="18" applyNumberFormat="0" applyAlignment="0" applyProtection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6" fillId="23" borderId="30" applyBorder="0"/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6" fillId="23" borderId="30" applyBorder="0"/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6" fillId="23" borderId="30" applyBorder="0"/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6" fillId="23" borderId="30" applyBorder="0"/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5" fillId="8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7" fillId="37" borderId="22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1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7" fillId="47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2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7" borderId="27" applyNumberFormat="0" applyProtection="0">
      <alignment horizontal="left" vertical="top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3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5" borderId="22" applyNumberFormat="0" applyProtection="0">
      <alignment horizontal="right" vertical="center"/>
    </xf>
    <xf numFmtId="0" fontId="3" fillId="0" borderId="0"/>
    <xf numFmtId="0" fontId="3" fillId="0" borderId="0"/>
    <xf numFmtId="0" fontId="6" fillId="23" borderId="3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2" borderId="22" applyNumberFormat="0" applyProtection="0">
      <alignment horizontal="right" vertical="center"/>
    </xf>
    <xf numFmtId="0" fontId="3" fillId="0" borderId="0"/>
    <xf numFmtId="0" fontId="126" fillId="25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7" fillId="24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7" borderId="2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47" fillId="41" borderId="18" applyNumberFormat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5" fillId="8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47" fillId="41" borderId="18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6" fillId="23" borderId="30" applyBorder="0"/>
    <xf numFmtId="0" fontId="7" fillId="1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6" fillId="23" borderId="30" applyBorder="0"/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135" fillId="8" borderId="22" applyNumberFormat="0" applyAlignment="0" applyProtection="0"/>
    <xf numFmtId="0" fontId="135" fillId="8" borderId="22" applyNumberFormat="0" applyAlignment="0" applyProtection="0"/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6" fillId="23" borderId="30" applyBorder="0"/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6" fillId="23" borderId="30" applyBorder="0"/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6" fillId="23" borderId="30" applyBorder="0"/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6" fillId="23" borderId="30" applyBorder="0"/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5" fillId="8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7" fillId="37" borderId="22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1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7" fillId="47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2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7" borderId="27" applyNumberFormat="0" applyProtection="0">
      <alignment horizontal="left" vertical="top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3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5" borderId="22" applyNumberFormat="0" applyProtection="0">
      <alignment horizontal="right" vertical="center"/>
    </xf>
    <xf numFmtId="0" fontId="3" fillId="0" borderId="0"/>
    <xf numFmtId="0" fontId="3" fillId="0" borderId="0"/>
    <xf numFmtId="0" fontId="6" fillId="23" borderId="3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2" borderId="22" applyNumberFormat="0" applyProtection="0">
      <alignment horizontal="right" vertical="center"/>
    </xf>
    <xf numFmtId="0" fontId="3" fillId="0" borderId="0"/>
    <xf numFmtId="0" fontId="126" fillId="25" borderId="2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7" fillId="24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7" borderId="2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47" fillId="41" borderId="18" applyNumberFormat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135" fillId="8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5" fillId="8" borderId="22" applyNumberFormat="0" applyAlignment="0" applyProtection="0"/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6" borderId="27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47" fillId="41" borderId="18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6" borderId="22" applyNumberFormat="0" applyFont="0" applyAlignment="0" applyProtection="0"/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6" fillId="23" borderId="30" applyBorder="0"/>
    <xf numFmtId="0" fontId="7" fillId="1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6" fillId="23" borderId="30" applyBorder="0"/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7" fillId="1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27" fillId="11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135" fillId="8" borderId="22" applyNumberFormat="0" applyAlignment="0" applyProtection="0"/>
    <xf numFmtId="0" fontId="135" fillId="8" borderId="22" applyNumberFormat="0" applyAlignment="0" applyProtection="0"/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5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6" fillId="23" borderId="30" applyBorder="0"/>
    <xf numFmtId="0" fontId="7" fillId="2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6" fillId="23" borderId="30" applyBorder="0"/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6" fillId="23" borderId="30" applyBorder="0"/>
    <xf numFmtId="0" fontId="126" fillId="6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6" fillId="23" borderId="30" applyBorder="0"/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6" fillId="23" borderId="30" applyBorder="0"/>
    <xf numFmtId="0" fontId="6" fillId="23" borderId="30" applyBorder="0"/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25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12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1" fillId="41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7" fillId="1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0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0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6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8" fillId="48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8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3" borderId="22" applyNumberFormat="0" applyProtection="0">
      <alignment horizontal="right" vertical="center"/>
    </xf>
    <xf numFmtId="0" fontId="6" fillId="23" borderId="30" applyBorder="0"/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7" fillId="11" borderId="22" applyNumberFormat="0" applyProtection="0">
      <alignment vertical="center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6" fillId="23" borderId="30" applyBorder="0"/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6" fillId="23" borderId="30" applyBorder="0"/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2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32" fillId="0" borderId="31" applyNumberFormat="0" applyFill="0" applyAlignment="0" applyProtection="0"/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6" borderId="27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35" fillId="8" borderId="22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6" fillId="23" borderId="30" applyBorder="0"/>
    <xf numFmtId="0" fontId="7" fillId="5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6" fillId="23" borderId="30" applyBorder="0"/>
    <xf numFmtId="0" fontId="135" fillId="8" borderId="22" applyNumberFormat="0" applyAlignment="0" applyProtection="0"/>
    <xf numFmtId="0" fontId="7" fillId="37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47" fillId="41" borderId="18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135" fillId="8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47" fillId="41" borderId="18" applyNumberFormat="0" applyAlignment="0" applyProtection="0"/>
    <xf numFmtId="0" fontId="126" fillId="6" borderId="27" applyNumberFormat="0" applyProtection="0">
      <alignment vertical="center"/>
    </xf>
    <xf numFmtId="0" fontId="7" fillId="37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5" fillId="23" borderId="28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6" fillId="23" borderId="30" applyBorder="0"/>
    <xf numFmtId="0" fontId="7" fillId="23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0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40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37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18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46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37" borderId="27" applyNumberFormat="0" applyProtection="0">
      <alignment horizontal="left" vertical="top" indent="1"/>
    </xf>
    <xf numFmtId="0" fontId="127" fillId="11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6" borderId="22" applyNumberFormat="0" applyFont="0" applyAlignment="0" applyProtection="0"/>
    <xf numFmtId="0" fontId="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1" fillId="41" borderId="22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23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2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6" fillId="23" borderId="30" applyBorder="0"/>
    <xf numFmtId="0" fontId="137" fillId="24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40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7" fillId="37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" borderId="22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7" fillId="22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7" fillId="21" borderId="28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131" fillId="41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26" fillId="6" borderId="27" applyNumberFormat="0" applyProtection="0">
      <alignment horizontal="left" vertical="top" indent="1"/>
    </xf>
    <xf numFmtId="0" fontId="7" fillId="5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11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40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47" fillId="41" borderId="18" applyNumberFormat="0" applyAlignment="0" applyProtection="0"/>
    <xf numFmtId="0" fontId="7" fillId="38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37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12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7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137" fillId="24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7" fillId="37" borderId="27" applyNumberFormat="0" applyProtection="0">
      <alignment horizontal="left" vertical="top" indent="1"/>
    </xf>
    <xf numFmtId="0" fontId="7" fillId="13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135" fillId="8" borderId="22" applyNumberFormat="0" applyAlignment="0" applyProtection="0"/>
    <xf numFmtId="0" fontId="132" fillId="0" borderId="31" applyNumberFormat="0" applyFill="0" applyAlignment="0" applyProtection="0"/>
    <xf numFmtId="0" fontId="137" fillId="11" borderId="22" applyNumberFormat="0" applyProtection="0">
      <alignment vertical="center"/>
    </xf>
    <xf numFmtId="0" fontId="135" fillId="8" borderId="22" applyNumberFormat="0" applyAlignment="0" applyProtection="0"/>
    <xf numFmtId="0" fontId="129" fillId="24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21" borderId="28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37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26" fillId="6" borderId="27" applyNumberFormat="0" applyProtection="0">
      <alignment vertical="center"/>
    </xf>
    <xf numFmtId="0" fontId="5" fillId="23" borderId="28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6" borderId="22" applyNumberFormat="0" applyFont="0" applyAlignment="0" applyProtection="0"/>
    <xf numFmtId="0" fontId="7" fillId="2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46" borderId="28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6" fillId="23" borderId="30" applyBorder="0"/>
    <xf numFmtId="0" fontId="135" fillId="8" borderId="22" applyNumberFormat="0" applyAlignment="0" applyProtection="0"/>
    <xf numFmtId="0" fontId="7" fillId="21" borderId="28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7" fillId="0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1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6" fillId="23" borderId="30" applyBorder="0"/>
    <xf numFmtId="0" fontId="137" fillId="11" borderId="22" applyNumberFormat="0" applyProtection="0">
      <alignment vertical="center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3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7" fillId="40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128" fillId="48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12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26" fillId="6" borderId="27" applyNumberFormat="0" applyProtection="0">
      <alignment vertical="center"/>
    </xf>
    <xf numFmtId="0" fontId="135" fillId="8" borderId="22" applyNumberFormat="0" applyAlignment="0" applyProtection="0"/>
    <xf numFmtId="0" fontId="7" fillId="23" borderId="27" applyNumberFormat="0" applyProtection="0">
      <alignment horizontal="left" vertical="top" indent="1"/>
    </xf>
    <xf numFmtId="0" fontId="7" fillId="37" borderId="27" applyNumberFormat="0" applyProtection="0">
      <alignment horizontal="left" vertical="top" indent="1"/>
    </xf>
    <xf numFmtId="0" fontId="7" fillId="40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6" fillId="23" borderId="30" applyBorder="0"/>
    <xf numFmtId="0" fontId="128" fillId="48" borderId="28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26" fillId="25" borderId="27" applyNumberFormat="0" applyProtection="0">
      <alignment horizontal="left" vertical="center" indent="1"/>
    </xf>
    <xf numFmtId="0" fontId="47" fillId="41" borderId="18" applyNumberFormat="0" applyAlignment="0" applyProtection="0"/>
    <xf numFmtId="0" fontId="47" fillId="41" borderId="18" applyNumberFormat="0" applyAlignment="0" applyProtection="0"/>
    <xf numFmtId="0" fontId="126" fillId="25" borderId="27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3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135" fillId="8" borderId="22" applyNumberFormat="0" applyAlignment="0" applyProtection="0"/>
    <xf numFmtId="0" fontId="137" fillId="11" borderId="22" applyNumberFormat="0" applyProtection="0">
      <alignment vertical="center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131" fillId="41" borderId="22" applyNumberFormat="0" applyAlignment="0" applyProtection="0"/>
    <xf numFmtId="0" fontId="7" fillId="46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7" fillId="15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6" borderId="22" applyNumberFormat="0" applyFont="0" applyAlignment="0" applyProtection="0"/>
    <xf numFmtId="0" fontId="137" fillId="24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6" fillId="23" borderId="30" applyBorder="0"/>
    <xf numFmtId="0" fontId="5" fillId="23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126" fillId="37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0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0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7" fillId="11" borderId="22" applyNumberFormat="0" applyProtection="0">
      <alignment vertical="center"/>
    </xf>
    <xf numFmtId="0" fontId="132" fillId="0" borderId="31" applyNumberFormat="0" applyFill="0" applyAlignment="0" applyProtection="0"/>
    <xf numFmtId="0" fontId="7" fillId="45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1" fillId="41" borderId="22" applyNumberFormat="0" applyAlignment="0" applyProtection="0"/>
    <xf numFmtId="0" fontId="128" fillId="48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126" fillId="37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6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2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47" borderId="22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7" fillId="46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126" fillId="6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137" fillId="11" borderId="22" applyNumberFormat="0" applyProtection="0">
      <alignment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126" fillId="37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135" fillId="8" borderId="22" applyNumberFormat="0" applyAlignment="0" applyProtection="0"/>
    <xf numFmtId="0" fontId="7" fillId="40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6" fillId="23" borderId="30" applyBorder="0"/>
    <xf numFmtId="0" fontId="7" fillId="0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47" fillId="41" borderId="18" applyNumberFormat="0" applyAlignment="0" applyProtection="0"/>
    <xf numFmtId="0" fontId="137" fillId="11" borderId="22" applyNumberFormat="0" applyProtection="0">
      <alignment vertical="center"/>
    </xf>
    <xf numFmtId="0" fontId="7" fillId="12" borderId="22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7" fillId="37" borderId="22" applyNumberFormat="0" applyProtection="0">
      <alignment horizontal="right" vertical="center"/>
    </xf>
    <xf numFmtId="0" fontId="3" fillId="0" borderId="0"/>
    <xf numFmtId="43" fontId="3" fillId="0" borderId="0" applyFont="0" applyFill="0" applyBorder="0" applyAlignment="0" applyProtection="0"/>
    <xf numFmtId="0" fontId="7" fillId="13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40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5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7" fillId="6" borderId="22" applyNumberFormat="0" applyFont="0" applyAlignment="0" applyProtection="0"/>
    <xf numFmtId="0" fontId="131" fillId="41" borderId="22" applyNumberFormat="0" applyAlignment="0" applyProtection="0"/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7" fillId="12" borderId="22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135" fillId="8" borderId="22" applyNumberFormat="0" applyAlignment="0" applyProtection="0"/>
    <xf numFmtId="0" fontId="47" fillId="41" borderId="18" applyNumberFormat="0" applyAlignment="0" applyProtection="0"/>
    <xf numFmtId="0" fontId="7" fillId="11" borderId="22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5" fillId="23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13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7" fillId="45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6" fillId="23" borderId="30" applyBorder="0"/>
    <xf numFmtId="0" fontId="7" fillId="40" borderId="22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1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7" fillId="47" borderId="22" applyNumberFormat="0" applyProtection="0">
      <alignment horizontal="left" vertical="center" indent="1"/>
    </xf>
    <xf numFmtId="0" fontId="3" fillId="0" borderId="0"/>
    <xf numFmtId="9" fontId="3" fillId="0" borderId="0" applyFont="0" applyFill="0" applyBorder="0" applyAlignment="0" applyProtection="0"/>
    <xf numFmtId="0" fontId="131" fillId="41" borderId="22" applyNumberFormat="0" applyAlignment="0" applyProtection="0"/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47" fillId="41" borderId="18" applyNumberFormat="0" applyAlignment="0" applyProtection="0"/>
    <xf numFmtId="0" fontId="7" fillId="22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15" borderId="22" applyNumberFormat="0" applyProtection="0">
      <alignment horizontal="right" vertical="center"/>
    </xf>
    <xf numFmtId="0" fontId="7" fillId="21" borderId="28" applyNumberFormat="0" applyProtection="0">
      <alignment horizontal="right" vertical="center"/>
    </xf>
    <xf numFmtId="0" fontId="7" fillId="37" borderId="28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2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126" fillId="25" borderId="27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6" fillId="23" borderId="30" applyBorder="0"/>
    <xf numFmtId="0" fontId="7" fillId="25" borderId="22" applyNumberFormat="0" applyProtection="0">
      <alignment horizontal="left" vertical="center" indent="1"/>
    </xf>
    <xf numFmtId="0" fontId="7" fillId="18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5" borderId="22" applyNumberFormat="0" applyProtection="0">
      <alignment horizontal="left" vertical="center" indent="1"/>
    </xf>
    <xf numFmtId="0" fontId="6" fillId="23" borderId="30" applyBorder="0"/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7" fillId="23" borderId="27" applyNumberFormat="0" applyProtection="0">
      <alignment horizontal="left" vertical="top" indent="1"/>
    </xf>
    <xf numFmtId="0" fontId="7" fillId="40" borderId="28" applyNumberFormat="0" applyProtection="0">
      <alignment horizontal="left" vertical="center" indent="1"/>
    </xf>
    <xf numFmtId="0" fontId="7" fillId="37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4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8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32" fillId="0" borderId="31" applyNumberFormat="0" applyFill="0" applyAlignment="0" applyProtection="0"/>
    <xf numFmtId="0" fontId="7" fillId="13" borderId="22" applyNumberFormat="0" applyProtection="0">
      <alignment horizontal="right" vertical="center"/>
    </xf>
    <xf numFmtId="0" fontId="5" fillId="23" borderId="28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0" borderId="22" applyNumberFormat="0" applyProtection="0">
      <alignment horizontal="right" vertical="center"/>
    </xf>
    <xf numFmtId="0" fontId="7" fillId="40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7" fillId="11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31" fillId="41" borderId="22" applyNumberFormat="0" applyAlignment="0" applyProtection="0"/>
    <xf numFmtId="0" fontId="137" fillId="24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7" fillId="11" borderId="22" applyNumberFormat="0" applyProtection="0">
      <alignment vertical="center"/>
    </xf>
    <xf numFmtId="0" fontId="7" fillId="6" borderId="22" applyNumberFormat="0" applyFont="0" applyAlignment="0" applyProtection="0"/>
    <xf numFmtId="0" fontId="126" fillId="25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top" indent="1"/>
    </xf>
    <xf numFmtId="0" fontId="126" fillId="37" borderId="27" applyNumberFormat="0" applyProtection="0">
      <alignment horizontal="left" vertical="top" indent="1"/>
    </xf>
    <xf numFmtId="0" fontId="7" fillId="6" borderId="22" applyNumberFormat="0" applyFont="0" applyAlignment="0" applyProtection="0"/>
    <xf numFmtId="0" fontId="7" fillId="40" borderId="28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37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11" borderId="22" applyNumberFormat="0" applyProtection="0">
      <alignment horizontal="left" vertical="center" indent="1"/>
    </xf>
    <xf numFmtId="0" fontId="7" fillId="46" borderId="28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2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40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37" borderId="27" applyNumberFormat="0" applyProtection="0">
      <alignment horizontal="left" vertical="top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13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3" borderId="3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2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7" fillId="24" borderId="2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7" borderId="2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7" borderId="27" applyNumberFormat="0" applyProtection="0">
      <alignment horizontal="left" vertical="top" indent="1"/>
    </xf>
    <xf numFmtId="0" fontId="137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" borderId="22" applyNumberFormat="0" applyProtection="0">
      <alignment horizontal="left" vertical="center" indent="1"/>
    </xf>
    <xf numFmtId="0" fontId="131" fillId="41" borderId="22" applyNumberFormat="0" applyAlignment="0" applyProtection="0"/>
    <xf numFmtId="0" fontId="7" fillId="11" borderId="22" applyNumberFormat="0" applyProtection="0">
      <alignment vertical="center"/>
    </xf>
    <xf numFmtId="0" fontId="126" fillId="6" borderId="27" applyNumberFormat="0" applyProtection="0">
      <alignment horizontal="left" vertical="top" indent="1"/>
    </xf>
    <xf numFmtId="0" fontId="7" fillId="15" borderId="22" applyNumberFormat="0" applyProtection="0">
      <alignment horizontal="right" vertical="center"/>
    </xf>
    <xf numFmtId="0" fontId="6" fillId="23" borderId="30" applyBorder="0"/>
    <xf numFmtId="0" fontId="7" fillId="38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4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129" fillId="24" borderId="22" applyNumberFormat="0" applyProtection="0">
      <alignment horizontal="right" vertical="center"/>
    </xf>
    <xf numFmtId="0" fontId="7" fillId="38" borderId="22" applyNumberFormat="0" applyProtection="0">
      <alignment horizontal="right" vertical="center"/>
    </xf>
    <xf numFmtId="0" fontId="129" fillId="24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25" borderId="22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11" borderId="22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17" borderId="22" applyNumberFormat="0" applyProtection="0">
      <alignment horizontal="left" vertical="center" indent="1"/>
    </xf>
    <xf numFmtId="0" fontId="135" fillId="8" borderId="22" applyNumberFormat="0" applyAlignment="0" applyProtection="0"/>
    <xf numFmtId="0" fontId="5" fillId="23" borderId="28" applyNumberFormat="0" applyProtection="0">
      <alignment horizontal="left" vertical="center" indent="1"/>
    </xf>
    <xf numFmtId="0" fontId="128" fillId="48" borderId="28" applyNumberFormat="0" applyProtection="0">
      <alignment horizontal="left" vertical="center" indent="1"/>
    </xf>
    <xf numFmtId="0" fontId="135" fillId="8" borderId="22" applyNumberFormat="0" applyAlignment="0" applyProtection="0"/>
    <xf numFmtId="0" fontId="7" fillId="40" borderId="28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45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132" fillId="0" borderId="31" applyNumberFormat="0" applyFill="0" applyAlignment="0" applyProtection="0"/>
    <xf numFmtId="0" fontId="7" fillId="40" borderId="28" applyNumberFormat="0" applyProtection="0">
      <alignment horizontal="left" vertical="center" indent="1"/>
    </xf>
    <xf numFmtId="0" fontId="126" fillId="37" borderId="27" applyNumberFormat="0" applyProtection="0">
      <alignment horizontal="left" vertical="top" indent="1"/>
    </xf>
    <xf numFmtId="0" fontId="7" fillId="46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38" borderId="22" applyNumberFormat="0" applyProtection="0">
      <alignment horizontal="right" vertical="center"/>
    </xf>
    <xf numFmtId="0" fontId="7" fillId="40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7" fillId="37" borderId="28" applyNumberFormat="0" applyProtection="0">
      <alignment horizontal="left" vertical="center" indent="1"/>
    </xf>
    <xf numFmtId="0" fontId="126" fillId="25" borderId="27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126" fillId="6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47" fillId="41" borderId="18" applyNumberFormat="0" applyAlignment="0" applyProtection="0"/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126" fillId="6" borderId="27" applyNumberFormat="0" applyProtection="0">
      <alignment vertical="center"/>
    </xf>
    <xf numFmtId="0" fontId="7" fillId="23" borderId="27" applyNumberFormat="0" applyProtection="0">
      <alignment horizontal="left" vertical="top" indent="1"/>
    </xf>
    <xf numFmtId="0" fontId="47" fillId="41" borderId="18" applyNumberFormat="0" applyAlignment="0" applyProtection="0"/>
    <xf numFmtId="0" fontId="7" fillId="21" borderId="28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7" fillId="15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26" fillId="25" borderId="27" applyNumberFormat="0" applyProtection="0">
      <alignment horizontal="left" vertical="center" indent="1"/>
    </xf>
    <xf numFmtId="0" fontId="7" fillId="37" borderId="22" applyNumberFormat="0" applyProtection="0">
      <alignment horizontal="right" vertical="center"/>
    </xf>
    <xf numFmtId="0" fontId="7" fillId="13" borderId="22" applyNumberFormat="0" applyProtection="0">
      <alignment horizontal="right" vertical="center"/>
    </xf>
    <xf numFmtId="0" fontId="135" fillId="8" borderId="22" applyNumberFormat="0" applyAlignment="0" applyProtection="0"/>
    <xf numFmtId="0" fontId="7" fillId="13" borderId="22" applyNumberFormat="0" applyProtection="0">
      <alignment horizontal="right" vertical="center"/>
    </xf>
    <xf numFmtId="0" fontId="137" fillId="24" borderId="22" applyNumberFormat="0" applyProtection="0">
      <alignment horizontal="right" vertical="center"/>
    </xf>
    <xf numFmtId="0" fontId="127" fillId="11" borderId="27" applyNumberFormat="0" applyProtection="0">
      <alignment horizontal="left" vertical="top" indent="1"/>
    </xf>
    <xf numFmtId="0" fontId="7" fillId="2" borderId="27" applyNumberFormat="0" applyProtection="0">
      <alignment horizontal="left" vertical="top" indent="1"/>
    </xf>
    <xf numFmtId="0" fontId="131" fillId="41" borderId="22" applyNumberFormat="0" applyAlignment="0" applyProtection="0"/>
    <xf numFmtId="0" fontId="7" fillId="38" borderId="22" applyNumberFormat="0" applyProtection="0">
      <alignment horizontal="right" vertical="center"/>
    </xf>
    <xf numFmtId="0" fontId="126" fillId="6" borderId="27" applyNumberFormat="0" applyProtection="0">
      <alignment horizontal="left" vertical="top" indent="1"/>
    </xf>
    <xf numFmtId="0" fontId="129" fillId="24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11" borderId="22" applyNumberFormat="0" applyProtection="0">
      <alignment vertical="center"/>
    </xf>
    <xf numFmtId="0" fontId="7" fillId="25" borderId="22" applyNumberFormat="0" applyProtection="0">
      <alignment horizontal="left" vertical="center" indent="1"/>
    </xf>
    <xf numFmtId="0" fontId="7" fillId="17" borderId="22" applyNumberFormat="0" applyProtection="0">
      <alignment horizontal="left" vertical="center" indent="1"/>
    </xf>
    <xf numFmtId="0" fontId="7" fillId="40" borderId="28" applyNumberFormat="0" applyProtection="0">
      <alignment horizontal="left" vertical="center" indent="1"/>
    </xf>
    <xf numFmtId="0" fontId="7" fillId="40" borderId="27" applyNumberFormat="0" applyProtection="0">
      <alignment horizontal="left" vertical="top" indent="1"/>
    </xf>
    <xf numFmtId="0" fontId="7" fillId="40" borderId="22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7" fillId="6" borderId="22" applyNumberFormat="0" applyFont="0" applyAlignment="0" applyProtection="0"/>
    <xf numFmtId="0" fontId="7" fillId="12" borderId="22" applyNumberFormat="0" applyProtection="0">
      <alignment horizontal="right" vertical="center"/>
    </xf>
    <xf numFmtId="0" fontId="7" fillId="2" borderId="22" applyNumberFormat="0" applyProtection="0">
      <alignment horizontal="left" vertical="center" indent="1"/>
    </xf>
    <xf numFmtId="0" fontId="7" fillId="47" borderId="22" applyNumberFormat="0" applyProtection="0">
      <alignment horizontal="left" vertical="center" indent="1"/>
    </xf>
    <xf numFmtId="0" fontId="7" fillId="22" borderId="22" applyNumberFormat="0" applyProtection="0">
      <alignment horizontal="right" vertical="center"/>
    </xf>
    <xf numFmtId="0" fontId="7" fillId="22" borderId="22" applyNumberFormat="0" applyProtection="0">
      <alignment horizontal="right" vertical="center"/>
    </xf>
    <xf numFmtId="0" fontId="7" fillId="17" borderId="22" applyNumberFormat="0" applyProtection="0">
      <alignment horizontal="left" vertical="center" indent="1"/>
    </xf>
    <xf numFmtId="0" fontId="7" fillId="5" borderId="22" applyNumberFormat="0" applyProtection="0">
      <alignment horizontal="right" vertical="center"/>
    </xf>
    <xf numFmtId="0" fontId="131" fillId="41" borderId="22" applyNumberFormat="0" applyAlignment="0" applyProtection="0"/>
    <xf numFmtId="0" fontId="7" fillId="0" borderId="22" applyNumberFormat="0" applyProtection="0">
      <alignment horizontal="right" vertical="center"/>
    </xf>
    <xf numFmtId="0" fontId="7" fillId="6" borderId="22" applyNumberFormat="0" applyFont="0" applyAlignment="0" applyProtection="0"/>
    <xf numFmtId="0" fontId="47" fillId="41" borderId="18" applyNumberFormat="0" applyAlignment="0" applyProtection="0"/>
    <xf numFmtId="0" fontId="7" fillId="0" borderId="22" applyNumberFormat="0" applyProtection="0">
      <alignment horizontal="right" vertical="center"/>
    </xf>
    <xf numFmtId="0" fontId="7" fillId="37" borderId="22" applyNumberFormat="0" applyProtection="0">
      <alignment horizontal="right" vertical="center"/>
    </xf>
    <xf numFmtId="0" fontId="7" fillId="23" borderId="27" applyNumberFormat="0" applyProtection="0">
      <alignment horizontal="left" vertical="top" indent="1"/>
    </xf>
    <xf numFmtId="0" fontId="7" fillId="38" borderId="22" applyNumberFormat="0" applyProtection="0">
      <alignment horizontal="right" vertical="center"/>
    </xf>
    <xf numFmtId="0" fontId="7" fillId="18" borderId="22" applyNumberFormat="0" applyProtection="0">
      <alignment horizontal="right" vertical="center"/>
    </xf>
    <xf numFmtId="0" fontId="7" fillId="37" borderId="27" applyNumberFormat="0" applyProtection="0">
      <alignment horizontal="left" vertical="top" indent="1"/>
    </xf>
    <xf numFmtId="0" fontId="126" fillId="6" borderId="27" applyNumberFormat="0" applyProtection="0">
      <alignment vertical="center"/>
    </xf>
    <xf numFmtId="0" fontId="131" fillId="41" borderId="22" applyNumberFormat="0" applyAlignment="0" applyProtection="0"/>
    <xf numFmtId="0" fontId="7" fillId="13" borderId="22" applyNumberFormat="0" applyProtection="0">
      <alignment horizontal="right" vertical="center"/>
    </xf>
    <xf numFmtId="0" fontId="7" fillId="47" borderId="22" applyNumberFormat="0" applyProtection="0">
      <alignment horizontal="left" vertical="center" indent="1"/>
    </xf>
    <xf numFmtId="0" fontId="132" fillId="0" borderId="31" applyNumberFormat="0" applyFill="0" applyAlignment="0" applyProtection="0"/>
    <xf numFmtId="0" fontId="7" fillId="17" borderId="22" applyNumberFormat="0" applyProtection="0">
      <alignment horizontal="left" vertical="center" indent="1"/>
    </xf>
    <xf numFmtId="0" fontId="126" fillId="6" borderId="27" applyNumberFormat="0" applyProtection="0">
      <alignment vertical="center"/>
    </xf>
    <xf numFmtId="0" fontId="7" fillId="37" borderId="27" applyNumberFormat="0" applyProtection="0">
      <alignment horizontal="left" vertical="top" indent="1"/>
    </xf>
    <xf numFmtId="0" fontId="7" fillId="37" borderId="28" applyNumberFormat="0" applyProtection="0">
      <alignment horizontal="left" vertical="center" indent="1"/>
    </xf>
    <xf numFmtId="0" fontId="7" fillId="11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13" borderId="22" applyNumberFormat="0" applyProtection="0">
      <alignment horizontal="right" vertical="center"/>
    </xf>
    <xf numFmtId="0" fontId="7" fillId="45" borderId="22" applyNumberFormat="0" applyProtection="0">
      <alignment horizontal="right" vertical="center"/>
    </xf>
    <xf numFmtId="0" fontId="47" fillId="41" borderId="18" applyNumberFormat="0" applyAlignment="0" applyProtection="0"/>
    <xf numFmtId="0" fontId="7" fillId="2" borderId="22" applyNumberFormat="0" applyProtection="0">
      <alignment horizontal="left" vertical="center" indent="1"/>
    </xf>
    <xf numFmtId="0" fontId="5" fillId="23" borderId="28" applyNumberFormat="0" applyProtection="0">
      <alignment horizontal="left" vertical="center" indent="1"/>
    </xf>
    <xf numFmtId="0" fontId="7" fillId="21" borderId="28" applyNumberFormat="0" applyProtection="0">
      <alignment horizontal="right" vertical="center"/>
    </xf>
    <xf numFmtId="0" fontId="6" fillId="23" borderId="30" applyBorder="0"/>
    <xf numFmtId="0" fontId="7" fillId="47" borderId="22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2" fillId="0" borderId="0"/>
    <xf numFmtId="0" fontId="3" fillId="0" borderId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168" fontId="1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0" fillId="0" borderId="0" applyProtection="0"/>
    <xf numFmtId="9" fontId="5" fillId="0" borderId="0" applyFont="0" applyFill="0" applyBorder="0" applyAlignment="0" applyProtection="0"/>
    <xf numFmtId="168" fontId="10" fillId="0" borderId="0" applyProtection="0"/>
    <xf numFmtId="168" fontId="10" fillId="0" borderId="0" applyProtection="0"/>
    <xf numFmtId="168" fontId="10" fillId="0" borderId="0" applyProtection="0"/>
    <xf numFmtId="168" fontId="10" fillId="0" borderId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0" fillId="0" borderId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0" fillId="0" borderId="0" applyProtection="0"/>
    <xf numFmtId="168" fontId="10" fillId="0" borderId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9" fillId="0" borderId="0" applyNumberFormat="0" applyFont="0" applyFill="0" applyBorder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0" fillId="0" borderId="0" applyProtection="0"/>
    <xf numFmtId="168" fontId="10" fillId="0" borderId="0" applyProtection="0"/>
    <xf numFmtId="168" fontId="10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4" borderId="0" applyNumberFormat="0" applyBorder="0" applyAlignment="0" applyProtection="0"/>
    <xf numFmtId="0" fontId="9" fillId="3" borderId="0" applyNumberFormat="0" applyBorder="0" applyAlignment="0" applyProtection="0"/>
    <xf numFmtId="0" fontId="3" fillId="5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5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3" fillId="5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3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5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0" applyNumberFormat="0" applyBorder="0" applyAlignment="0" applyProtection="0"/>
    <xf numFmtId="0" fontId="3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5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3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9" fillId="8" borderId="0" applyNumberFormat="0" applyBorder="0" applyAlignment="0" applyProtection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3" fillId="5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5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" fillId="5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5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5" borderId="0" applyNumberFormat="0" applyBorder="0" applyAlignment="0" applyProtection="0"/>
    <xf numFmtId="0" fontId="9" fillId="9" borderId="0" applyNumberFormat="0" applyBorder="0" applyAlignment="0" applyProtection="0"/>
    <xf numFmtId="0" fontId="3" fillId="6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6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3" fillId="6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6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124" fillId="63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124" fillId="64" borderId="0" applyNumberFormat="0" applyBorder="0" applyAlignment="0" applyProtection="0"/>
    <xf numFmtId="0" fontId="37" fillId="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124" fillId="65" borderId="0" applyNumberFormat="0" applyBorder="0" applyAlignment="0" applyProtection="0"/>
    <xf numFmtId="0" fontId="37" fillId="11" borderId="0" applyNumberFormat="0" applyBorder="0" applyAlignment="0" applyProtection="0"/>
    <xf numFmtId="0" fontId="37" fillId="25" borderId="0" applyNumberFormat="0" applyBorder="0" applyAlignment="0" applyProtection="0"/>
    <xf numFmtId="0" fontId="37" fillId="16" borderId="0" applyNumberFormat="0" applyBorder="0" applyAlignment="0" applyProtection="0"/>
    <xf numFmtId="0" fontId="124" fillId="66" borderId="0" applyNumberFormat="0" applyBorder="0" applyAlignment="0" applyProtection="0"/>
    <xf numFmtId="0" fontId="37" fillId="25" borderId="0" applyNumberFormat="0" applyBorder="0" applyAlignment="0" applyProtection="0"/>
    <xf numFmtId="0" fontId="37" fillId="17" borderId="0" applyNumberFormat="0" applyBorder="0" applyAlignment="0" applyProtection="0"/>
    <xf numFmtId="0" fontId="124" fillId="67" borderId="0" applyNumberFormat="0" applyBorder="0" applyAlignment="0" applyProtection="0"/>
    <xf numFmtId="0" fontId="37" fillId="17" borderId="0" applyNumberFormat="0" applyBorder="0" applyAlignment="0" applyProtection="0"/>
    <xf numFmtId="0" fontId="37" fillId="8" borderId="0" applyNumberFormat="0" applyBorder="0" applyAlignment="0" applyProtection="0"/>
    <xf numFmtId="0" fontId="37" fillId="18" borderId="0" applyNumberFormat="0" applyBorder="0" applyAlignment="0" applyProtection="0"/>
    <xf numFmtId="0" fontId="124" fillId="68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124" fillId="69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124" fillId="7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124" fillId="71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124" fillId="72" borderId="0" applyNumberFormat="0" applyBorder="0" applyAlignment="0" applyProtection="0"/>
    <xf numFmtId="0" fontId="37" fillId="23" borderId="0" applyNumberFormat="0" applyBorder="0" applyAlignment="0" applyProtection="0"/>
    <xf numFmtId="0" fontId="124" fillId="7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124" fillId="74" borderId="0" applyNumberFormat="0" applyBorder="0" applyAlignment="0" applyProtection="0"/>
    <xf numFmtId="0" fontId="37" fillId="15" borderId="0" applyNumberFormat="0" applyBorder="0" applyAlignment="0" applyProtection="0"/>
    <xf numFmtId="0" fontId="38" fillId="5" borderId="0" applyNumberFormat="0" applyBorder="0" applyAlignment="0" applyProtection="0"/>
    <xf numFmtId="0" fontId="114" fillId="75" borderId="0" applyNumberFormat="0" applyBorder="0" applyAlignment="0" applyProtection="0"/>
    <xf numFmtId="0" fontId="38" fillId="5" borderId="0" applyNumberFormat="0" applyBorder="0" applyAlignment="0" applyProtection="0"/>
    <xf numFmtId="0" fontId="138" fillId="24" borderId="4" applyNumberFormat="0" applyAlignment="0" applyProtection="0"/>
    <xf numFmtId="0" fontId="138" fillId="25" borderId="4" applyNumberFormat="0" applyAlignment="0" applyProtection="0"/>
    <xf numFmtId="0" fontId="118" fillId="76" borderId="33" applyNumberFormat="0" applyAlignment="0" applyProtection="0"/>
    <xf numFmtId="0" fontId="138" fillId="24" borderId="4" applyNumberFormat="0" applyAlignment="0" applyProtection="0"/>
    <xf numFmtId="0" fontId="120" fillId="77" borderId="34" applyNumberFormat="0" applyAlignment="0" applyProtection="0"/>
    <xf numFmtId="0" fontId="40" fillId="26" borderId="5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5" fillId="0" borderId="0" applyFill="0" applyBorder="0" applyAlignment="0" applyProtection="0"/>
    <xf numFmtId="266" fontId="5" fillId="0" borderId="0" applyFill="0" applyBorder="0" applyAlignment="0" applyProtection="0"/>
    <xf numFmtId="267" fontId="19" fillId="0" borderId="13">
      <alignment horizontal="center" vertical="center" wrapText="1"/>
    </xf>
    <xf numFmtId="0" fontId="1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5" fillId="0" borderId="0" applyFill="0" applyBorder="0" applyAlignment="0" applyProtection="0"/>
    <xf numFmtId="0" fontId="42" fillId="7" borderId="0" applyNumberFormat="0" applyBorder="0" applyAlignment="0" applyProtection="0"/>
    <xf numFmtId="0" fontId="113" fillId="78" borderId="0" applyNumberFormat="0" applyBorder="0" applyAlignment="0" applyProtection="0"/>
    <xf numFmtId="0" fontId="42" fillId="7" borderId="0" applyNumberFormat="0" applyBorder="0" applyAlignment="0" applyProtection="0"/>
    <xf numFmtId="0" fontId="32" fillId="25" borderId="13">
      <alignment horizontal="center" vertical="top" wrapText="1"/>
    </xf>
    <xf numFmtId="0" fontId="133" fillId="0" borderId="35" applyNumberFormat="0" applyFill="0" applyAlignment="0" applyProtection="0"/>
    <xf numFmtId="0" fontId="140" fillId="0" borderId="36" applyNumberFormat="0" applyFill="0" applyAlignment="0" applyProtection="0"/>
    <xf numFmtId="0" fontId="134" fillId="0" borderId="37" applyNumberFormat="0" applyFill="0" applyAlignment="0" applyProtection="0"/>
    <xf numFmtId="0" fontId="141" fillId="0" borderId="37" applyNumberFormat="0" applyFill="0" applyAlignment="0" applyProtection="0"/>
    <xf numFmtId="0" fontId="111" fillId="0" borderId="38" applyNumberFormat="0" applyFill="0" applyAlignment="0" applyProtection="0"/>
    <xf numFmtId="0" fontId="134" fillId="0" borderId="37" applyNumberFormat="0" applyFill="0" applyAlignment="0" applyProtection="0"/>
    <xf numFmtId="0" fontId="43" fillId="0" borderId="39" applyNumberFormat="0" applyFill="0" applyAlignment="0" applyProtection="0"/>
    <xf numFmtId="0" fontId="142" fillId="0" borderId="12" applyNumberFormat="0" applyFill="0" applyAlignment="0" applyProtection="0"/>
    <xf numFmtId="0" fontId="112" fillId="0" borderId="40" applyNumberFormat="0" applyFill="0" applyAlignment="0" applyProtection="0"/>
    <xf numFmtId="0" fontId="43" fillId="0" borderId="39" applyNumberFormat="0" applyFill="0" applyAlignment="0" applyProtection="0"/>
    <xf numFmtId="0" fontId="142" fillId="0" borderId="0" applyNumberFormat="0" applyFill="0" applyBorder="0" applyAlignment="0" applyProtection="0"/>
    <xf numFmtId="0" fontId="44" fillId="8" borderId="4" applyNumberFormat="0" applyAlignment="0" applyProtection="0"/>
    <xf numFmtId="0" fontId="116" fillId="79" borderId="33" applyNumberFormat="0" applyAlignment="0" applyProtection="0"/>
    <xf numFmtId="0" fontId="44" fillId="8" borderId="4" applyNumberFormat="0" applyAlignment="0" applyProtection="0"/>
    <xf numFmtId="0" fontId="143" fillId="0" borderId="16" applyNumberFormat="0" applyFill="0" applyAlignment="0" applyProtection="0"/>
    <xf numFmtId="0" fontId="5" fillId="0" borderId="0" applyFont="0" applyFill="0" applyBorder="0" applyAlignment="0" applyProtection="0"/>
    <xf numFmtId="0" fontId="144" fillId="11" borderId="0" applyNumberFormat="0" applyBorder="0" applyAlignment="0" applyProtection="0"/>
    <xf numFmtId="268" fontId="1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5" fontId="19" fillId="0" borderId="13">
      <alignment horizontal="right" vertical="center"/>
    </xf>
    <xf numFmtId="0" fontId="19" fillId="0" borderId="13">
      <alignment horizontal="left" vertical="center" wrapText="1"/>
    </xf>
    <xf numFmtId="1" fontId="32" fillId="25" borderId="13">
      <alignment horizontal="center" vertical="center" wrapText="1"/>
    </xf>
    <xf numFmtId="0" fontId="5" fillId="6" borderId="17" applyNumberFormat="0" applyFont="0" applyAlignment="0" applyProtection="0"/>
    <xf numFmtId="0" fontId="3" fillId="50" borderId="32" applyNumberFormat="0" applyFont="0" applyAlignment="0" applyProtection="0"/>
    <xf numFmtId="0" fontId="3" fillId="50" borderId="32" applyNumberFormat="0" applyFont="0" applyAlignment="0" applyProtection="0"/>
    <xf numFmtId="0" fontId="3" fillId="50" borderId="32" applyNumberFormat="0" applyFont="0" applyAlignment="0" applyProtection="0"/>
    <xf numFmtId="0" fontId="9" fillId="50" borderId="32" applyNumberFormat="0" applyFont="0" applyAlignment="0" applyProtection="0"/>
    <xf numFmtId="0" fontId="3" fillId="50" borderId="32" applyNumberFormat="0" applyFont="0" applyAlignment="0" applyProtection="0"/>
    <xf numFmtId="0" fontId="5" fillId="6" borderId="17" applyNumberFormat="0" applyFont="0" applyAlignment="0" applyProtection="0"/>
    <xf numFmtId="0" fontId="5" fillId="6" borderId="17" applyNumberFormat="0" applyFont="0" applyAlignment="0" applyProtection="0"/>
    <xf numFmtId="0" fontId="5" fillId="6" borderId="17" applyNumberFormat="0" applyFont="0" applyAlignment="0" applyProtection="0"/>
    <xf numFmtId="0" fontId="47" fillId="25" borderId="18" applyNumberFormat="0" applyAlignment="0" applyProtection="0"/>
    <xf numFmtId="0" fontId="117" fillId="76" borderId="41" applyNumberFormat="0" applyAlignment="0" applyProtection="0"/>
    <xf numFmtId="0" fontId="47" fillId="24" borderId="1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6" fillId="0" borderId="0">
      <alignment wrapText="1"/>
    </xf>
    <xf numFmtId="0" fontId="51" fillId="11" borderId="27" applyNumberFormat="0" applyProtection="0">
      <alignment vertical="center"/>
    </xf>
    <xf numFmtId="0" fontId="4" fillId="11" borderId="18" applyNumberFormat="0" applyProtection="0">
      <alignment horizontal="left" vertical="center" indent="1"/>
    </xf>
    <xf numFmtId="0" fontId="4" fillId="11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25" borderId="18" applyNumberFormat="0" applyProtection="0">
      <alignment horizontal="left" vertical="center" indent="1"/>
    </xf>
    <xf numFmtId="0" fontId="5" fillId="25" borderId="18" applyNumberFormat="0" applyProtection="0">
      <alignment horizontal="left" vertical="center" indent="1"/>
    </xf>
    <xf numFmtId="0" fontId="147" fillId="40" borderId="27" applyNumberFormat="0" applyProtection="0">
      <alignment horizontal="right" vertical="center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5" fillId="3" borderId="18" applyNumberFormat="0" applyProtection="0">
      <alignment horizontal="left" vertical="center" indent="1"/>
    </xf>
    <xf numFmtId="0" fontId="148" fillId="0" borderId="0" applyNumberFormat="0" applyFill="0" applyBorder="0" applyAlignment="0" applyProtection="0"/>
    <xf numFmtId="0" fontId="149" fillId="0" borderId="28">
      <alignment horizontal="center" vertical="center" wrapText="1"/>
    </xf>
    <xf numFmtId="0" fontId="132" fillId="0" borderId="42" applyNumberFormat="0" applyFill="0" applyAlignment="0" applyProtection="0"/>
    <xf numFmtId="0" fontId="132" fillId="0" borderId="43" applyNumberFormat="0" applyFill="0" applyAlignment="0" applyProtection="0"/>
    <xf numFmtId="0" fontId="123" fillId="0" borderId="44" applyNumberFormat="0" applyFill="0" applyAlignment="0" applyProtection="0"/>
    <xf numFmtId="0" fontId="132" fillId="0" borderId="42" applyNumberFormat="0" applyFill="0" applyAlignment="0" applyProtection="0"/>
    <xf numFmtId="0" fontId="1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0" borderId="32" applyNumberFormat="0" applyFont="0" applyAlignment="0" applyProtection="0"/>
    <xf numFmtId="0" fontId="3" fillId="50" borderId="32" applyNumberFormat="0" applyFont="0" applyAlignment="0" applyProtection="0"/>
    <xf numFmtId="0" fontId="3" fillId="50" borderId="32" applyNumberFormat="0" applyFont="0" applyAlignment="0" applyProtection="0"/>
    <xf numFmtId="0" fontId="3" fillId="50" borderId="32" applyNumberFormat="0" applyFont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1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0" fillId="0" borderId="0" applyProtection="0"/>
    <xf numFmtId="0" fontId="18" fillId="0" borderId="0">
      <alignment vertical="top"/>
    </xf>
    <xf numFmtId="44" fontId="3" fillId="0" borderId="0" applyFont="0" applyFill="0" applyBorder="0" applyAlignment="0" applyProtection="0"/>
    <xf numFmtId="0" fontId="3" fillId="0" borderId="0"/>
    <xf numFmtId="168" fontId="10" fillId="0" borderId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Protection="0"/>
    <xf numFmtId="43" fontId="10" fillId="0" borderId="0" applyFont="0" applyFill="0" applyBorder="0" applyAlignment="0" applyProtection="0"/>
    <xf numFmtId="168" fontId="10" fillId="0" borderId="0" applyProtection="0"/>
    <xf numFmtId="168" fontId="10" fillId="0" borderId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15" fontId="7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0" fillId="0" borderId="0"/>
    <xf numFmtId="0" fontId="3" fillId="0" borderId="0"/>
    <xf numFmtId="7" fontId="8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0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8" fontId="10" fillId="0" borderId="0" applyProtection="0"/>
    <xf numFmtId="0" fontId="82" fillId="0" borderId="0" applyNumberForma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6" fillId="0" borderId="0"/>
    <xf numFmtId="0" fontId="156" fillId="0" borderId="0"/>
    <xf numFmtId="0" fontId="5" fillId="0" borderId="0"/>
    <xf numFmtId="0" fontId="156" fillId="0" borderId="0"/>
    <xf numFmtId="0" fontId="156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8" fillId="3" borderId="0" applyNumberFormat="0" applyBorder="0" applyAlignment="0" applyProtection="0"/>
    <xf numFmtId="0" fontId="88" fillId="5" borderId="0" applyNumberFormat="0" applyBorder="0" applyAlignment="0" applyProtection="0"/>
    <xf numFmtId="0" fontId="88" fillId="7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4" borderId="0" applyNumberFormat="0" applyBorder="0" applyAlignment="0" applyProtection="0"/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2" borderId="0" applyNumberFormat="0" applyBorder="0" applyAlignment="0" applyProtection="0"/>
    <xf numFmtId="0" fontId="88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4" borderId="0" applyNumberFormat="0" applyBorder="0" applyAlignment="0" applyProtection="0"/>
    <xf numFmtId="0" fontId="89" fillId="12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89" fillId="15" borderId="0" applyNumberFormat="0" applyBorder="0" applyAlignment="0" applyProtection="0"/>
    <xf numFmtId="0" fontId="90" fillId="5" borderId="0" applyNumberFormat="0" applyBorder="0" applyAlignment="0" applyProtection="0"/>
    <xf numFmtId="0" fontId="91" fillId="25" borderId="4" applyNumberFormat="0" applyAlignment="0" applyProtection="0"/>
    <xf numFmtId="0" fontId="92" fillId="26" borderId="5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7" borderId="0" applyNumberFormat="0" applyBorder="0" applyAlignment="0" applyProtection="0"/>
    <xf numFmtId="43" fontId="29" fillId="0" borderId="0" applyFont="0" applyFill="0" applyBorder="0" applyAlignment="0" applyProtection="0"/>
    <xf numFmtId="0" fontId="95" fillId="0" borderId="12" applyNumberFormat="0" applyFill="0" applyAlignment="0" applyProtection="0"/>
    <xf numFmtId="0" fontId="95" fillId="0" borderId="0" applyNumberFormat="0" applyFill="0" applyBorder="0" applyAlignment="0" applyProtection="0"/>
    <xf numFmtId="0" fontId="96" fillId="8" borderId="4" applyNumberFormat="0" applyAlignment="0" applyProtection="0"/>
    <xf numFmtId="0" fontId="97" fillId="0" borderId="16" applyNumberFormat="0" applyFill="0" applyAlignment="0" applyProtection="0"/>
    <xf numFmtId="0" fontId="98" fillId="11" borderId="0" applyNumberFormat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0" fillId="6" borderId="17" applyNumberFormat="0" applyFont="0" applyAlignment="0" applyProtection="0"/>
    <xf numFmtId="0" fontId="99" fillId="25" borderId="18" applyNumberFormat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49" fillId="0" borderId="0">
      <alignment vertical="top"/>
    </xf>
    <xf numFmtId="0" fontId="3" fillId="0" borderId="0"/>
    <xf numFmtId="168" fontId="10" fillId="0" borderId="0" applyProtection="0"/>
    <xf numFmtId="168" fontId="10" fillId="0" borderId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9" fillId="3" borderId="0" applyNumberFormat="0" applyBorder="0" applyAlignment="0" applyProtection="0"/>
    <xf numFmtId="0" fontId="88" fillId="3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9" fillId="5" borderId="0" applyNumberFormat="0" applyBorder="0" applyAlignment="0" applyProtection="0"/>
    <xf numFmtId="0" fontId="88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9" fillId="7" borderId="0" applyNumberFormat="0" applyBorder="0" applyAlignment="0" applyProtection="0"/>
    <xf numFmtId="0" fontId="88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9" fillId="9" borderId="0" applyNumberFormat="0" applyBorder="0" applyAlignment="0" applyProtection="0"/>
    <xf numFmtId="0" fontId="88" fillId="9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9" fillId="10" borderId="0" applyNumberFormat="0" applyBorder="0" applyAlignment="0" applyProtection="0"/>
    <xf numFmtId="0" fontId="88" fillId="10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8" fillId="8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0" fontId="9" fillId="2" borderId="0" applyNumberFormat="0" applyBorder="0" applyAlignment="0" applyProtection="0"/>
    <xf numFmtId="0" fontId="88" fillId="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8" fillId="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9" fillId="12" borderId="0" applyNumberFormat="0" applyBorder="0" applyAlignment="0" applyProtection="0"/>
    <xf numFmtId="0" fontId="88" fillId="12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0" fontId="9" fillId="9" borderId="0" applyNumberFormat="0" applyBorder="0" applyAlignment="0" applyProtection="0"/>
    <xf numFmtId="0" fontId="88" fillId="9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8" fillId="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9" fillId="13" borderId="0" applyNumberFormat="0" applyBorder="0" applyAlignment="0" applyProtection="0"/>
    <xf numFmtId="0" fontId="88" fillId="1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37" fillId="14" borderId="0" applyNumberFormat="0" applyBorder="0" applyAlignment="0" applyProtection="0"/>
    <xf numFmtId="0" fontId="89" fillId="14" borderId="0" applyNumberFormat="0" applyBorder="0" applyAlignment="0" applyProtection="0"/>
    <xf numFmtId="0" fontId="124" fillId="6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89" fillId="4" borderId="0" applyNumberFormat="0" applyBorder="0" applyAlignment="0" applyProtection="0"/>
    <xf numFmtId="0" fontId="124" fillId="6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37" fillId="12" borderId="0" applyNumberFormat="0" applyBorder="0" applyAlignment="0" applyProtection="0"/>
    <xf numFmtId="0" fontId="89" fillId="12" borderId="0" applyNumberFormat="0" applyBorder="0" applyAlignment="0" applyProtection="0"/>
    <xf numFmtId="0" fontId="124" fillId="65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37" fillId="16" borderId="0" applyNumberFormat="0" applyBorder="0" applyAlignment="0" applyProtection="0"/>
    <xf numFmtId="0" fontId="89" fillId="16" borderId="0" applyNumberFormat="0" applyBorder="0" applyAlignment="0" applyProtection="0"/>
    <xf numFmtId="0" fontId="124" fillId="6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89" fillId="17" borderId="0" applyNumberFormat="0" applyBorder="0" applyAlignment="0" applyProtection="0"/>
    <xf numFmtId="0" fontId="124" fillId="6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37" fillId="18" borderId="0" applyNumberFormat="0" applyBorder="0" applyAlignment="0" applyProtection="0"/>
    <xf numFmtId="0" fontId="89" fillId="18" borderId="0" applyNumberFormat="0" applyBorder="0" applyAlignment="0" applyProtection="0"/>
    <xf numFmtId="0" fontId="124" fillId="6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37" fillId="20" borderId="0" applyNumberFormat="0" applyBorder="0" applyAlignment="0" applyProtection="0"/>
    <xf numFmtId="0" fontId="89" fillId="20" borderId="0" applyNumberFormat="0" applyBorder="0" applyAlignment="0" applyProtection="0"/>
    <xf numFmtId="0" fontId="124" fillId="69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89" fillId="21" borderId="0" applyNumberFormat="0" applyBorder="0" applyAlignment="0" applyProtection="0"/>
    <xf numFmtId="0" fontId="124" fillId="70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89" fillId="22" borderId="0" applyNumberFormat="0" applyBorder="0" applyAlignment="0" applyProtection="0"/>
    <xf numFmtId="0" fontId="124" fillId="71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37" fillId="16" borderId="0" applyNumberFormat="0" applyBorder="0" applyAlignment="0" applyProtection="0"/>
    <xf numFmtId="0" fontId="89" fillId="16" borderId="0" applyNumberFormat="0" applyBorder="0" applyAlignment="0" applyProtection="0"/>
    <xf numFmtId="0" fontId="124" fillId="72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89" fillId="17" borderId="0" applyNumberFormat="0" applyBorder="0" applyAlignment="0" applyProtection="0"/>
    <xf numFmtId="0" fontId="124" fillId="73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89" fillId="15" borderId="0" applyNumberFormat="0" applyBorder="0" applyAlignment="0" applyProtection="0"/>
    <xf numFmtId="0" fontId="124" fillId="74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90" fillId="5" borderId="0" applyNumberFormat="0" applyBorder="0" applyAlignment="0" applyProtection="0"/>
    <xf numFmtId="0" fontId="114" fillId="7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138" fillId="25" borderId="4" applyNumberFormat="0" applyAlignment="0" applyProtection="0"/>
    <xf numFmtId="0" fontId="91" fillId="25" borderId="4" applyNumberFormat="0" applyAlignment="0" applyProtection="0"/>
    <xf numFmtId="0" fontId="118" fillId="76" borderId="33" applyNumberFormat="0" applyAlignment="0" applyProtection="0"/>
    <xf numFmtId="0" fontId="91" fillId="25" borderId="4" applyNumberFormat="0" applyAlignment="0" applyProtection="0"/>
    <xf numFmtId="0" fontId="91" fillId="25" borderId="4" applyNumberFormat="0" applyAlignment="0" applyProtection="0"/>
    <xf numFmtId="0" fontId="91" fillId="25" borderId="4" applyNumberFormat="0" applyAlignment="0" applyProtection="0"/>
    <xf numFmtId="0" fontId="91" fillId="25" borderId="4" applyNumberFormat="0" applyAlignment="0" applyProtection="0"/>
    <xf numFmtId="0" fontId="40" fillId="26" borderId="5" applyNumberFormat="0" applyAlignment="0" applyProtection="0"/>
    <xf numFmtId="0" fontId="40" fillId="26" borderId="5" applyNumberFormat="0" applyAlignment="0" applyProtection="0"/>
    <xf numFmtId="0" fontId="92" fillId="26" borderId="5" applyNumberFormat="0" applyAlignment="0" applyProtection="0"/>
    <xf numFmtId="0" fontId="120" fillId="77" borderId="34" applyNumberFormat="0" applyAlignment="0" applyProtection="0"/>
    <xf numFmtId="0" fontId="92" fillId="26" borderId="5" applyNumberFormat="0" applyAlignment="0" applyProtection="0"/>
    <xf numFmtId="0" fontId="92" fillId="26" borderId="5" applyNumberFormat="0" applyAlignment="0" applyProtection="0"/>
    <xf numFmtId="0" fontId="92" fillId="26" borderId="5" applyNumberFormat="0" applyAlignment="0" applyProtection="0"/>
    <xf numFmtId="0" fontId="92" fillId="26" borderId="5" applyNumberFormat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3" fontId="15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5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7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" fontId="150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94" fillId="7" borderId="0" applyNumberFormat="0" applyBorder="0" applyAlignment="0" applyProtection="0"/>
    <xf numFmtId="0" fontId="113" fillId="78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26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110" fillId="0" borderId="45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11" fillId="0" borderId="38" applyNumberFormat="0" applyFill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2" fillId="0" borderId="12" applyNumberFormat="0" applyFill="0" applyAlignment="0" applyProtection="0"/>
    <xf numFmtId="0" fontId="95" fillId="0" borderId="12" applyNumberFormat="0" applyFill="0" applyAlignment="0" applyProtection="0"/>
    <xf numFmtId="0" fontId="112" fillId="0" borderId="40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14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4" fillId="8" borderId="4" applyNumberFormat="0" applyAlignment="0" applyProtection="0"/>
    <xf numFmtId="0" fontId="116" fillId="79" borderId="33" applyNumberFormat="0" applyAlignment="0" applyProtection="0"/>
    <xf numFmtId="0" fontId="96" fillId="8" borderId="4" applyNumberFormat="0" applyAlignment="0" applyProtection="0"/>
    <xf numFmtId="0" fontId="96" fillId="8" borderId="4" applyNumberFormat="0" applyAlignment="0" applyProtection="0"/>
    <xf numFmtId="0" fontId="96" fillId="8" borderId="4" applyNumberFormat="0" applyAlignment="0" applyProtection="0"/>
    <xf numFmtId="0" fontId="96" fillId="8" borderId="4" applyNumberFormat="0" applyAlignment="0" applyProtection="0"/>
    <xf numFmtId="0" fontId="143" fillId="0" borderId="16" applyNumberFormat="0" applyFill="0" applyAlignment="0" applyProtection="0"/>
    <xf numFmtId="0" fontId="143" fillId="0" borderId="16" applyNumberFormat="0" applyFill="0" applyAlignment="0" applyProtection="0"/>
    <xf numFmtId="0" fontId="97" fillId="0" borderId="16" applyNumberFormat="0" applyFill="0" applyAlignment="0" applyProtection="0"/>
    <xf numFmtId="0" fontId="119" fillId="0" borderId="4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98" fillId="11" borderId="0" applyNumberFormat="0" applyBorder="0" applyAlignment="0" applyProtection="0"/>
    <xf numFmtId="0" fontId="115" fillId="80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168" fontId="10" fillId="0" borderId="0" applyProtection="0"/>
    <xf numFmtId="0" fontId="29" fillId="0" borderId="0"/>
    <xf numFmtId="0" fontId="29" fillId="0" borderId="0"/>
    <xf numFmtId="168" fontId="10" fillId="0" borderId="0" applyProtection="0"/>
    <xf numFmtId="168" fontId="10" fillId="0" borderId="0" applyProtection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6" fillId="0" borderId="0" xfId="720" applyFont="1" applyFill="1" applyAlignment="1">
      <alignment horizontal="center"/>
    </xf>
    <xf numFmtId="0" fontId="7" fillId="0" borderId="0" xfId="720" applyFont="1" applyFill="1" applyAlignment="1">
      <alignment horizontal="center"/>
    </xf>
    <xf numFmtId="0" fontId="6" fillId="0" borderId="0" xfId="720" applyFont="1" applyFill="1" applyBorder="1" applyAlignment="1">
      <alignment horizontal="center"/>
    </xf>
    <xf numFmtId="0" fontId="7" fillId="0" borderId="1" xfId="720" applyFont="1" applyFill="1" applyBorder="1" applyAlignment="1">
      <alignment horizontal="center"/>
    </xf>
    <xf numFmtId="10" fontId="7" fillId="0" borderId="3" xfId="1624" applyNumberFormat="1" applyFont="1" applyFill="1" applyBorder="1" applyAlignment="1">
      <alignment horizontal="center"/>
    </xf>
    <xf numFmtId="44" fontId="7" fillId="0" borderId="1" xfId="720" applyNumberFormat="1" applyFont="1" applyFill="1" applyBorder="1" applyAlignment="1">
      <alignment horizontal="center"/>
    </xf>
    <xf numFmtId="44" fontId="7" fillId="0" borderId="0" xfId="720" applyNumberFormat="1" applyFont="1" applyFill="1" applyBorder="1" applyAlignment="1">
      <alignment horizontal="center"/>
    </xf>
    <xf numFmtId="0" fontId="7" fillId="0" borderId="0" xfId="720" applyFont="1" applyFill="1" applyBorder="1" applyAlignment="1">
      <alignment horizontal="center"/>
    </xf>
    <xf numFmtId="44" fontId="7" fillId="0" borderId="0" xfId="720" applyNumberFormat="1" applyFont="1" applyFill="1" applyAlignment="1">
      <alignment horizontal="center"/>
    </xf>
    <xf numFmtId="10" fontId="7" fillId="0" borderId="3" xfId="720" applyNumberFormat="1" applyFont="1" applyFill="1" applyBorder="1" applyAlignment="1">
      <alignment horizontal="center"/>
    </xf>
    <xf numFmtId="44" fontId="7" fillId="0" borderId="0" xfId="399" applyFont="1" applyFill="1" applyBorder="1" applyAlignment="1">
      <alignment horizontal="center"/>
    </xf>
    <xf numFmtId="44" fontId="7" fillId="0" borderId="1" xfId="399" applyFont="1" applyFill="1" applyBorder="1" applyAlignment="1">
      <alignment horizontal="center"/>
    </xf>
    <xf numFmtId="3" fontId="7" fillId="0" borderId="0" xfId="720" applyNumberFormat="1" applyFont="1" applyFill="1" applyAlignment="1">
      <alignment horizontal="center"/>
    </xf>
    <xf numFmtId="44" fontId="7" fillId="0" borderId="0" xfId="784" applyNumberFormat="1" applyFont="1" applyFill="1" applyAlignment="1">
      <alignment horizontal="center"/>
    </xf>
    <xf numFmtId="0" fontId="7" fillId="0" borderId="0" xfId="784" applyFont="1" applyFill="1" applyAlignment="1">
      <alignment horizontal="center"/>
    </xf>
    <xf numFmtId="0" fontId="6" fillId="0" borderId="0" xfId="720" applyFont="1" applyFill="1" applyAlignment="1">
      <alignment horizontal="left"/>
    </xf>
    <xf numFmtId="0" fontId="5" fillId="0" borderId="0" xfId="0" applyFont="1" applyFill="1"/>
    <xf numFmtId="44" fontId="7" fillId="0" borderId="13" xfId="399" applyFont="1" applyFill="1" applyBorder="1" applyAlignment="1">
      <alignment horizontal="center"/>
    </xf>
    <xf numFmtId="10" fontId="7" fillId="0" borderId="0" xfId="1624" applyNumberFormat="1" applyFont="1" applyFill="1" applyBorder="1" applyAlignment="1">
      <alignment horizontal="center"/>
    </xf>
    <xf numFmtId="10" fontId="7" fillId="0" borderId="0" xfId="720" applyNumberFormat="1" applyFont="1" applyFill="1" applyBorder="1" applyAlignment="1">
      <alignment horizontal="center"/>
    </xf>
    <xf numFmtId="0" fontId="5" fillId="0" borderId="0" xfId="799" applyFont="1" applyFill="1" applyAlignment="1">
      <alignment horizontal="left"/>
    </xf>
    <xf numFmtId="0" fontId="5" fillId="0" borderId="0" xfId="799" applyFont="1" applyFill="1"/>
    <xf numFmtId="44" fontId="8" fillId="0" borderId="0" xfId="799" applyNumberFormat="1" applyFont="1" applyFill="1" applyAlignment="1">
      <alignment horizontal="left"/>
    </xf>
    <xf numFmtId="44" fontId="7" fillId="0" borderId="0" xfId="2" applyFont="1" applyFill="1"/>
    <xf numFmtId="44" fontId="5" fillId="0" borderId="0" xfId="799" applyNumberFormat="1" applyFont="1" applyFill="1"/>
    <xf numFmtId="44" fontId="5" fillId="0" borderId="0" xfId="0" applyNumberFormat="1" applyFont="1" applyFill="1"/>
    <xf numFmtId="10" fontId="7" fillId="0" borderId="47" xfId="720" applyNumberFormat="1" applyFont="1" applyFill="1" applyBorder="1" applyAlignment="1">
      <alignment horizontal="center"/>
    </xf>
    <xf numFmtId="165" fontId="7" fillId="0" borderId="0" xfId="1624" applyNumberFormat="1" applyFont="1" applyFill="1" applyBorder="1" applyAlignment="1">
      <alignment horizontal="center"/>
    </xf>
    <xf numFmtId="44" fontId="7" fillId="0" borderId="13" xfId="2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47" xfId="720" applyNumberFormat="1" applyFont="1" applyFill="1" applyBorder="1" applyAlignment="1">
      <alignment horizontal="center"/>
    </xf>
    <xf numFmtId="44" fontId="7" fillId="0" borderId="1" xfId="400" applyFont="1" applyFill="1" applyBorder="1" applyAlignment="1">
      <alignment horizontal="center"/>
    </xf>
    <xf numFmtId="44" fontId="7" fillId="0" borderId="3" xfId="720" applyNumberFormat="1" applyFont="1" applyFill="1" applyBorder="1" applyAlignment="1">
      <alignment horizontal="center"/>
    </xf>
    <xf numFmtId="0" fontId="8" fillId="0" borderId="0" xfId="799" applyFont="1" applyFill="1" applyAlignment="1">
      <alignment horizontal="left"/>
    </xf>
    <xf numFmtId="0" fontId="103" fillId="0" borderId="0" xfId="0" applyFont="1" applyFill="1" applyBorder="1"/>
    <xf numFmtId="43" fontId="7" fillId="0" borderId="0" xfId="3" applyFont="1" applyFill="1" applyAlignment="1">
      <alignment horizontal="center"/>
    </xf>
    <xf numFmtId="10" fontId="7" fillId="0" borderId="3" xfId="1" applyNumberFormat="1" applyFont="1" applyFill="1" applyBorder="1" applyAlignment="1">
      <alignment horizontal="center"/>
    </xf>
    <xf numFmtId="10" fontId="7" fillId="0" borderId="3" xfId="0" applyNumberFormat="1" applyFont="1" applyFill="1" applyBorder="1" applyAlignment="1">
      <alignment horizontal="center" vertical="center"/>
    </xf>
    <xf numFmtId="44" fontId="7" fillId="0" borderId="1" xfId="721" applyNumberFormat="1" applyFont="1" applyFill="1" applyBorder="1" applyAlignment="1">
      <alignment horizontal="center"/>
    </xf>
    <xf numFmtId="10" fontId="7" fillId="0" borderId="3" xfId="1625" applyNumberFormat="1" applyFont="1" applyFill="1" applyBorder="1" applyAlignment="1">
      <alignment horizontal="center"/>
    </xf>
    <xf numFmtId="10" fontId="5" fillId="0" borderId="0" xfId="799" applyNumberFormat="1" applyFont="1" applyFill="1"/>
    <xf numFmtId="10" fontId="7" fillId="0" borderId="0" xfId="1" applyNumberFormat="1" applyFont="1" applyFill="1" applyBorder="1" applyAlignment="1">
      <alignment horizontal="center"/>
    </xf>
    <xf numFmtId="165" fontId="7" fillId="0" borderId="0" xfId="1625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44" fontId="7" fillId="0" borderId="0" xfId="721" applyNumberFormat="1" applyFont="1" applyFill="1" applyAlignment="1">
      <alignment horizontal="center"/>
    </xf>
    <xf numFmtId="9" fontId="7" fillId="0" borderId="3" xfId="1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2" fontId="5" fillId="0" borderId="0" xfId="0" applyNumberFormat="1" applyFont="1"/>
    <xf numFmtId="0" fontId="6" fillId="0" borderId="3" xfId="720" applyFont="1" applyFill="1" applyBorder="1" applyAlignment="1">
      <alignment horizontal="left"/>
    </xf>
    <xf numFmtId="44" fontId="7" fillId="0" borderId="3" xfId="2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720" applyFont="1" applyFill="1" applyBorder="1" applyAlignment="1">
      <alignment horizontal="left"/>
    </xf>
    <xf numFmtId="44" fontId="5" fillId="0" borderId="0" xfId="0" applyNumberFormat="1" applyFont="1" applyFill="1" applyBorder="1"/>
    <xf numFmtId="0" fontId="0" fillId="0" borderId="0" xfId="0" applyBorder="1"/>
    <xf numFmtId="0" fontId="5" fillId="0" borderId="20" xfId="0" applyFont="1" applyBorder="1"/>
    <xf numFmtId="0" fontId="5" fillId="0" borderId="48" xfId="0" applyFont="1" applyBorder="1"/>
    <xf numFmtId="44" fontId="7" fillId="0" borderId="13" xfId="400" applyFont="1" applyFill="1" applyBorder="1" applyAlignment="1">
      <alignment horizontal="center"/>
    </xf>
    <xf numFmtId="44" fontId="7" fillId="0" borderId="1" xfId="400" applyNumberFormat="1" applyFont="1" applyFill="1" applyBorder="1" applyAlignment="1">
      <alignment horizontal="center"/>
    </xf>
    <xf numFmtId="10" fontId="7" fillId="0" borderId="0" xfId="1625" applyNumberFormat="1" applyFont="1" applyFill="1" applyBorder="1" applyAlignment="1">
      <alignment horizontal="center"/>
    </xf>
    <xf numFmtId="44" fontId="7" fillId="0" borderId="0" xfId="2" applyFont="1" applyFill="1" applyBorder="1"/>
    <xf numFmtId="44" fontId="7" fillId="0" borderId="49" xfId="720" applyNumberFormat="1" applyFont="1" applyFill="1" applyBorder="1" applyAlignment="1">
      <alignment horizontal="center"/>
    </xf>
    <xf numFmtId="10" fontId="7" fillId="0" borderId="0" xfId="720" applyNumberFormat="1" applyFont="1" applyFill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264" fontId="52" fillId="0" borderId="0" xfId="357" applyNumberFormat="1" applyFont="1" applyFill="1" applyBorder="1" applyAlignment="1"/>
    <xf numFmtId="10" fontId="5" fillId="0" borderId="0" xfId="0" applyNumberFormat="1" applyFont="1" applyFill="1" applyBorder="1"/>
    <xf numFmtId="6" fontId="7" fillId="0" borderId="0" xfId="2" applyNumberFormat="1" applyFont="1" applyFill="1" applyBorder="1" applyAlignment="1">
      <alignment horizontal="center"/>
    </xf>
    <xf numFmtId="0" fontId="6" fillId="0" borderId="0" xfId="721" applyFont="1" applyFill="1" applyBorder="1" applyAlignment="1">
      <alignment horizontal="center"/>
    </xf>
    <xf numFmtId="0" fontId="6" fillId="0" borderId="14" xfId="721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0" applyNumberFormat="1" applyFont="1"/>
    <xf numFmtId="44" fontId="7" fillId="0" borderId="1" xfId="399" applyNumberFormat="1" applyFont="1" applyFill="1" applyBorder="1" applyAlignment="1">
      <alignment horizontal="center"/>
    </xf>
    <xf numFmtId="44" fontId="7" fillId="0" borderId="13" xfId="2" applyNumberFormat="1" applyFont="1" applyFill="1" applyBorder="1"/>
    <xf numFmtId="44" fontId="7" fillId="0" borderId="1" xfId="2" applyFont="1" applyFill="1" applyBorder="1" applyAlignment="1">
      <alignment horizontal="center"/>
    </xf>
    <xf numFmtId="3" fontId="52" fillId="0" borderId="0" xfId="0" applyNumberFormat="1" applyFont="1" applyFill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6" fillId="81" borderId="0" xfId="720" applyFont="1" applyFill="1" applyAlignment="1">
      <alignment horizontal="left"/>
    </xf>
    <xf numFmtId="0" fontId="5" fillId="81" borderId="0" xfId="799" applyFont="1" applyFill="1"/>
    <xf numFmtId="0" fontId="6" fillId="81" borderId="0" xfId="721" applyFont="1" applyFill="1" applyAlignment="1">
      <alignment horizontal="left"/>
    </xf>
    <xf numFmtId="44" fontId="7" fillId="0" borderId="0" xfId="2" applyNumberFormat="1" applyFont="1" applyFill="1"/>
    <xf numFmtId="44" fontId="7" fillId="0" borderId="0" xfId="2" applyNumberFormat="1" applyFont="1" applyFill="1" applyBorder="1" applyAlignment="1">
      <alignment horizontal="center"/>
    </xf>
    <xf numFmtId="44" fontId="7" fillId="0" borderId="50" xfId="2" applyFont="1" applyFill="1" applyBorder="1" applyAlignment="1">
      <alignment horizontal="center"/>
    </xf>
    <xf numFmtId="0" fontId="6" fillId="0" borderId="49" xfId="72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3" fontId="107" fillId="0" borderId="0" xfId="0" applyNumberFormat="1" applyFont="1" applyFill="1"/>
    <xf numFmtId="168" fontId="6" fillId="0" borderId="3" xfId="1407" applyFont="1" applyFill="1" applyBorder="1" applyAlignment="1">
      <alignment horizontal="left"/>
    </xf>
    <xf numFmtId="0" fontId="6" fillId="0" borderId="0" xfId="0" applyFont="1" applyFill="1"/>
    <xf numFmtId="43" fontId="8" fillId="0" borderId="0" xfId="0" applyNumberFormat="1" applyFont="1" applyFill="1" applyAlignment="1">
      <alignment horizontal="left"/>
    </xf>
    <xf numFmtId="0" fontId="109" fillId="0" borderId="14" xfId="0" applyFont="1" applyFill="1" applyBorder="1" applyAlignment="1">
      <alignment horizontal="left" wrapText="1"/>
    </xf>
    <xf numFmtId="0" fontId="108" fillId="82" borderId="49" xfId="0" applyFont="1" applyFill="1" applyBorder="1" applyAlignment="1">
      <alignment horizontal="left" wrapText="1"/>
    </xf>
    <xf numFmtId="0" fontId="109" fillId="0" borderId="0" xfId="0" applyFont="1" applyFill="1" applyBorder="1"/>
    <xf numFmtId="0" fontId="108" fillId="0" borderId="0" xfId="0" applyFont="1" applyAlignment="1">
      <alignment horizontal="left"/>
    </xf>
    <xf numFmtId="0" fontId="7" fillId="0" borderId="47" xfId="720" applyFont="1" applyFill="1" applyBorder="1" applyAlignment="1">
      <alignment horizontal="left"/>
    </xf>
    <xf numFmtId="0" fontId="7" fillId="0" borderId="49" xfId="720" applyFont="1" applyFill="1" applyBorder="1" applyAlignment="1">
      <alignment horizontal="left"/>
    </xf>
    <xf numFmtId="0" fontId="7" fillId="0" borderId="14" xfId="720" applyFont="1" applyFill="1" applyBorder="1" applyAlignment="1">
      <alignment horizontal="left"/>
    </xf>
    <xf numFmtId="0" fontId="7" fillId="0" borderId="47" xfId="721" applyFont="1" applyFill="1" applyBorder="1" applyAlignment="1">
      <alignment horizontal="left"/>
    </xf>
    <xf numFmtId="0" fontId="7" fillId="0" borderId="49" xfId="721" applyFont="1" applyFill="1" applyBorder="1" applyAlignment="1">
      <alignment horizontal="left"/>
    </xf>
    <xf numFmtId="0" fontId="7" fillId="0" borderId="14" xfId="721" applyFont="1" applyFill="1" applyBorder="1" applyAlignment="1">
      <alignment horizontal="left"/>
    </xf>
    <xf numFmtId="0" fontId="7" fillId="0" borderId="0" xfId="720" applyFont="1" applyFill="1" applyBorder="1" applyAlignment="1">
      <alignment horizontal="left"/>
    </xf>
    <xf numFmtId="0" fontId="7" fillId="0" borderId="3" xfId="720" applyFont="1" applyFill="1" applyBorder="1" applyAlignment="1">
      <alignment horizontal="left"/>
    </xf>
    <xf numFmtId="0" fontId="7" fillId="0" borderId="1" xfId="720" applyFont="1" applyFill="1" applyBorder="1" applyAlignment="1">
      <alignment horizontal="left"/>
    </xf>
    <xf numFmtId="0" fontId="7" fillId="0" borderId="0" xfId="0" applyFont="1" applyFill="1"/>
    <xf numFmtId="0" fontId="7" fillId="0" borderId="51" xfId="47" applyFont="1" applyFill="1" applyBorder="1" applyAlignment="1">
      <alignment horizontal="left" wrapText="1"/>
    </xf>
    <xf numFmtId="0" fontId="108" fillId="0" borderId="47" xfId="0" applyFont="1" applyFill="1" applyBorder="1" applyAlignment="1">
      <alignment horizontal="left" wrapText="1"/>
    </xf>
    <xf numFmtId="0" fontId="5" fillId="0" borderId="3" xfId="0" applyFont="1" applyFill="1" applyBorder="1" applyAlignment="1"/>
    <xf numFmtId="0" fontId="5" fillId="0" borderId="52" xfId="0" applyFont="1" applyBorder="1"/>
    <xf numFmtId="0" fontId="108" fillId="0" borderId="0" xfId="0" applyFont="1"/>
    <xf numFmtId="0" fontId="103" fillId="0" borderId="0" xfId="0" applyFont="1"/>
    <xf numFmtId="265" fontId="103" fillId="0" borderId="0" xfId="0" applyNumberFormat="1" applyFont="1"/>
    <xf numFmtId="0" fontId="6" fillId="83" borderId="47" xfId="720" applyFont="1" applyFill="1" applyBorder="1" applyAlignment="1">
      <alignment horizontal="left"/>
    </xf>
    <xf numFmtId="0" fontId="6" fillId="83" borderId="3" xfId="720" applyFont="1" applyFill="1" applyBorder="1" applyAlignment="1">
      <alignment horizontal="center"/>
    </xf>
    <xf numFmtId="0" fontId="6" fillId="83" borderId="14" xfId="720" applyFont="1" applyFill="1" applyBorder="1" applyAlignment="1">
      <alignment horizontal="left"/>
    </xf>
    <xf numFmtId="0" fontId="6" fillId="83" borderId="0" xfId="720" applyFont="1" applyFill="1" applyBorder="1" applyAlignment="1">
      <alignment horizontal="center"/>
    </xf>
    <xf numFmtId="0" fontId="7" fillId="83" borderId="14" xfId="720" applyFont="1" applyFill="1" applyBorder="1" applyAlignment="1">
      <alignment horizontal="center"/>
    </xf>
    <xf numFmtId="0" fontId="7" fillId="83" borderId="0" xfId="720" applyFont="1" applyFill="1" applyBorder="1" applyAlignment="1">
      <alignment horizontal="center"/>
    </xf>
    <xf numFmtId="0" fontId="5" fillId="83" borderId="0" xfId="0" applyFont="1" applyFill="1"/>
    <xf numFmtId="0" fontId="6" fillId="83" borderId="14" xfId="720" applyFont="1" applyFill="1" applyBorder="1" applyAlignment="1">
      <alignment horizontal="center"/>
    </xf>
    <xf numFmtId="0" fontId="7" fillId="83" borderId="49" xfId="720" applyFont="1" applyFill="1" applyBorder="1" applyAlignment="1">
      <alignment horizontal="center"/>
    </xf>
    <xf numFmtId="0" fontId="7" fillId="83" borderId="1" xfId="720" applyFont="1" applyFill="1" applyBorder="1" applyAlignment="1">
      <alignment horizontal="center"/>
    </xf>
    <xf numFmtId="0" fontId="5" fillId="83" borderId="8" xfId="799" applyFont="1" applyFill="1" applyBorder="1"/>
    <xf numFmtId="0" fontId="5" fillId="83" borderId="0" xfId="0" applyFont="1" applyFill="1" applyBorder="1"/>
    <xf numFmtId="0" fontId="6" fillId="83" borderId="0" xfId="0" applyFont="1" applyFill="1" applyBorder="1" applyAlignment="1">
      <alignment horizontal="center"/>
    </xf>
    <xf numFmtId="44" fontId="7" fillId="0" borderId="3" xfId="2" applyNumberFormat="1" applyFont="1" applyFill="1" applyBorder="1" applyAlignment="1">
      <alignment horizontal="center"/>
    </xf>
    <xf numFmtId="0" fontId="5" fillId="81" borderId="0" xfId="799" applyFont="1" applyFill="1"/>
    <xf numFmtId="44" fontId="7" fillId="0" borderId="0" xfId="720" applyNumberFormat="1" applyFont="1" applyFill="1" applyAlignment="1">
      <alignment horizontal="right"/>
    </xf>
    <xf numFmtId="0" fontId="7" fillId="0" borderId="47" xfId="2108" applyFont="1" applyFill="1" applyBorder="1" applyAlignment="1">
      <alignment horizontal="left"/>
    </xf>
    <xf numFmtId="10" fontId="7" fillId="0" borderId="3" xfId="1799" applyNumberFormat="1" applyFont="1" applyFill="1" applyBorder="1" applyAlignment="1">
      <alignment horizontal="center" vertical="center"/>
    </xf>
    <xf numFmtId="10" fontId="7" fillId="0" borderId="3" xfId="2831" applyNumberFormat="1" applyFont="1" applyFill="1" applyBorder="1" applyAlignment="1">
      <alignment horizontal="center"/>
    </xf>
    <xf numFmtId="168" fontId="6" fillId="0" borderId="0" xfId="1407" applyFont="1" applyFill="1" applyBorder="1" applyAlignment="1">
      <alignment horizontal="left"/>
    </xf>
    <xf numFmtId="6" fontId="7" fillId="0" borderId="0" xfId="2" applyNumberFormat="1" applyFont="1" applyFill="1" applyBorder="1"/>
    <xf numFmtId="0" fontId="6" fillId="83" borderId="52" xfId="720" applyFont="1" applyFill="1" applyBorder="1" applyAlignment="1">
      <alignment horizontal="center"/>
    </xf>
    <xf numFmtId="0" fontId="7" fillId="0" borderId="52" xfId="0" applyFont="1" applyFill="1" applyBorder="1"/>
    <xf numFmtId="44" fontId="7" fillId="0" borderId="14" xfId="720" applyNumberFormat="1" applyFont="1" applyFill="1" applyBorder="1" applyAlignment="1">
      <alignment horizontal="center"/>
    </xf>
    <xf numFmtId="44" fontId="7" fillId="0" borderId="50" xfId="400" applyNumberFormat="1" applyFont="1" applyFill="1" applyBorder="1" applyAlignment="1">
      <alignment horizontal="center"/>
    </xf>
    <xf numFmtId="0" fontId="7" fillId="0" borderId="52" xfId="720" applyFont="1" applyFill="1" applyBorder="1" applyAlignment="1">
      <alignment horizontal="center"/>
    </xf>
    <xf numFmtId="0" fontId="7" fillId="0" borderId="20" xfId="720" applyFont="1" applyFill="1" applyBorder="1" applyAlignment="1">
      <alignment horizontal="center"/>
    </xf>
    <xf numFmtId="0" fontId="7" fillId="0" borderId="48" xfId="720" applyFont="1" applyFill="1" applyBorder="1" applyAlignment="1">
      <alignment horizontal="center"/>
    </xf>
    <xf numFmtId="0" fontId="5" fillId="0" borderId="50" xfId="0" applyFont="1" applyFill="1" applyBorder="1"/>
    <xf numFmtId="0" fontId="6" fillId="0" borderId="1" xfId="0" applyFont="1" applyFill="1" applyBorder="1"/>
    <xf numFmtId="44" fontId="7" fillId="0" borderId="52" xfId="2" applyFont="1" applyFill="1" applyBorder="1"/>
    <xf numFmtId="44" fontId="7" fillId="0" borderId="20" xfId="2" applyFont="1" applyFill="1" applyBorder="1"/>
    <xf numFmtId="0" fontId="5" fillId="0" borderId="48" xfId="0" applyFont="1" applyFill="1" applyBorder="1"/>
    <xf numFmtId="44" fontId="7" fillId="0" borderId="0" xfId="721" applyNumberFormat="1" applyFont="1" applyFill="1" applyBorder="1" applyAlignment="1">
      <alignment horizontal="center"/>
    </xf>
    <xf numFmtId="44" fontId="103" fillId="0" borderId="0" xfId="0" applyNumberFormat="1" applyFont="1" applyFill="1" applyBorder="1"/>
    <xf numFmtId="10" fontId="7" fillId="0" borderId="47" xfId="721" applyNumberFormat="1" applyFont="1" applyFill="1" applyBorder="1" applyAlignment="1">
      <alignment horizontal="center"/>
    </xf>
    <xf numFmtId="10" fontId="7" fillId="0" borderId="3" xfId="721" applyNumberFormat="1" applyFont="1" applyFill="1" applyBorder="1" applyAlignment="1">
      <alignment horizontal="center"/>
    </xf>
    <xf numFmtId="10" fontId="7" fillId="0" borderId="52" xfId="721" applyNumberFormat="1" applyFont="1" applyFill="1" applyBorder="1" applyAlignment="1">
      <alignment horizontal="center"/>
    </xf>
    <xf numFmtId="0" fontId="108" fillId="0" borderId="0" xfId="0" applyFont="1" applyBorder="1"/>
    <xf numFmtId="44" fontId="7" fillId="0" borderId="3" xfId="2" applyNumberFormat="1" applyFont="1" applyFill="1" applyBorder="1"/>
    <xf numFmtId="0" fontId="7" fillId="0" borderId="14" xfId="2108" applyFont="1" applyFill="1" applyBorder="1" applyAlignment="1">
      <alignment horizontal="left"/>
    </xf>
    <xf numFmtId="10" fontId="153" fillId="0" borderId="3" xfId="1624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0" fillId="0" borderId="0" xfId="0" applyFont="1" applyFill="1" applyBorder="1"/>
    <xf numFmtId="168" fontId="7" fillId="0" borderId="3" xfId="1407" applyFont="1" applyFill="1" applyBorder="1" applyAlignment="1">
      <alignment horizontal="left"/>
    </xf>
    <xf numFmtId="0" fontId="7" fillId="0" borderId="1" xfId="0" applyFont="1" applyFill="1" applyBorder="1"/>
    <xf numFmtId="0" fontId="153" fillId="0" borderId="47" xfId="720" applyFont="1" applyFill="1" applyBorder="1" applyAlignment="1">
      <alignment horizontal="left"/>
    </xf>
    <xf numFmtId="44" fontId="104" fillId="0" borderId="0" xfId="2" applyFont="1" applyFill="1" applyBorder="1" applyAlignment="1">
      <alignment horizontal="center"/>
    </xf>
    <xf numFmtId="44" fontId="155" fillId="0" borderId="0" xfId="720" applyNumberFormat="1" applyFont="1" applyFill="1" applyBorder="1" applyAlignment="1">
      <alignment horizontal="center"/>
    </xf>
    <xf numFmtId="44" fontId="155" fillId="0" borderId="0" xfId="2" applyFont="1" applyFill="1" applyBorder="1" applyAlignment="1">
      <alignment horizontal="center"/>
    </xf>
    <xf numFmtId="0" fontId="154" fillId="0" borderId="0" xfId="720" applyFont="1" applyFill="1" applyBorder="1" applyAlignment="1">
      <alignment horizontal="left"/>
    </xf>
    <xf numFmtId="0" fontId="6" fillId="85" borderId="0" xfId="721" applyFont="1" applyFill="1" applyAlignment="1">
      <alignment horizontal="left"/>
    </xf>
    <xf numFmtId="0" fontId="5" fillId="85" borderId="0" xfId="799" applyFont="1" applyFill="1"/>
    <xf numFmtId="44" fontId="7" fillId="0" borderId="50" xfId="2" applyFont="1" applyFill="1" applyBorder="1"/>
    <xf numFmtId="44" fontId="7" fillId="0" borderId="13" xfId="721" applyNumberFormat="1" applyFont="1" applyFill="1" applyBorder="1"/>
    <xf numFmtId="164" fontId="7" fillId="0" borderId="13" xfId="387" applyNumberFormat="1" applyFont="1" applyFill="1" applyBorder="1" applyAlignment="1">
      <alignment horizontal="right"/>
    </xf>
    <xf numFmtId="0" fontId="109" fillId="0" borderId="0" xfId="0" applyFont="1" applyBorder="1"/>
    <xf numFmtId="10" fontId="104" fillId="0" borderId="3" xfId="0" applyNumberFormat="1" applyFont="1" applyFill="1" applyBorder="1" applyAlignment="1">
      <alignment horizontal="center" vertical="center"/>
    </xf>
    <xf numFmtId="10" fontId="104" fillId="0" borderId="3" xfId="1624" applyNumberFormat="1" applyFont="1" applyFill="1" applyBorder="1" applyAlignment="1">
      <alignment horizontal="center"/>
    </xf>
    <xf numFmtId="10" fontId="104" fillId="0" borderId="0" xfId="1" applyNumberFormat="1" applyFont="1" applyFill="1" applyBorder="1" applyAlignment="1">
      <alignment horizontal="center"/>
    </xf>
    <xf numFmtId="10" fontId="104" fillId="0" borderId="0" xfId="720" applyNumberFormat="1" applyFont="1" applyFill="1" applyBorder="1" applyAlignment="1">
      <alignment horizontal="center"/>
    </xf>
    <xf numFmtId="10" fontId="104" fillId="0" borderId="3" xfId="1799" applyNumberFormat="1" applyFont="1" applyFill="1" applyBorder="1" applyAlignment="1">
      <alignment horizontal="center" vertical="center"/>
    </xf>
    <xf numFmtId="10" fontId="104" fillId="0" borderId="3" xfId="1" applyNumberFormat="1" applyFont="1" applyFill="1" applyBorder="1" applyAlignment="1">
      <alignment horizontal="center"/>
    </xf>
    <xf numFmtId="44" fontId="104" fillId="0" borderId="13" xfId="0" applyNumberFormat="1" applyFont="1" applyFill="1" applyBorder="1"/>
    <xf numFmtId="0" fontId="104" fillId="0" borderId="49" xfId="720" applyFont="1" applyFill="1" applyBorder="1" applyAlignment="1">
      <alignment horizontal="left"/>
    </xf>
    <xf numFmtId="44" fontId="104" fillId="0" borderId="1" xfId="399" applyNumberFormat="1" applyFont="1" applyFill="1" applyBorder="1" applyAlignment="1">
      <alignment horizontal="center"/>
    </xf>
    <xf numFmtId="44" fontId="104" fillId="0" borderId="1" xfId="399" applyFont="1" applyFill="1" applyBorder="1" applyAlignment="1">
      <alignment horizontal="center"/>
    </xf>
    <xf numFmtId="44" fontId="104" fillId="0" borderId="13" xfId="2" applyFont="1" applyFill="1" applyBorder="1"/>
    <xf numFmtId="44" fontId="104" fillId="0" borderId="13" xfId="2" applyNumberFormat="1" applyFont="1" applyFill="1" applyBorder="1"/>
    <xf numFmtId="44" fontId="104" fillId="0" borderId="13" xfId="400" applyFont="1" applyFill="1" applyBorder="1" applyAlignment="1">
      <alignment horizontal="center"/>
    </xf>
    <xf numFmtId="0" fontId="104" fillId="82" borderId="47" xfId="720" applyFont="1" applyFill="1" applyBorder="1" applyAlignment="1">
      <alignment horizontal="left"/>
    </xf>
    <xf numFmtId="44" fontId="104" fillId="82" borderId="13" xfId="2" applyNumberFormat="1" applyFont="1" applyFill="1" applyBorder="1"/>
    <xf numFmtId="10" fontId="104" fillId="82" borderId="3" xfId="0" applyNumberFormat="1" applyFont="1" applyFill="1" applyBorder="1" applyAlignment="1">
      <alignment horizontal="center" vertical="center"/>
    </xf>
    <xf numFmtId="10" fontId="104" fillId="82" borderId="3" xfId="1624" applyNumberFormat="1" applyFont="1" applyFill="1" applyBorder="1" applyAlignment="1">
      <alignment horizontal="center"/>
    </xf>
    <xf numFmtId="0" fontId="7" fillId="82" borderId="49" xfId="720" applyFont="1" applyFill="1" applyBorder="1" applyAlignment="1">
      <alignment horizontal="left"/>
    </xf>
    <xf numFmtId="164" fontId="7" fillId="82" borderId="0" xfId="2" applyNumberFormat="1" applyFont="1" applyFill="1" applyBorder="1" applyAlignment="1">
      <alignment horizontal="center"/>
    </xf>
    <xf numFmtId="44" fontId="7" fillId="82" borderId="1" xfId="720" applyNumberFormat="1" applyFont="1" applyFill="1" applyBorder="1" applyAlignment="1">
      <alignment horizontal="center"/>
    </xf>
    <xf numFmtId="10" fontId="7" fillId="82" borderId="3" xfId="0" applyNumberFormat="1" applyFont="1" applyFill="1" applyBorder="1" applyAlignment="1">
      <alignment horizontal="center" vertical="center"/>
    </xf>
    <xf numFmtId="10" fontId="7" fillId="82" borderId="3" xfId="1624" applyNumberFormat="1" applyFont="1" applyFill="1" applyBorder="1" applyAlignment="1">
      <alignment horizontal="center"/>
    </xf>
    <xf numFmtId="44" fontId="104" fillId="0" borderId="13" xfId="387" applyNumberFormat="1" applyFont="1" applyFill="1" applyBorder="1"/>
    <xf numFmtId="44" fontId="104" fillId="0" borderId="55" xfId="2" applyNumberFormat="1" applyFont="1" applyFill="1" applyBorder="1"/>
    <xf numFmtId="44" fontId="104" fillId="0" borderId="13" xfId="47" applyNumberFormat="1" applyFont="1" applyFill="1" applyBorder="1"/>
    <xf numFmtId="44" fontId="104" fillId="0" borderId="55" xfId="47" applyNumberFormat="1" applyFont="1" applyFill="1" applyBorder="1"/>
    <xf numFmtId="44" fontId="104" fillId="0" borderId="51" xfId="2" applyNumberFormat="1" applyFont="1" applyFill="1" applyBorder="1"/>
    <xf numFmtId="0" fontId="104" fillId="82" borderId="51" xfId="47" applyFont="1" applyFill="1" applyBorder="1" applyAlignment="1">
      <alignment horizontal="left" wrapText="1"/>
    </xf>
    <xf numFmtId="10" fontId="7" fillId="82" borderId="3" xfId="1625" applyNumberFormat="1" applyFont="1" applyFill="1" applyBorder="1" applyAlignment="1">
      <alignment horizontal="center"/>
    </xf>
    <xf numFmtId="0" fontId="7" fillId="82" borderId="49" xfId="721" applyFont="1" applyFill="1" applyBorder="1" applyAlignment="1">
      <alignment horizontal="left"/>
    </xf>
    <xf numFmtId="44" fontId="7" fillId="82" borderId="1" xfId="400" applyNumberFormat="1" applyFont="1" applyFill="1" applyBorder="1" applyAlignment="1">
      <alignment horizontal="center"/>
    </xf>
    <xf numFmtId="44" fontId="7" fillId="82" borderId="1" xfId="721" applyNumberFormat="1" applyFont="1" applyFill="1" applyBorder="1" applyAlignment="1">
      <alignment horizontal="center"/>
    </xf>
    <xf numFmtId="44" fontId="104" fillId="0" borderId="1" xfId="400" applyNumberFormat="1" applyFont="1" applyFill="1" applyBorder="1" applyAlignment="1">
      <alignment horizontal="center"/>
    </xf>
    <xf numFmtId="44" fontId="104" fillId="0" borderId="13" xfId="399" applyFont="1" applyFill="1" applyBorder="1" applyAlignment="1">
      <alignment horizontal="center"/>
    </xf>
    <xf numFmtId="44" fontId="104" fillId="0" borderId="13" xfId="2" applyFont="1" applyFill="1" applyBorder="1" applyAlignment="1">
      <alignment vertical="center"/>
    </xf>
    <xf numFmtId="0" fontId="104" fillId="82" borderId="3" xfId="720" applyFont="1" applyFill="1" applyBorder="1" applyAlignment="1">
      <alignment horizontal="left"/>
    </xf>
    <xf numFmtId="44" fontId="104" fillId="82" borderId="13" xfId="2" applyFont="1" applyFill="1" applyBorder="1"/>
    <xf numFmtId="0" fontId="7" fillId="82" borderId="1" xfId="720" applyFont="1" applyFill="1" applyBorder="1" applyAlignment="1">
      <alignment horizontal="left"/>
    </xf>
    <xf numFmtId="44" fontId="7" fillId="82" borderId="1" xfId="2" applyFont="1" applyFill="1" applyBorder="1" applyAlignment="1">
      <alignment horizontal="center"/>
    </xf>
    <xf numFmtId="44" fontId="7" fillId="82" borderId="49" xfId="720" applyNumberFormat="1" applyFont="1" applyFill="1" applyBorder="1" applyAlignment="1">
      <alignment horizontal="center"/>
    </xf>
    <xf numFmtId="0" fontId="7" fillId="0" borderId="51" xfId="2108" applyFont="1" applyFill="1" applyBorder="1" applyAlignment="1">
      <alignment horizontal="left"/>
    </xf>
    <xf numFmtId="44" fontId="104" fillId="0" borderId="13" xfId="2" applyNumberFormat="1" applyFont="1" applyFill="1" applyBorder="1" applyAlignment="1">
      <alignment horizontal="center"/>
    </xf>
    <xf numFmtId="0" fontId="104" fillId="82" borderId="47" xfId="721" applyFont="1" applyFill="1" applyBorder="1" applyAlignment="1">
      <alignment horizontal="left"/>
    </xf>
    <xf numFmtId="0" fontId="104" fillId="82" borderId="49" xfId="721" applyFont="1" applyFill="1" applyBorder="1" applyAlignment="1">
      <alignment horizontal="left"/>
    </xf>
    <xf numFmtId="44" fontId="104" fillId="82" borderId="13" xfId="2" applyNumberFormat="1" applyFont="1" applyFill="1" applyBorder="1" applyAlignment="1">
      <alignment horizontal="center"/>
    </xf>
    <xf numFmtId="44" fontId="7" fillId="82" borderId="13" xfId="2" applyNumberFormat="1" applyFont="1" applyFill="1" applyBorder="1" applyAlignment="1">
      <alignment horizontal="center"/>
    </xf>
    <xf numFmtId="10" fontId="104" fillId="82" borderId="3" xfId="1625" applyNumberFormat="1" applyFont="1" applyFill="1" applyBorder="1" applyAlignment="1">
      <alignment horizontal="center"/>
    </xf>
    <xf numFmtId="44" fontId="7" fillId="0" borderId="20" xfId="2" applyNumberFormat="1" applyFont="1" applyFill="1" applyBorder="1" applyAlignment="1">
      <alignment horizontal="center"/>
    </xf>
    <xf numFmtId="44" fontId="7" fillId="0" borderId="50" xfId="2" applyNumberFormat="1" applyFont="1" applyFill="1" applyBorder="1" applyAlignment="1">
      <alignment horizontal="center"/>
    </xf>
    <xf numFmtId="44" fontId="7" fillId="82" borderId="50" xfId="2" applyNumberFormat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right"/>
    </xf>
    <xf numFmtId="0" fontId="154" fillId="83" borderId="3" xfId="720" applyFont="1" applyFill="1" applyBorder="1" applyAlignment="1">
      <alignment horizontal="center"/>
    </xf>
    <xf numFmtId="0" fontId="154" fillId="83" borderId="0" xfId="720" applyFont="1" applyFill="1" applyBorder="1" applyAlignment="1">
      <alignment horizontal="center"/>
    </xf>
    <xf numFmtId="44" fontId="154" fillId="86" borderId="0" xfId="799" applyNumberFormat="1" applyFont="1" applyFill="1" applyAlignment="1">
      <alignment horizontal="left"/>
    </xf>
    <xf numFmtId="44" fontId="7" fillId="86" borderId="0" xfId="2" applyFont="1" applyFill="1"/>
    <xf numFmtId="0" fontId="6" fillId="86" borderId="0" xfId="720" applyFont="1" applyFill="1" applyAlignment="1">
      <alignment horizontal="center"/>
    </xf>
    <xf numFmtId="44" fontId="7" fillId="86" borderId="0" xfId="799" applyNumberFormat="1" applyFont="1" applyFill="1"/>
    <xf numFmtId="0" fontId="7" fillId="86" borderId="0" xfId="784" applyFont="1" applyFill="1" applyAlignment="1">
      <alignment horizontal="center"/>
    </xf>
    <xf numFmtId="44" fontId="7" fillId="86" borderId="0" xfId="784" applyNumberFormat="1" applyFont="1" applyFill="1" applyAlignment="1">
      <alignment horizontal="center"/>
    </xf>
    <xf numFmtId="0" fontId="7" fillId="86" borderId="0" xfId="799" applyFont="1" applyFill="1"/>
    <xf numFmtId="0" fontId="154" fillId="87" borderId="0" xfId="720" applyFont="1" applyFill="1" applyBorder="1" applyAlignment="1">
      <alignment horizontal="center"/>
    </xf>
    <xf numFmtId="44" fontId="6" fillId="83" borderId="47" xfId="2" applyNumberFormat="1" applyFont="1" applyFill="1" applyBorder="1" applyAlignment="1">
      <alignment horizontal="center" vertical="center"/>
    </xf>
    <xf numFmtId="44" fontId="6" fillId="83" borderId="19" xfId="2" applyNumberFormat="1" applyFont="1" applyFill="1" applyBorder="1" applyAlignment="1">
      <alignment horizontal="center" vertical="center"/>
    </xf>
    <xf numFmtId="44" fontId="6" fillId="0" borderId="0" xfId="2" applyNumberFormat="1" applyFont="1" applyFill="1" applyAlignment="1">
      <alignment horizontal="center"/>
    </xf>
    <xf numFmtId="44" fontId="5" fillId="81" borderId="0" xfId="2" applyNumberFormat="1" applyFont="1" applyFill="1" applyAlignment="1">
      <alignment horizontal="center"/>
    </xf>
    <xf numFmtId="44" fontId="7" fillId="0" borderId="51" xfId="2" applyNumberFormat="1" applyFont="1" applyFill="1" applyBorder="1" applyAlignment="1">
      <alignment horizontal="center"/>
    </xf>
    <xf numFmtId="44" fontId="7" fillId="0" borderId="53" xfId="2" applyNumberFormat="1" applyFont="1" applyFill="1" applyBorder="1" applyAlignment="1">
      <alignment horizontal="center"/>
    </xf>
    <xf numFmtId="44" fontId="7" fillId="0" borderId="0" xfId="2" applyNumberFormat="1" applyFont="1" applyFill="1" applyAlignment="1">
      <alignment horizontal="center"/>
    </xf>
    <xf numFmtId="44" fontId="5" fillId="0" borderId="0" xfId="2" applyNumberFormat="1" applyFont="1" applyFill="1" applyAlignment="1">
      <alignment horizontal="center"/>
    </xf>
    <xf numFmtId="44" fontId="6" fillId="83" borderId="47" xfId="2" applyNumberFormat="1" applyFont="1" applyFill="1" applyBorder="1" applyAlignment="1">
      <alignment horizontal="center"/>
    </xf>
    <xf numFmtId="44" fontId="6" fillId="83" borderId="19" xfId="2" applyNumberFormat="1" applyFont="1" applyFill="1" applyBorder="1" applyAlignment="1">
      <alignment horizontal="center"/>
    </xf>
    <xf numFmtId="44" fontId="154" fillId="83" borderId="19" xfId="2" applyNumberFormat="1" applyFont="1" applyFill="1" applyBorder="1" applyAlignment="1">
      <alignment horizontal="center"/>
    </xf>
    <xf numFmtId="44" fontId="7" fillId="0" borderId="13" xfId="2" applyNumberFormat="1" applyFont="1" applyFill="1" applyBorder="1" applyAlignment="1">
      <alignment horizontal="center"/>
    </xf>
    <xf numFmtId="44" fontId="154" fillId="83" borderId="47" xfId="2" applyNumberFormat="1" applyFont="1" applyFill="1" applyBorder="1" applyAlignment="1">
      <alignment horizontal="center"/>
    </xf>
    <xf numFmtId="44" fontId="154" fillId="86" borderId="19" xfId="2" applyNumberFormat="1" applyFont="1" applyFill="1" applyBorder="1" applyAlignment="1">
      <alignment horizontal="center"/>
    </xf>
    <xf numFmtId="44" fontId="7" fillId="86" borderId="0" xfId="2" applyNumberFormat="1" applyFont="1" applyFill="1" applyBorder="1" applyAlignment="1">
      <alignment horizontal="center"/>
    </xf>
    <xf numFmtId="44" fontId="154" fillId="84" borderId="19" xfId="2" applyNumberFormat="1" applyFont="1" applyFill="1" applyBorder="1" applyAlignment="1">
      <alignment horizontal="center"/>
    </xf>
    <xf numFmtId="44" fontId="7" fillId="0" borderId="19" xfId="2" applyNumberFormat="1" applyFont="1" applyFill="1" applyBorder="1" applyAlignment="1">
      <alignment horizontal="center"/>
    </xf>
    <xf numFmtId="44" fontId="7" fillId="82" borderId="53" xfId="2" applyNumberFormat="1" applyFont="1" applyFill="1" applyBorder="1" applyAlignment="1">
      <alignment horizontal="center"/>
    </xf>
    <xf numFmtId="44" fontId="7" fillId="0" borderId="47" xfId="2" applyNumberFormat="1" applyFont="1" applyFill="1" applyBorder="1" applyAlignment="1">
      <alignment horizontal="center"/>
    </xf>
    <xf numFmtId="44" fontId="7" fillId="0" borderId="52" xfId="2" applyNumberFormat="1" applyFont="1" applyFill="1" applyBorder="1" applyAlignment="1">
      <alignment horizontal="center"/>
    </xf>
    <xf numFmtId="44" fontId="6" fillId="0" borderId="19" xfId="2" applyNumberFormat="1" applyFont="1" applyFill="1" applyBorder="1" applyAlignment="1">
      <alignment horizontal="center"/>
    </xf>
    <xf numFmtId="44" fontId="7" fillId="82" borderId="19" xfId="2" applyNumberFormat="1" applyFont="1" applyFill="1" applyBorder="1" applyAlignment="1">
      <alignment horizontal="center"/>
    </xf>
    <xf numFmtId="44" fontId="6" fillId="83" borderId="54" xfId="2" applyNumberFormat="1" applyFont="1" applyFill="1" applyBorder="1" applyAlignment="1">
      <alignment horizontal="center"/>
    </xf>
    <xf numFmtId="44" fontId="5" fillId="85" borderId="0" xfId="2" applyNumberFormat="1" applyFont="1" applyFill="1" applyAlignment="1">
      <alignment horizontal="center"/>
    </xf>
    <xf numFmtId="44" fontId="155" fillId="0" borderId="0" xfId="2" applyNumberFormat="1" applyFont="1" applyFill="1" applyBorder="1" applyAlignment="1">
      <alignment horizontal="center"/>
    </xf>
    <xf numFmtId="44" fontId="5" fillId="0" borderId="3" xfId="2" applyNumberFormat="1" applyFont="1" applyFill="1" applyBorder="1" applyAlignment="1">
      <alignment horizontal="center" wrapText="1"/>
    </xf>
    <xf numFmtId="44" fontId="5" fillId="0" borderId="0" xfId="2" applyNumberFormat="1" applyFont="1" applyBorder="1" applyAlignment="1">
      <alignment horizontal="center"/>
    </xf>
    <xf numFmtId="44" fontId="5" fillId="0" borderId="1" xfId="2" applyNumberFormat="1" applyFont="1" applyBorder="1" applyAlignment="1">
      <alignment horizontal="center"/>
    </xf>
    <xf numFmtId="44" fontId="5" fillId="0" borderId="0" xfId="2" applyNumberFormat="1" applyFont="1" applyAlignment="1">
      <alignment horizontal="center"/>
    </xf>
    <xf numFmtId="44" fontId="5" fillId="0" borderId="0" xfId="2" applyNumberFormat="1" applyFont="1" applyFill="1" applyBorder="1" applyAlignment="1">
      <alignment horizontal="center"/>
    </xf>
    <xf numFmtId="2" fontId="7" fillId="0" borderId="13" xfId="2" applyNumberFormat="1" applyFont="1" applyFill="1" applyBorder="1" applyAlignment="1">
      <alignment horizontal="center"/>
    </xf>
    <xf numFmtId="0" fontId="5" fillId="86" borderId="0" xfId="799" applyFont="1" applyFill="1"/>
    <xf numFmtId="0" fontId="6" fillId="83" borderId="56" xfId="720" applyFont="1" applyFill="1" applyBorder="1" applyAlignment="1">
      <alignment horizontal="center"/>
    </xf>
    <xf numFmtId="0" fontId="6" fillId="83" borderId="8" xfId="720" applyFont="1" applyFill="1" applyBorder="1" applyAlignment="1">
      <alignment horizontal="center"/>
    </xf>
    <xf numFmtId="0" fontId="6" fillId="83" borderId="57" xfId="720" applyFont="1" applyFill="1" applyBorder="1" applyAlignment="1">
      <alignment horizontal="center"/>
    </xf>
    <xf numFmtId="0" fontId="6" fillId="0" borderId="0" xfId="720" applyFont="1" applyFill="1" applyAlignment="1">
      <alignment horizontal="center"/>
    </xf>
  </cellXfs>
  <cellStyles count="32497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2 2" xfId="32496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76" xfId="32488"/>
    <cellStyle name="Currency 77" xfId="32490"/>
    <cellStyle name="Currency 78" xfId="32491"/>
    <cellStyle name="Currency 79" xfId="32494"/>
    <cellStyle name="Currency 8" xfId="442"/>
    <cellStyle name="Currency 8 2" xfId="26180"/>
    <cellStyle name="Currency 8 3" xfId="25839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07" xfId="32487"/>
    <cellStyle name="Normal 108" xfId="32489"/>
    <cellStyle name="Normal 109" xfId="32492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0" xfId="32493"/>
    <cellStyle name="Normal 115 2" xfId="26101"/>
    <cellStyle name="Normal 12" xfId="659"/>
    <cellStyle name="Normal 12 10" xfId="25870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12" xfId="32495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Date" xfId="1663"/>
    <cellStyle name="PSDec" xfId="1664"/>
    <cellStyle name="PSdesc" xfId="1665"/>
    <cellStyle name="PSHeading" xfId="1666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39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fill>
        <patternFill>
          <bgColor theme="7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fill>
        <patternFill patternType="none">
          <bgColor auto="1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/>
        <color theme="0" tint="-4.9989318521683403E-2"/>
      </font>
      <fill>
        <patternFill>
          <bgColor theme="0" tint="-0.49998474074526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theme="3" tint="0.39994506668294322"/>
        </patternFill>
      </fill>
      <border>
        <bottom style="thin">
          <color theme="4" tint="0.39997558519241921"/>
        </bottom>
      </border>
    </dxf>
    <dxf>
      <border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border>
        <left style="medium">
          <color theme="1" tint="0.499984740745262"/>
        </lef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  <border>
        <bottom style="medium">
          <color theme="4" tint="0.79998168889431442"/>
        </bottom>
      </border>
    </dxf>
    <dxf>
      <border>
        <top style="medium">
          <color theme="4" tint="0.79998168889431442"/>
        </top>
      </border>
    </dxf>
    <dxf>
      <border>
        <top style="medium">
          <color theme="4" tint="0.79998168889431442"/>
        </top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ill>
        <patternFill>
          <bgColor theme="0" tint="-0.14996795556505021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left style="thick">
          <color theme="4" tint="0.59996337778862885"/>
        </left>
        <right style="thin">
          <color theme="4" tint="0.39997558519241921"/>
        </right>
      </border>
    </dxf>
    <dxf>
      <border>
        <top style="thin">
          <color theme="4" tint="0.59999389629810485"/>
        </top>
        <bottom style="thin">
          <color theme="4" tint="0.59999389629810485"/>
        </bottom>
      </border>
    </dxf>
    <dxf>
      <font>
        <color theme="0"/>
      </font>
      <fill>
        <patternFill>
          <bgColor theme="4" tint="0.59996337778862885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4" defaultTableStyle="TableStyleMedium9" defaultPivotStyle="PivotStyleLight16">
    <tableStyle name="Invisible" pivot="0" table="0" count="0"/>
    <tableStyle name="PivotStyleDark2 2" table="0" count="13">
      <tableStyleElement type="wholeTable" dxfId="38"/>
      <tableStyleElement type="headerRow" dxfId="37"/>
      <tableStyleElement type="totalRow" dxfId="36"/>
      <tableStyleElement type="secondRowStripe" dxfId="35"/>
      <tableStyleElement type="secondColumnStripe" dxfId="34"/>
      <tableStyleElement type="firstSubtotalColumn" dxfId="33"/>
      <tableStyleElement type="secondSubtotalColumn" dxfId="32"/>
      <tableStyleElement type="thirdSubtotalColumn" dxfId="31"/>
      <tableStyleElement type="first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PivotStyleDark9 2" table="0" count="14">
      <tableStyleElement type="wholeTable" dxfId="25"/>
      <tableStyleElement type="headerRow" dxfId="24"/>
      <tableStyleElement type="totalRow" dxfId="23"/>
      <tableStyleElement type="firstColumn" dxfId="22"/>
      <tableStyleElement type="secondRowStripe" dxfId="21"/>
      <tableStyleElement type="firstColumnStripe" dxfId="20"/>
      <tableStyleElement type="secondColumnStripe" dxfId="19"/>
      <tableStyleElement type="firstSubtotalRow" dxfId="18"/>
      <tableStyleElement type="secondColumnSubheading" dxfId="17"/>
      <tableStyleElement type="thirdColumnSubheading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2" table="0" count="12">
      <tableStyleElement type="headerRow" dxfId="11"/>
      <tableStyleElement type="totalRow" dxfId="10"/>
      <tableStyleElement type="firstColumn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8"/>
  <sheetViews>
    <sheetView tabSelected="1" zoomScale="96" zoomScaleNormal="96" workbookViewId="0">
      <selection sqref="A1:Y1"/>
    </sheetView>
  </sheetViews>
  <sheetFormatPr defaultColWidth="9.109375" defaultRowHeight="13.2"/>
  <cols>
    <col min="1" max="1" width="17" style="95" customWidth="1"/>
    <col min="2" max="2" width="18" style="47" customWidth="1"/>
    <col min="3" max="3" width="17.44140625" style="259" customWidth="1"/>
    <col min="4" max="4" width="13.5546875" style="47" customWidth="1"/>
    <col min="5" max="7" width="15.109375" style="47" bestFit="1" customWidth="1"/>
    <col min="8" max="9" width="14" style="47" bestFit="1" customWidth="1"/>
    <col min="10" max="10" width="12.5546875" style="47" customWidth="1"/>
    <col min="11" max="11" width="15.5546875" style="47" customWidth="1"/>
    <col min="12" max="12" width="13.5546875" style="47" customWidth="1"/>
    <col min="13" max="13" width="14.44140625" style="47" customWidth="1"/>
    <col min="14" max="14" width="13.44140625" style="47" customWidth="1"/>
    <col min="15" max="15" width="10.5546875" style="47" customWidth="1"/>
    <col min="16" max="17" width="12" style="47" bestFit="1" customWidth="1"/>
    <col min="18" max="18" width="10.88671875" style="47" customWidth="1"/>
    <col min="19" max="19" width="12" style="47" customWidth="1"/>
    <col min="20" max="20" width="15.44140625" style="47" customWidth="1"/>
    <col min="21" max="21" width="14.109375" style="47" bestFit="1" customWidth="1"/>
    <col min="22" max="22" width="13.44140625" style="47" customWidth="1"/>
    <col min="23" max="23" width="12" style="47" bestFit="1" customWidth="1"/>
    <col min="24" max="24" width="15.44140625" style="47" customWidth="1"/>
    <col min="25" max="25" width="12.88671875" style="47" customWidth="1"/>
    <col min="26" max="26" width="12" style="47" bestFit="1" customWidth="1"/>
    <col min="27" max="28" width="15.5546875" style="52" bestFit="1" customWidth="1"/>
    <col min="29" max="29" width="15.44140625" style="35" bestFit="1" customWidth="1"/>
    <col min="30" max="30" width="12.44140625" style="35" bestFit="1" customWidth="1"/>
    <col min="31" max="16384" width="9.109375" style="35"/>
  </cols>
  <sheetData>
    <row r="1" spans="1:30" s="52" customFormat="1" ht="13.5" customHeight="1">
      <c r="A1" s="266" t="s">
        <v>512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1"/>
    </row>
    <row r="2" spans="1:30" s="52" customFormat="1" ht="25.95" customHeight="1">
      <c r="A2" s="16"/>
      <c r="B2" s="1"/>
      <c r="C2" s="23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s="52" customFormat="1" ht="13.8" thickBot="1">
      <c r="A3" s="80" t="s">
        <v>0</v>
      </c>
      <c r="B3" s="81"/>
      <c r="C3" s="234"/>
      <c r="D3" s="81"/>
      <c r="E3" s="81"/>
      <c r="F3" s="8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s="52" customFormat="1" ht="13.8" thickBot="1">
      <c r="A4" s="113" t="s">
        <v>1</v>
      </c>
      <c r="B4" s="114" t="s">
        <v>2</v>
      </c>
      <c r="C4" s="231" t="s">
        <v>3</v>
      </c>
      <c r="D4" s="263" t="s">
        <v>4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123"/>
      <c r="AA4" s="123"/>
      <c r="AB4" s="123"/>
    </row>
    <row r="5" spans="1:30" s="52" customFormat="1">
      <c r="A5" s="115" t="s">
        <v>5</v>
      </c>
      <c r="B5" s="116" t="s">
        <v>6</v>
      </c>
      <c r="C5" s="232" t="s">
        <v>6</v>
      </c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9"/>
      <c r="Z5" s="116" t="s">
        <v>7</v>
      </c>
      <c r="AA5" s="124"/>
      <c r="AB5" s="124"/>
    </row>
    <row r="6" spans="1:30" s="52" customFormat="1">
      <c r="A6" s="115" t="s">
        <v>8</v>
      </c>
      <c r="B6" s="116" t="s">
        <v>9</v>
      </c>
      <c r="C6" s="232" t="s">
        <v>9</v>
      </c>
      <c r="D6" s="120" t="s">
        <v>10</v>
      </c>
      <c r="E6" s="116" t="s">
        <v>11</v>
      </c>
      <c r="F6" s="116" t="s">
        <v>12</v>
      </c>
      <c r="G6" s="116" t="s">
        <v>13</v>
      </c>
      <c r="H6" s="116" t="s">
        <v>14</v>
      </c>
      <c r="I6" s="116" t="s">
        <v>15</v>
      </c>
      <c r="J6" s="116" t="s">
        <v>16</v>
      </c>
      <c r="K6" s="116" t="s">
        <v>17</v>
      </c>
      <c r="L6" s="116" t="s">
        <v>18</v>
      </c>
      <c r="M6" s="116" t="s">
        <v>19</v>
      </c>
      <c r="N6" s="116" t="s">
        <v>20</v>
      </c>
      <c r="O6" s="116" t="s">
        <v>175</v>
      </c>
      <c r="P6" s="116" t="s">
        <v>21</v>
      </c>
      <c r="Q6" s="116" t="s">
        <v>22</v>
      </c>
      <c r="R6" s="116" t="s">
        <v>23</v>
      </c>
      <c r="S6" s="116" t="s">
        <v>24</v>
      </c>
      <c r="T6" s="116" t="s">
        <v>25</v>
      </c>
      <c r="U6" s="116" t="s">
        <v>26</v>
      </c>
      <c r="V6" s="116" t="s">
        <v>27</v>
      </c>
      <c r="W6" s="116" t="s">
        <v>28</v>
      </c>
      <c r="X6" s="116" t="s">
        <v>29</v>
      </c>
      <c r="Y6" s="116" t="s">
        <v>30</v>
      </c>
      <c r="Z6" s="116" t="s">
        <v>31</v>
      </c>
      <c r="AA6" s="125" t="s">
        <v>493</v>
      </c>
      <c r="AB6" s="125" t="s">
        <v>476</v>
      </c>
    </row>
    <row r="7" spans="1:30" s="52" customFormat="1">
      <c r="A7" s="115"/>
      <c r="B7" s="116"/>
      <c r="C7" s="232" t="s">
        <v>617</v>
      </c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24"/>
      <c r="AB7" s="124"/>
    </row>
    <row r="8" spans="1:30" s="52" customFormat="1">
      <c r="A8" s="96" t="s">
        <v>32</v>
      </c>
      <c r="B8" s="18">
        <f>4634180.78/2</f>
        <v>2317090.39</v>
      </c>
      <c r="C8" s="235">
        <f>ROUND(B8/12,2)</f>
        <v>193090.87</v>
      </c>
      <c r="D8" s="170">
        <v>1.6500000000000001E-2</v>
      </c>
      <c r="E8" s="170">
        <v>0.1368</v>
      </c>
      <c r="F8" s="170">
        <v>5.7599999999999998E-2</v>
      </c>
      <c r="G8" s="170">
        <v>8.0399999999999999E-2</v>
      </c>
      <c r="H8" s="170">
        <v>4.1099999999999998E-2</v>
      </c>
      <c r="I8" s="170">
        <v>0.13389999999999999</v>
      </c>
      <c r="J8" s="170">
        <v>2.12E-2</v>
      </c>
      <c r="K8" s="170">
        <v>3.2500000000000001E-2</v>
      </c>
      <c r="L8" s="170">
        <v>1.7100000000000001E-2</v>
      </c>
      <c r="M8" s="170">
        <v>2.5999999999999999E-2</v>
      </c>
      <c r="N8" s="170">
        <v>0.13320000000000001</v>
      </c>
      <c r="O8" s="170">
        <v>1.89E-2</v>
      </c>
      <c r="P8" s="170">
        <v>0</v>
      </c>
      <c r="Q8" s="170">
        <v>3.8600000000000002E-2</v>
      </c>
      <c r="R8" s="170">
        <v>1.9E-2</v>
      </c>
      <c r="S8" s="170">
        <v>4.1999999999999997E-3</v>
      </c>
      <c r="T8" s="170">
        <v>5.3999999999999999E-2</v>
      </c>
      <c r="U8" s="170">
        <v>1.78E-2</v>
      </c>
      <c r="V8" s="170">
        <v>3.6700000000000003E-2</v>
      </c>
      <c r="W8" s="170">
        <v>4.7199999999999999E-2</v>
      </c>
      <c r="X8" s="170">
        <v>6.3899999999999998E-2</v>
      </c>
      <c r="Y8" s="170">
        <v>2.5999999999999999E-3</v>
      </c>
      <c r="Z8" s="171">
        <v>0</v>
      </c>
      <c r="AA8" s="171">
        <v>8.0000000000000004E-4</v>
      </c>
      <c r="AB8" s="171">
        <v>0</v>
      </c>
      <c r="AC8" s="67"/>
      <c r="AD8" s="55"/>
    </row>
    <row r="9" spans="1:30" s="52" customFormat="1">
      <c r="A9" s="97"/>
      <c r="B9" s="12"/>
      <c r="C9" s="235"/>
      <c r="D9" s="6">
        <f>$C8*D8</f>
        <v>3185.9993549999999</v>
      </c>
      <c r="E9" s="6">
        <f>$C8*E8</f>
        <v>26414.831016</v>
      </c>
      <c r="F9" s="6">
        <f>$C8*F8</f>
        <v>11122.034111999999</v>
      </c>
      <c r="G9" s="6">
        <f t="shared" ref="G9" si="0">$C8*G8</f>
        <v>15524.505948</v>
      </c>
      <c r="H9" s="6">
        <f t="shared" ref="H9" si="1">$C8*H8</f>
        <v>7936.0347569999994</v>
      </c>
      <c r="I9" s="6">
        <f t="shared" ref="I9:AB9" si="2">$C8*I8</f>
        <v>25854.867492999998</v>
      </c>
      <c r="J9" s="6">
        <f t="shared" si="2"/>
        <v>4093.5264440000001</v>
      </c>
      <c r="K9" s="6">
        <f t="shared" si="2"/>
        <v>6275.4532749999998</v>
      </c>
      <c r="L9" s="6">
        <f t="shared" si="2"/>
        <v>3301.853877</v>
      </c>
      <c r="M9" s="6">
        <f t="shared" si="2"/>
        <v>5020.3626199999999</v>
      </c>
      <c r="N9" s="6">
        <f t="shared" si="2"/>
        <v>25719.703884000002</v>
      </c>
      <c r="O9" s="6">
        <f t="shared" si="2"/>
        <v>3649.4174429999998</v>
      </c>
      <c r="P9" s="6">
        <f t="shared" si="2"/>
        <v>0</v>
      </c>
      <c r="Q9" s="6">
        <f t="shared" si="2"/>
        <v>7453.3075820000004</v>
      </c>
      <c r="R9" s="6">
        <f t="shared" si="2"/>
        <v>3668.7265299999999</v>
      </c>
      <c r="S9" s="6">
        <f t="shared" si="2"/>
        <v>810.98165399999993</v>
      </c>
      <c r="T9" s="6">
        <f t="shared" si="2"/>
        <v>10426.90698</v>
      </c>
      <c r="U9" s="6">
        <f t="shared" si="2"/>
        <v>3437.0174859999997</v>
      </c>
      <c r="V9" s="6">
        <f t="shared" si="2"/>
        <v>7086.4349290000009</v>
      </c>
      <c r="W9" s="6">
        <f t="shared" si="2"/>
        <v>9113.8890639999991</v>
      </c>
      <c r="X9" s="6">
        <f t="shared" si="2"/>
        <v>12338.506593</v>
      </c>
      <c r="Y9" s="6">
        <f t="shared" si="2"/>
        <v>502.03626199999997</v>
      </c>
      <c r="Z9" s="6">
        <f t="shared" si="2"/>
        <v>0</v>
      </c>
      <c r="AA9" s="6">
        <f t="shared" si="2"/>
        <v>154.47269600000001</v>
      </c>
      <c r="AB9" s="6">
        <f t="shared" si="2"/>
        <v>0</v>
      </c>
      <c r="AC9" s="67"/>
      <c r="AD9" s="55"/>
    </row>
    <row r="10" spans="1:30" s="52" customFormat="1">
      <c r="A10" s="98" t="s">
        <v>397</v>
      </c>
      <c r="B10" s="18">
        <v>2317090.39</v>
      </c>
      <c r="C10" s="235">
        <f t="shared" ref="C10:C72" si="3">ROUND(B10/12,2)</f>
        <v>193090.87</v>
      </c>
      <c r="D10" s="42"/>
      <c r="E10" s="42"/>
      <c r="F10" s="172">
        <v>0.30459999999999998</v>
      </c>
      <c r="G10" s="42"/>
      <c r="H10" s="172">
        <v>0.1086</v>
      </c>
      <c r="I10" s="42"/>
      <c r="J10" s="42"/>
      <c r="K10" s="42"/>
      <c r="L10" s="42"/>
      <c r="M10" s="42"/>
      <c r="N10" s="172">
        <v>0.42559999999999998</v>
      </c>
      <c r="O10" s="42"/>
      <c r="P10" s="42"/>
      <c r="Q10" s="42"/>
      <c r="R10" s="42"/>
      <c r="S10" s="42"/>
      <c r="T10" s="42"/>
      <c r="U10" s="42"/>
      <c r="V10" s="172">
        <v>0.16120000000000001</v>
      </c>
      <c r="X10" s="42"/>
      <c r="Y10" s="42"/>
      <c r="Z10" s="42"/>
      <c r="AA10" s="42"/>
      <c r="AB10" s="42"/>
      <c r="AC10" s="67"/>
      <c r="AD10" s="55"/>
    </row>
    <row r="11" spans="1:30" s="52" customFormat="1">
      <c r="A11" s="98"/>
      <c r="B11" s="12"/>
      <c r="C11" s="235"/>
      <c r="D11" s="7">
        <f t="shared" ref="D11" si="4">$C10*D10</f>
        <v>0</v>
      </c>
      <c r="E11" s="7">
        <f t="shared" ref="E11" si="5">$C10*E10</f>
        <v>0</v>
      </c>
      <c r="F11" s="7">
        <f t="shared" ref="F11:V11" si="6">$C10*F10</f>
        <v>58815.479001999993</v>
      </c>
      <c r="G11" s="7">
        <f t="shared" si="6"/>
        <v>0</v>
      </c>
      <c r="H11" s="7">
        <f t="shared" si="6"/>
        <v>20969.668482000001</v>
      </c>
      <c r="I11" s="7">
        <f t="shared" si="6"/>
        <v>0</v>
      </c>
      <c r="J11" s="7">
        <f t="shared" si="6"/>
        <v>0</v>
      </c>
      <c r="K11" s="7">
        <f t="shared" si="6"/>
        <v>0</v>
      </c>
      <c r="L11" s="7">
        <f t="shared" si="6"/>
        <v>0</v>
      </c>
      <c r="M11" s="7">
        <f t="shared" si="6"/>
        <v>0</v>
      </c>
      <c r="N11" s="7">
        <f t="shared" si="6"/>
        <v>82179.474271999992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0</v>
      </c>
      <c r="V11" s="7">
        <f t="shared" si="6"/>
        <v>31126.248244000002</v>
      </c>
      <c r="W11" s="7">
        <f>$C10*O10</f>
        <v>0</v>
      </c>
      <c r="X11" s="7">
        <f>$C10*X10</f>
        <v>0</v>
      </c>
      <c r="Y11" s="7">
        <f>$C10*Y10</f>
        <v>0</v>
      </c>
      <c r="Z11" s="7">
        <f>$C10*Z10</f>
        <v>0</v>
      </c>
      <c r="AA11" s="7">
        <f>$C10*AA10</f>
        <v>0</v>
      </c>
      <c r="AB11" s="7">
        <f>$C10*AB10</f>
        <v>0</v>
      </c>
      <c r="AC11" s="67"/>
      <c r="AD11" s="55"/>
    </row>
    <row r="12" spans="1:30" s="52" customFormat="1">
      <c r="A12" s="96" t="s">
        <v>33</v>
      </c>
      <c r="B12" s="18">
        <v>2144504.7361857756</v>
      </c>
      <c r="C12" s="235">
        <f t="shared" si="3"/>
        <v>178708.73</v>
      </c>
      <c r="D12" s="5">
        <v>0.1183</v>
      </c>
      <c r="E12" s="5"/>
      <c r="F12" s="5"/>
      <c r="G12" s="5"/>
      <c r="H12" s="5"/>
      <c r="I12" s="5"/>
      <c r="J12" s="5"/>
      <c r="K12" s="5"/>
      <c r="L12" s="5"/>
      <c r="M12" s="5">
        <v>0.19400000000000001</v>
      </c>
      <c r="N12" s="5">
        <v>0.1381</v>
      </c>
      <c r="O12" s="5"/>
      <c r="P12" s="5"/>
      <c r="Q12" s="5">
        <v>0.15559999999999999</v>
      </c>
      <c r="R12" s="5"/>
      <c r="S12" s="5"/>
      <c r="T12" s="5">
        <v>0.39400000000000002</v>
      </c>
      <c r="U12" s="5"/>
      <c r="V12" s="5"/>
      <c r="W12" s="5"/>
      <c r="X12" s="5"/>
      <c r="Y12" s="5"/>
      <c r="Z12" s="5"/>
      <c r="AA12" s="5"/>
      <c r="AB12" s="5"/>
      <c r="AC12" s="67"/>
      <c r="AD12" s="55"/>
    </row>
    <row r="13" spans="1:30" s="52" customFormat="1">
      <c r="A13" s="97"/>
      <c r="B13" s="11"/>
      <c r="C13" s="235"/>
      <c r="D13" s="6">
        <f t="shared" ref="D13" si="7">$C12*D12</f>
        <v>21141.242759000001</v>
      </c>
      <c r="E13" s="6">
        <f t="shared" ref="E13" si="8">$C12*E12</f>
        <v>0</v>
      </c>
      <c r="F13" s="6">
        <f t="shared" ref="F13:AB13" si="9">$C12*F12</f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34669.493620000001</v>
      </c>
      <c r="N13" s="6">
        <f t="shared" si="9"/>
        <v>24679.675613000003</v>
      </c>
      <c r="O13" s="6">
        <f t="shared" si="9"/>
        <v>0</v>
      </c>
      <c r="P13" s="6">
        <f t="shared" si="9"/>
        <v>0</v>
      </c>
      <c r="Q13" s="6">
        <f t="shared" si="9"/>
        <v>27807.078387999998</v>
      </c>
      <c r="R13" s="6">
        <f t="shared" si="9"/>
        <v>0</v>
      </c>
      <c r="S13" s="6">
        <f t="shared" si="9"/>
        <v>0</v>
      </c>
      <c r="T13" s="6">
        <f t="shared" si="9"/>
        <v>70411.239620000008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7"/>
      <c r="AD13" s="55"/>
    </row>
    <row r="14" spans="1:30" s="52" customFormat="1">
      <c r="A14" s="96" t="s">
        <v>34</v>
      </c>
      <c r="B14" s="18">
        <f>108313588.34/2</f>
        <v>54156794.170000002</v>
      </c>
      <c r="C14" s="235">
        <f t="shared" si="3"/>
        <v>4513066.18</v>
      </c>
      <c r="D14" s="170">
        <v>1.6500000000000001E-2</v>
      </c>
      <c r="E14" s="170">
        <v>0.1368</v>
      </c>
      <c r="F14" s="170">
        <v>5.7599999999999998E-2</v>
      </c>
      <c r="G14" s="170">
        <v>8.0399999999999999E-2</v>
      </c>
      <c r="H14" s="170">
        <v>4.1099999999999998E-2</v>
      </c>
      <c r="I14" s="170">
        <v>0.13389999999999999</v>
      </c>
      <c r="J14" s="170">
        <v>2.12E-2</v>
      </c>
      <c r="K14" s="170">
        <v>3.2500000000000001E-2</v>
      </c>
      <c r="L14" s="170">
        <v>1.7100000000000001E-2</v>
      </c>
      <c r="M14" s="170">
        <v>2.5999999999999999E-2</v>
      </c>
      <c r="N14" s="170">
        <v>0.13320000000000001</v>
      </c>
      <c r="O14" s="170">
        <v>1.89E-2</v>
      </c>
      <c r="P14" s="170">
        <v>0</v>
      </c>
      <c r="Q14" s="170">
        <v>3.8600000000000002E-2</v>
      </c>
      <c r="R14" s="170">
        <v>1.9E-2</v>
      </c>
      <c r="S14" s="170">
        <v>4.1999999999999997E-3</v>
      </c>
      <c r="T14" s="170">
        <v>5.3999999999999999E-2</v>
      </c>
      <c r="U14" s="170">
        <v>1.78E-2</v>
      </c>
      <c r="V14" s="170">
        <v>3.6700000000000003E-2</v>
      </c>
      <c r="W14" s="170">
        <v>4.7199999999999999E-2</v>
      </c>
      <c r="X14" s="170">
        <v>6.3899999999999998E-2</v>
      </c>
      <c r="Y14" s="170">
        <v>2.5999999999999999E-3</v>
      </c>
      <c r="Z14" s="171">
        <v>0</v>
      </c>
      <c r="AA14" s="171">
        <v>8.0000000000000004E-4</v>
      </c>
      <c r="AB14" s="171">
        <v>0</v>
      </c>
      <c r="AC14" s="67"/>
      <c r="AD14" s="55"/>
    </row>
    <row r="15" spans="1:30" s="52" customFormat="1">
      <c r="A15" s="98" t="s">
        <v>35</v>
      </c>
      <c r="B15" s="138"/>
      <c r="C15" s="235"/>
      <c r="D15" s="136">
        <f>$C14*D14</f>
        <v>74465.591969999994</v>
      </c>
      <c r="E15" s="7">
        <f>$C14*E14</f>
        <v>617387.45342399995</v>
      </c>
      <c r="F15" s="7">
        <f t="shared" ref="F15" si="10">$C14*F14</f>
        <v>259952.61196799998</v>
      </c>
      <c r="G15" s="7">
        <f t="shared" ref="G15" si="11">$C14*G14</f>
        <v>362850.52087199996</v>
      </c>
      <c r="H15" s="7">
        <f t="shared" ref="H15:O15" si="12">$C14*H14</f>
        <v>185487.01999799997</v>
      </c>
      <c r="I15" s="7">
        <f t="shared" si="12"/>
        <v>604299.56150199997</v>
      </c>
      <c r="J15" s="7">
        <f t="shared" si="12"/>
        <v>95677.003015999988</v>
      </c>
      <c r="K15" s="7">
        <f t="shared" si="12"/>
        <v>146674.65085000001</v>
      </c>
      <c r="L15" s="7">
        <f t="shared" si="12"/>
        <v>77173.431677999994</v>
      </c>
      <c r="M15" s="7">
        <f t="shared" si="12"/>
        <v>117339.72067999998</v>
      </c>
      <c r="N15" s="7">
        <f t="shared" si="12"/>
        <v>601140.41517599998</v>
      </c>
      <c r="O15" s="7">
        <f t="shared" si="12"/>
        <v>85296.950801999992</v>
      </c>
      <c r="P15" s="7">
        <f t="shared" ref="P15" si="13">$C14*P14</f>
        <v>0</v>
      </c>
      <c r="Q15" s="7">
        <f t="shared" ref="Q15" si="14">$C14*Q14</f>
        <v>174204.354548</v>
      </c>
      <c r="R15" s="7">
        <f t="shared" ref="R15:AB15" si="15">$C14*R14</f>
        <v>85748.257419999994</v>
      </c>
      <c r="S15" s="7">
        <f t="shared" si="15"/>
        <v>18954.877955999997</v>
      </c>
      <c r="T15" s="7">
        <f t="shared" si="15"/>
        <v>243705.57371999999</v>
      </c>
      <c r="U15" s="7">
        <f t="shared" si="15"/>
        <v>80332.578003999995</v>
      </c>
      <c r="V15" s="7">
        <f t="shared" si="15"/>
        <v>165629.52880600002</v>
      </c>
      <c r="W15" s="7">
        <f t="shared" si="15"/>
        <v>213016.72369599997</v>
      </c>
      <c r="X15" s="7">
        <f t="shared" si="15"/>
        <v>288384.92890199996</v>
      </c>
      <c r="Y15" s="7">
        <f t="shared" si="15"/>
        <v>11733.972067999999</v>
      </c>
      <c r="Z15" s="7">
        <f t="shared" si="15"/>
        <v>0</v>
      </c>
      <c r="AA15" s="7">
        <f t="shared" si="15"/>
        <v>3610.4529440000001</v>
      </c>
      <c r="AB15" s="7">
        <f t="shared" si="15"/>
        <v>0</v>
      </c>
      <c r="AC15" s="67"/>
      <c r="AD15" s="55"/>
    </row>
    <row r="16" spans="1:30" s="52" customFormat="1">
      <c r="A16" s="98" t="s">
        <v>36</v>
      </c>
      <c r="B16" s="139"/>
      <c r="C16" s="23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55"/>
    </row>
    <row r="17" spans="1:30" s="52" customFormat="1">
      <c r="A17" s="98" t="s">
        <v>37</v>
      </c>
      <c r="B17" s="139"/>
      <c r="C17" s="235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7"/>
      <c r="AD17" s="55"/>
    </row>
    <row r="18" spans="1:30" s="52" customFormat="1">
      <c r="A18" s="98" t="s">
        <v>38</v>
      </c>
      <c r="B18" s="139"/>
      <c r="C18" s="23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67"/>
      <c r="AD18" s="55"/>
    </row>
    <row r="19" spans="1:30" s="52" customFormat="1">
      <c r="A19" s="97" t="s">
        <v>39</v>
      </c>
      <c r="B19" s="140"/>
      <c r="C19" s="23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7"/>
      <c r="AD19" s="55"/>
    </row>
    <row r="20" spans="1:30" s="52" customFormat="1">
      <c r="A20" s="98" t="s">
        <v>398</v>
      </c>
      <c r="B20" s="18">
        <f>B14*0</f>
        <v>0</v>
      </c>
      <c r="C20" s="235">
        <f t="shared" si="3"/>
        <v>0</v>
      </c>
      <c r="D20" s="42"/>
      <c r="E20" s="42"/>
      <c r="F20" s="42"/>
      <c r="G20" s="42"/>
      <c r="H20" s="172">
        <v>7.6100000000000001E-2</v>
      </c>
      <c r="I20" s="42"/>
      <c r="J20" s="42"/>
      <c r="K20" s="42"/>
      <c r="L20" s="42"/>
      <c r="M20" s="42"/>
      <c r="N20" s="172">
        <v>0.80369999999999997</v>
      </c>
      <c r="O20" s="42"/>
      <c r="P20" s="42"/>
      <c r="Q20" s="42"/>
      <c r="R20" s="42"/>
      <c r="S20" s="42"/>
      <c r="T20" s="42"/>
      <c r="U20" s="42"/>
      <c r="V20" s="172">
        <v>0.1202</v>
      </c>
      <c r="W20" s="42"/>
      <c r="X20" s="42"/>
      <c r="Y20" s="42"/>
      <c r="Z20" s="42"/>
      <c r="AA20" s="42"/>
      <c r="AB20" s="42"/>
      <c r="AC20" s="67"/>
      <c r="AD20" s="55"/>
    </row>
    <row r="21" spans="1:30" s="52" customFormat="1">
      <c r="A21" s="98"/>
      <c r="B21" s="12"/>
      <c r="C21" s="235"/>
      <c r="D21" s="7">
        <f t="shared" ref="D21" si="16">$C20*D20</f>
        <v>0</v>
      </c>
      <c r="E21" s="7">
        <f t="shared" ref="E21" si="17">$C20*E20</f>
        <v>0</v>
      </c>
      <c r="F21" s="7">
        <f t="shared" ref="F21:AB21" si="18">$C20*F20</f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7">
        <f t="shared" si="18"/>
        <v>0</v>
      </c>
      <c r="P21" s="7">
        <f t="shared" si="18"/>
        <v>0</v>
      </c>
      <c r="Q21" s="7">
        <f t="shared" si="18"/>
        <v>0</v>
      </c>
      <c r="R21" s="7">
        <f t="shared" si="18"/>
        <v>0</v>
      </c>
      <c r="S21" s="7">
        <f t="shared" si="18"/>
        <v>0</v>
      </c>
      <c r="T21" s="7">
        <f t="shared" si="18"/>
        <v>0</v>
      </c>
      <c r="U21" s="7">
        <f t="shared" si="18"/>
        <v>0</v>
      </c>
      <c r="V21" s="7">
        <f t="shared" si="18"/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 t="shared" si="18"/>
        <v>0</v>
      </c>
      <c r="AA21" s="7">
        <f t="shared" si="18"/>
        <v>0</v>
      </c>
      <c r="AB21" s="7">
        <f t="shared" si="18"/>
        <v>0</v>
      </c>
      <c r="AC21" s="67"/>
      <c r="AD21" s="55"/>
    </row>
    <row r="22" spans="1:30" s="52" customFormat="1">
      <c r="A22" s="98" t="s">
        <v>399</v>
      </c>
      <c r="B22" s="18">
        <f>B14*0.0479</f>
        <v>2594110.4407429998</v>
      </c>
      <c r="C22" s="235">
        <f t="shared" si="3"/>
        <v>216175.87</v>
      </c>
      <c r="D22" s="42"/>
      <c r="E22" s="42"/>
      <c r="F22" s="172">
        <v>2.4899999999999999E-2</v>
      </c>
      <c r="G22" s="42"/>
      <c r="H22" s="172">
        <v>7.4200000000000002E-2</v>
      </c>
      <c r="I22" s="42"/>
      <c r="J22" s="42"/>
      <c r="K22" s="42"/>
      <c r="L22" s="42"/>
      <c r="M22" s="42"/>
      <c r="N22" s="173">
        <v>0.78369999999999995</v>
      </c>
      <c r="O22" s="7"/>
      <c r="P22" s="7"/>
      <c r="Q22" s="7"/>
      <c r="R22" s="7"/>
      <c r="S22" s="7"/>
      <c r="T22" s="7"/>
      <c r="U22" s="7"/>
      <c r="V22" s="173">
        <v>0.1172</v>
      </c>
      <c r="W22" s="42"/>
      <c r="X22" s="42"/>
      <c r="Y22" s="42"/>
      <c r="Z22" s="42"/>
      <c r="AA22" s="42"/>
      <c r="AB22" s="42"/>
      <c r="AC22" s="67"/>
      <c r="AD22" s="55"/>
    </row>
    <row r="23" spans="1:30" s="52" customFormat="1">
      <c r="A23" s="98"/>
      <c r="B23" s="12"/>
      <c r="C23" s="235"/>
      <c r="D23" s="7">
        <f t="shared" ref="D23" si="19">$C22*D22</f>
        <v>0</v>
      </c>
      <c r="E23" s="7">
        <f t="shared" ref="E23:AB23" si="20">$C22*E22</f>
        <v>0</v>
      </c>
      <c r="F23" s="7">
        <f t="shared" si="20"/>
        <v>5382.7791629999992</v>
      </c>
      <c r="G23" s="7">
        <f t="shared" si="20"/>
        <v>0</v>
      </c>
      <c r="H23" s="7">
        <f t="shared" si="20"/>
        <v>16040.249554</v>
      </c>
      <c r="I23" s="7">
        <f t="shared" si="20"/>
        <v>0</v>
      </c>
      <c r="J23" s="7">
        <f t="shared" si="20"/>
        <v>0</v>
      </c>
      <c r="K23" s="7">
        <f t="shared" si="20"/>
        <v>0</v>
      </c>
      <c r="L23" s="7">
        <f t="shared" si="20"/>
        <v>0</v>
      </c>
      <c r="M23" s="7">
        <f t="shared" si="20"/>
        <v>0</v>
      </c>
      <c r="N23" s="7">
        <f t="shared" si="20"/>
        <v>169417.02931899999</v>
      </c>
      <c r="O23" s="7">
        <f t="shared" si="20"/>
        <v>0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S23" s="7">
        <f t="shared" si="20"/>
        <v>0</v>
      </c>
      <c r="T23" s="7">
        <f t="shared" si="20"/>
        <v>0</v>
      </c>
      <c r="U23" s="7">
        <f t="shared" si="20"/>
        <v>0</v>
      </c>
      <c r="V23" s="7">
        <f t="shared" si="20"/>
        <v>25335.811964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0</v>
      </c>
      <c r="AA23" s="7">
        <f t="shared" si="20"/>
        <v>0</v>
      </c>
      <c r="AB23" s="7">
        <f t="shared" si="20"/>
        <v>0</v>
      </c>
      <c r="AC23" s="67"/>
      <c r="AD23" s="55"/>
    </row>
    <row r="24" spans="1:30" s="52" customFormat="1">
      <c r="A24" s="98" t="s">
        <v>400</v>
      </c>
      <c r="B24" s="18">
        <f>B14*0.2212</f>
        <v>11979482.870404001</v>
      </c>
      <c r="C24" s="235">
        <f t="shared" si="3"/>
        <v>998290.24</v>
      </c>
      <c r="D24" s="42"/>
      <c r="E24" s="42"/>
      <c r="F24" s="172">
        <v>0.28939999999999999</v>
      </c>
      <c r="G24" s="42"/>
      <c r="H24" s="172">
        <v>0.13780000000000001</v>
      </c>
      <c r="I24" s="42"/>
      <c r="J24" s="42"/>
      <c r="K24" s="42"/>
      <c r="L24" s="42"/>
      <c r="M24" s="42"/>
      <c r="N24" s="172">
        <v>0.32179999999999997</v>
      </c>
      <c r="O24" s="42"/>
      <c r="P24" s="42"/>
      <c r="Q24" s="42"/>
      <c r="R24" s="42"/>
      <c r="S24" s="42"/>
      <c r="T24" s="42"/>
      <c r="U24" s="42"/>
      <c r="V24" s="172">
        <v>0.251</v>
      </c>
      <c r="W24" s="42"/>
      <c r="X24" s="42"/>
      <c r="Y24" s="42"/>
      <c r="Z24" s="42"/>
      <c r="AA24" s="42"/>
      <c r="AB24" s="42"/>
      <c r="AC24" s="67"/>
      <c r="AD24" s="55"/>
    </row>
    <row r="25" spans="1:30" s="52" customFormat="1">
      <c r="A25" s="98"/>
      <c r="B25" s="12"/>
      <c r="C25" s="235"/>
      <c r="D25" s="7">
        <f t="shared" ref="D25" si="21">$C24*D24</f>
        <v>0</v>
      </c>
      <c r="E25" s="7">
        <f t="shared" ref="E25:AB25" si="22">$C24*E24</f>
        <v>0</v>
      </c>
      <c r="F25" s="7">
        <f t="shared" si="22"/>
        <v>288905.19545599999</v>
      </c>
      <c r="G25" s="7">
        <f t="shared" si="22"/>
        <v>0</v>
      </c>
      <c r="H25" s="7">
        <f t="shared" si="22"/>
        <v>137564.39507200001</v>
      </c>
      <c r="I25" s="7">
        <f t="shared" si="22"/>
        <v>0</v>
      </c>
      <c r="J25" s="7">
        <f t="shared" si="22"/>
        <v>0</v>
      </c>
      <c r="K25" s="7">
        <f t="shared" si="22"/>
        <v>0</v>
      </c>
      <c r="L25" s="7">
        <f t="shared" si="22"/>
        <v>0</v>
      </c>
      <c r="M25" s="7">
        <f t="shared" si="22"/>
        <v>0</v>
      </c>
      <c r="N25" s="7">
        <f t="shared" si="22"/>
        <v>321249.79923199996</v>
      </c>
      <c r="O25" s="7">
        <f t="shared" si="22"/>
        <v>0</v>
      </c>
      <c r="P25" s="7">
        <f t="shared" si="22"/>
        <v>0</v>
      </c>
      <c r="Q25" s="7">
        <f t="shared" si="22"/>
        <v>0</v>
      </c>
      <c r="R25" s="7">
        <f t="shared" si="22"/>
        <v>0</v>
      </c>
      <c r="S25" s="7">
        <f t="shared" si="22"/>
        <v>0</v>
      </c>
      <c r="T25" s="7">
        <f t="shared" si="22"/>
        <v>0</v>
      </c>
      <c r="U25" s="7">
        <f t="shared" si="22"/>
        <v>0</v>
      </c>
      <c r="V25" s="7">
        <f t="shared" si="22"/>
        <v>250570.85024</v>
      </c>
      <c r="W25" s="7">
        <f t="shared" si="22"/>
        <v>0</v>
      </c>
      <c r="X25" s="7">
        <f t="shared" si="22"/>
        <v>0</v>
      </c>
      <c r="Y25" s="7">
        <f t="shared" si="22"/>
        <v>0</v>
      </c>
      <c r="Z25" s="7">
        <f t="shared" si="22"/>
        <v>0</v>
      </c>
      <c r="AA25" s="7">
        <f t="shared" si="22"/>
        <v>0</v>
      </c>
      <c r="AB25" s="7">
        <f t="shared" si="22"/>
        <v>0</v>
      </c>
      <c r="AC25" s="67"/>
      <c r="AD25" s="55"/>
    </row>
    <row r="26" spans="1:30" s="52" customFormat="1">
      <c r="A26" s="98" t="s">
        <v>401</v>
      </c>
      <c r="B26" s="18">
        <f>B14*0.6477</f>
        <v>35077355.583909005</v>
      </c>
      <c r="C26" s="235">
        <f t="shared" si="3"/>
        <v>2923112.97</v>
      </c>
      <c r="D26" s="42"/>
      <c r="E26" s="42"/>
      <c r="F26" s="172">
        <v>0.22570000000000001</v>
      </c>
      <c r="G26" s="42"/>
      <c r="H26" s="172">
        <v>7.2700000000000001E-2</v>
      </c>
      <c r="I26" s="42"/>
      <c r="J26" s="42"/>
      <c r="K26" s="42"/>
      <c r="L26" s="42"/>
      <c r="M26" s="42"/>
      <c r="N26" s="172">
        <v>0.56769999999999998</v>
      </c>
      <c r="O26" s="42"/>
      <c r="P26" s="42"/>
      <c r="Q26" s="42"/>
      <c r="R26" s="42"/>
      <c r="S26" s="42"/>
      <c r="T26" s="42"/>
      <c r="U26" s="42"/>
      <c r="V26" s="172">
        <v>0.13389999999999999</v>
      </c>
      <c r="W26" s="42"/>
      <c r="X26" s="42"/>
      <c r="Y26" s="42"/>
      <c r="Z26" s="42"/>
      <c r="AA26" s="42"/>
      <c r="AB26" s="42"/>
      <c r="AC26" s="67"/>
      <c r="AD26" s="55"/>
    </row>
    <row r="27" spans="1:30" s="52" customFormat="1">
      <c r="A27" s="98"/>
      <c r="B27" s="12"/>
      <c r="C27" s="235"/>
      <c r="D27" s="7">
        <f t="shared" ref="D27" si="23">$C26*D26</f>
        <v>0</v>
      </c>
      <c r="E27" s="7">
        <f t="shared" ref="E27:AB27" si="24">$C26*E26</f>
        <v>0</v>
      </c>
      <c r="F27" s="7">
        <f t="shared" si="24"/>
        <v>659746.59732900013</v>
      </c>
      <c r="G27" s="7">
        <f t="shared" si="24"/>
        <v>0</v>
      </c>
      <c r="H27" s="7">
        <f t="shared" si="24"/>
        <v>212510.31291900002</v>
      </c>
      <c r="I27" s="7">
        <f t="shared" si="24"/>
        <v>0</v>
      </c>
      <c r="J27" s="7">
        <f t="shared" si="24"/>
        <v>0</v>
      </c>
      <c r="K27" s="7">
        <f t="shared" si="24"/>
        <v>0</v>
      </c>
      <c r="L27" s="7">
        <f t="shared" si="24"/>
        <v>0</v>
      </c>
      <c r="M27" s="7">
        <f t="shared" si="24"/>
        <v>0</v>
      </c>
      <c r="N27" s="7">
        <f t="shared" si="24"/>
        <v>1659451.2330690001</v>
      </c>
      <c r="O27" s="7">
        <f t="shared" si="24"/>
        <v>0</v>
      </c>
      <c r="P27" s="7">
        <f t="shared" si="24"/>
        <v>0</v>
      </c>
      <c r="Q27" s="7">
        <f t="shared" si="24"/>
        <v>0</v>
      </c>
      <c r="R27" s="7">
        <f t="shared" si="24"/>
        <v>0</v>
      </c>
      <c r="S27" s="7">
        <f t="shared" si="24"/>
        <v>0</v>
      </c>
      <c r="T27" s="7">
        <f t="shared" si="24"/>
        <v>0</v>
      </c>
      <c r="U27" s="7">
        <f t="shared" si="24"/>
        <v>0</v>
      </c>
      <c r="V27" s="7">
        <f t="shared" si="24"/>
        <v>391404.82668300002</v>
      </c>
      <c r="W27" s="7">
        <f t="shared" si="24"/>
        <v>0</v>
      </c>
      <c r="X27" s="7">
        <f t="shared" si="24"/>
        <v>0</v>
      </c>
      <c r="Y27" s="7">
        <f t="shared" si="24"/>
        <v>0</v>
      </c>
      <c r="Z27" s="7">
        <f t="shared" si="24"/>
        <v>0</v>
      </c>
      <c r="AA27" s="7">
        <f t="shared" si="24"/>
        <v>0</v>
      </c>
      <c r="AB27" s="7">
        <f t="shared" si="24"/>
        <v>0</v>
      </c>
      <c r="AC27" s="67"/>
      <c r="AD27" s="55"/>
    </row>
    <row r="28" spans="1:30" s="52" customFormat="1">
      <c r="A28" s="98" t="s">
        <v>402</v>
      </c>
      <c r="B28" s="18">
        <f>B14*0.061</f>
        <v>3303564.4443700002</v>
      </c>
      <c r="C28" s="235">
        <f t="shared" si="3"/>
        <v>275297.03999999998</v>
      </c>
      <c r="D28" s="42"/>
      <c r="E28" s="42"/>
      <c r="F28" s="172">
        <v>0.28939999999999999</v>
      </c>
      <c r="G28" s="42"/>
      <c r="H28" s="172">
        <v>0.13780000000000001</v>
      </c>
      <c r="I28" s="42"/>
      <c r="J28" s="42"/>
      <c r="K28" s="42"/>
      <c r="L28" s="42"/>
      <c r="M28" s="42"/>
      <c r="N28" s="172">
        <v>0.32179999999999997</v>
      </c>
      <c r="O28" s="42"/>
      <c r="P28" s="42"/>
      <c r="Q28" s="42"/>
      <c r="R28" s="42"/>
      <c r="S28" s="42"/>
      <c r="T28" s="42"/>
      <c r="U28" s="42"/>
      <c r="V28" s="172">
        <v>0.251</v>
      </c>
      <c r="W28" s="42"/>
      <c r="X28" s="42"/>
      <c r="Y28" s="42"/>
      <c r="Z28" s="42"/>
      <c r="AA28" s="42"/>
      <c r="AB28" s="42"/>
      <c r="AC28" s="67"/>
      <c r="AD28" s="55"/>
    </row>
    <row r="29" spans="1:30" s="52" customFormat="1">
      <c r="A29" s="98"/>
      <c r="B29" s="12"/>
      <c r="C29" s="235"/>
      <c r="D29" s="7">
        <f t="shared" ref="D29" si="25">$C28*D28</f>
        <v>0</v>
      </c>
      <c r="E29" s="7">
        <f t="shared" ref="E29:AB29" si="26">$C28*E28</f>
        <v>0</v>
      </c>
      <c r="F29" s="7">
        <f t="shared" si="26"/>
        <v>79670.963375999985</v>
      </c>
      <c r="G29" s="7">
        <f t="shared" si="26"/>
        <v>0</v>
      </c>
      <c r="H29" s="7">
        <f t="shared" si="26"/>
        <v>37935.932112000002</v>
      </c>
      <c r="I29" s="7">
        <f t="shared" si="26"/>
        <v>0</v>
      </c>
      <c r="J29" s="7">
        <f t="shared" si="26"/>
        <v>0</v>
      </c>
      <c r="K29" s="7">
        <f t="shared" si="26"/>
        <v>0</v>
      </c>
      <c r="L29" s="7">
        <f t="shared" si="26"/>
        <v>0</v>
      </c>
      <c r="M29" s="7">
        <f t="shared" si="26"/>
        <v>0</v>
      </c>
      <c r="N29" s="7">
        <f t="shared" si="26"/>
        <v>88590.587471999985</v>
      </c>
      <c r="O29" s="7">
        <f t="shared" si="26"/>
        <v>0</v>
      </c>
      <c r="P29" s="7">
        <f t="shared" si="26"/>
        <v>0</v>
      </c>
      <c r="Q29" s="7">
        <f t="shared" si="26"/>
        <v>0</v>
      </c>
      <c r="R29" s="7">
        <f t="shared" si="26"/>
        <v>0</v>
      </c>
      <c r="S29" s="7">
        <f t="shared" si="26"/>
        <v>0</v>
      </c>
      <c r="T29" s="7">
        <f t="shared" si="26"/>
        <v>0</v>
      </c>
      <c r="U29" s="7">
        <f t="shared" si="26"/>
        <v>0</v>
      </c>
      <c r="V29" s="7">
        <f t="shared" si="26"/>
        <v>69099.55704</v>
      </c>
      <c r="W29" s="7">
        <f t="shared" si="26"/>
        <v>0</v>
      </c>
      <c r="X29" s="7">
        <f t="shared" si="26"/>
        <v>0</v>
      </c>
      <c r="Y29" s="7">
        <f t="shared" si="26"/>
        <v>0</v>
      </c>
      <c r="Z29" s="7">
        <f t="shared" si="26"/>
        <v>0</v>
      </c>
      <c r="AA29" s="7">
        <f t="shared" si="26"/>
        <v>0</v>
      </c>
      <c r="AB29" s="7">
        <f t="shared" si="26"/>
        <v>0</v>
      </c>
      <c r="AC29" s="67"/>
      <c r="AD29" s="55"/>
    </row>
    <row r="30" spans="1:30" s="52" customFormat="1">
      <c r="A30" s="98" t="s">
        <v>403</v>
      </c>
      <c r="B30" s="18">
        <f>B14*0.0222</f>
        <v>1202280.830574</v>
      </c>
      <c r="C30" s="235">
        <f t="shared" si="3"/>
        <v>100190.07</v>
      </c>
      <c r="D30" s="42"/>
      <c r="E30" s="42"/>
      <c r="F30" s="172">
        <v>0.22570000000000001</v>
      </c>
      <c r="G30" s="42"/>
      <c r="H30" s="172">
        <v>7.2700000000000001E-2</v>
      </c>
      <c r="I30" s="42"/>
      <c r="J30" s="42"/>
      <c r="K30" s="42"/>
      <c r="L30" s="42"/>
      <c r="M30" s="42"/>
      <c r="N30" s="172">
        <v>0.56769999999999998</v>
      </c>
      <c r="O30" s="42"/>
      <c r="P30" s="42"/>
      <c r="Q30" s="42"/>
      <c r="R30" s="42"/>
      <c r="S30" s="42"/>
      <c r="T30" s="42"/>
      <c r="U30" s="42"/>
      <c r="V30" s="172">
        <v>0.13389999999999999</v>
      </c>
      <c r="W30" s="42"/>
      <c r="X30" s="42"/>
      <c r="Y30" s="42"/>
      <c r="Z30" s="42"/>
      <c r="AA30" s="42"/>
      <c r="AB30" s="42"/>
      <c r="AC30" s="67"/>
      <c r="AD30" s="55"/>
    </row>
    <row r="31" spans="1:30" s="52" customFormat="1">
      <c r="A31" s="98"/>
      <c r="B31" s="12"/>
      <c r="C31" s="235"/>
      <c r="D31" s="7">
        <f t="shared" ref="D31" si="27">$C30*D30</f>
        <v>0</v>
      </c>
      <c r="E31" s="7">
        <f t="shared" ref="E31:AB31" si="28">$C30*E30</f>
        <v>0</v>
      </c>
      <c r="F31" s="7">
        <f t="shared" si="28"/>
        <v>22612.898799000002</v>
      </c>
      <c r="G31" s="7">
        <f t="shared" si="28"/>
        <v>0</v>
      </c>
      <c r="H31" s="7">
        <f t="shared" si="28"/>
        <v>7283.8180890000003</v>
      </c>
      <c r="I31" s="7">
        <f t="shared" si="28"/>
        <v>0</v>
      </c>
      <c r="J31" s="7">
        <f t="shared" si="28"/>
        <v>0</v>
      </c>
      <c r="K31" s="7">
        <f t="shared" si="28"/>
        <v>0</v>
      </c>
      <c r="L31" s="7">
        <f t="shared" si="28"/>
        <v>0</v>
      </c>
      <c r="M31" s="7">
        <f t="shared" si="28"/>
        <v>0</v>
      </c>
      <c r="N31" s="7">
        <f t="shared" si="28"/>
        <v>56877.902739000005</v>
      </c>
      <c r="O31" s="7">
        <f t="shared" si="28"/>
        <v>0</v>
      </c>
      <c r="P31" s="7">
        <f t="shared" si="28"/>
        <v>0</v>
      </c>
      <c r="Q31" s="7">
        <f t="shared" si="28"/>
        <v>0</v>
      </c>
      <c r="R31" s="7">
        <f t="shared" si="28"/>
        <v>0</v>
      </c>
      <c r="S31" s="7">
        <f t="shared" si="28"/>
        <v>0</v>
      </c>
      <c r="T31" s="7">
        <f t="shared" si="28"/>
        <v>0</v>
      </c>
      <c r="U31" s="7">
        <f t="shared" si="28"/>
        <v>0</v>
      </c>
      <c r="V31" s="7">
        <f t="shared" si="28"/>
        <v>13415.450373</v>
      </c>
      <c r="W31" s="7">
        <f t="shared" si="28"/>
        <v>0</v>
      </c>
      <c r="X31" s="7">
        <f t="shared" si="28"/>
        <v>0</v>
      </c>
      <c r="Y31" s="7">
        <f t="shared" si="28"/>
        <v>0</v>
      </c>
      <c r="Z31" s="7">
        <f t="shared" si="28"/>
        <v>0</v>
      </c>
      <c r="AA31" s="7">
        <f t="shared" si="28"/>
        <v>0</v>
      </c>
      <c r="AB31" s="7">
        <f t="shared" si="28"/>
        <v>0</v>
      </c>
      <c r="AC31" s="67"/>
      <c r="AD31" s="55"/>
    </row>
    <row r="32" spans="1:30" s="52" customFormat="1">
      <c r="A32" s="96" t="s">
        <v>40</v>
      </c>
      <c r="B32" s="18">
        <v>182752.67</v>
      </c>
      <c r="C32" s="235">
        <f t="shared" si="3"/>
        <v>15229.39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7"/>
      <c r="AD32" s="55"/>
    </row>
    <row r="33" spans="1:30" s="52" customFormat="1">
      <c r="A33" s="97"/>
      <c r="B33" s="12"/>
      <c r="C33" s="235"/>
      <c r="D33" s="6">
        <f t="shared" ref="D33" si="29">$C32*D32</f>
        <v>0</v>
      </c>
      <c r="E33" s="6">
        <f t="shared" ref="E33" si="30">$C32*E32</f>
        <v>0</v>
      </c>
      <c r="F33" s="6">
        <f t="shared" ref="F33:AB33" si="31">$C32*F32</f>
        <v>15229.39</v>
      </c>
      <c r="G33" s="6">
        <f t="shared" si="31"/>
        <v>0</v>
      </c>
      <c r="H33" s="6">
        <f t="shared" si="31"/>
        <v>0</v>
      </c>
      <c r="I33" s="6">
        <f t="shared" si="31"/>
        <v>0</v>
      </c>
      <c r="J33" s="6">
        <f t="shared" si="31"/>
        <v>0</v>
      </c>
      <c r="K33" s="6">
        <f t="shared" si="31"/>
        <v>0</v>
      </c>
      <c r="L33" s="6">
        <f t="shared" si="31"/>
        <v>0</v>
      </c>
      <c r="M33" s="6">
        <f t="shared" si="31"/>
        <v>0</v>
      </c>
      <c r="N33" s="6">
        <f t="shared" si="31"/>
        <v>0</v>
      </c>
      <c r="O33" s="6">
        <f t="shared" si="31"/>
        <v>0</v>
      </c>
      <c r="P33" s="6">
        <f t="shared" si="31"/>
        <v>0</v>
      </c>
      <c r="Q33" s="6">
        <f t="shared" si="31"/>
        <v>0</v>
      </c>
      <c r="R33" s="6">
        <f t="shared" si="31"/>
        <v>0</v>
      </c>
      <c r="S33" s="6">
        <f t="shared" si="31"/>
        <v>0</v>
      </c>
      <c r="T33" s="6">
        <f t="shared" si="31"/>
        <v>0</v>
      </c>
      <c r="U33" s="6">
        <f t="shared" si="31"/>
        <v>0</v>
      </c>
      <c r="V33" s="6">
        <f t="shared" si="31"/>
        <v>0</v>
      </c>
      <c r="W33" s="6">
        <f t="shared" si="31"/>
        <v>0</v>
      </c>
      <c r="X33" s="6">
        <f t="shared" si="31"/>
        <v>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7"/>
      <c r="AD33" s="55"/>
    </row>
    <row r="34" spans="1:30" s="52" customFormat="1">
      <c r="A34" s="96" t="s">
        <v>41</v>
      </c>
      <c r="B34" s="18">
        <v>-582137.51</v>
      </c>
      <c r="C34" s="235">
        <f t="shared" si="3"/>
        <v>-48511.46</v>
      </c>
      <c r="D34" s="5"/>
      <c r="E34" s="5"/>
      <c r="F34" s="5">
        <v>0.79159999999999997</v>
      </c>
      <c r="G34" s="5"/>
      <c r="H34" s="5">
        <v>3.61E-2</v>
      </c>
      <c r="I34" s="5"/>
      <c r="J34" s="5"/>
      <c r="K34" s="5"/>
      <c r="L34" s="5"/>
      <c r="M34" s="5">
        <v>8.6E-3</v>
      </c>
      <c r="N34" s="5">
        <v>0.11749999999999999</v>
      </c>
      <c r="O34" s="5"/>
      <c r="P34" s="5"/>
      <c r="Q34" s="5"/>
      <c r="R34" s="5">
        <v>6.7000000000000002E-3</v>
      </c>
      <c r="S34" s="5"/>
      <c r="T34" s="5"/>
      <c r="U34" s="5"/>
      <c r="V34" s="5">
        <v>3.95E-2</v>
      </c>
      <c r="W34" s="5"/>
      <c r="X34" s="5"/>
      <c r="Y34" s="5"/>
      <c r="Z34" s="5"/>
      <c r="AA34" s="5"/>
      <c r="AB34" s="5"/>
      <c r="AC34" s="67"/>
      <c r="AD34" s="55"/>
    </row>
    <row r="35" spans="1:30" s="52" customFormat="1">
      <c r="A35" s="97"/>
      <c r="B35" s="12"/>
      <c r="C35" s="235"/>
      <c r="D35" s="6">
        <f t="shared" ref="D35" si="32">$C34*D34</f>
        <v>0</v>
      </c>
      <c r="E35" s="6">
        <f t="shared" ref="E35" si="33">$C34*E34</f>
        <v>0</v>
      </c>
      <c r="F35" s="6">
        <f t="shared" ref="F35:AB35" si="34">$C34*F34</f>
        <v>-38401.671735999997</v>
      </c>
      <c r="G35" s="6">
        <f t="shared" si="34"/>
        <v>0</v>
      </c>
      <c r="H35" s="6">
        <f t="shared" si="34"/>
        <v>-1751.263706</v>
      </c>
      <c r="I35" s="6">
        <f t="shared" si="34"/>
        <v>0</v>
      </c>
      <c r="J35" s="6">
        <f t="shared" si="34"/>
        <v>0</v>
      </c>
      <c r="K35" s="6">
        <f t="shared" si="34"/>
        <v>0</v>
      </c>
      <c r="L35" s="6">
        <f t="shared" si="34"/>
        <v>0</v>
      </c>
      <c r="M35" s="6">
        <f t="shared" si="34"/>
        <v>-417.198556</v>
      </c>
      <c r="N35" s="6">
        <f t="shared" si="34"/>
        <v>-5700.0965499999993</v>
      </c>
      <c r="O35" s="6">
        <f t="shared" si="34"/>
        <v>0</v>
      </c>
      <c r="P35" s="6">
        <f t="shared" si="34"/>
        <v>0</v>
      </c>
      <c r="Q35" s="6">
        <f t="shared" si="34"/>
        <v>0</v>
      </c>
      <c r="R35" s="6">
        <f t="shared" si="34"/>
        <v>-325.02678200000003</v>
      </c>
      <c r="S35" s="6">
        <f t="shared" si="34"/>
        <v>0</v>
      </c>
      <c r="T35" s="6">
        <f t="shared" si="34"/>
        <v>0</v>
      </c>
      <c r="U35" s="6">
        <f t="shared" si="34"/>
        <v>0</v>
      </c>
      <c r="V35" s="6">
        <f t="shared" si="34"/>
        <v>-1916.2026699999999</v>
      </c>
      <c r="W35" s="6">
        <f t="shared" si="34"/>
        <v>0</v>
      </c>
      <c r="X35" s="6">
        <f t="shared" si="34"/>
        <v>0</v>
      </c>
      <c r="Y35" s="6">
        <f t="shared" si="34"/>
        <v>0</v>
      </c>
      <c r="Z35" s="6">
        <f t="shared" si="34"/>
        <v>0</v>
      </c>
      <c r="AA35" s="6">
        <f t="shared" si="34"/>
        <v>0</v>
      </c>
      <c r="AB35" s="6">
        <f t="shared" si="34"/>
        <v>0</v>
      </c>
      <c r="AC35" s="67"/>
      <c r="AD35" s="55"/>
    </row>
    <row r="36" spans="1:30" s="52" customFormat="1">
      <c r="A36" s="96" t="s">
        <v>42</v>
      </c>
      <c r="B36" s="18">
        <f>654428.48/2</f>
        <v>327214.24</v>
      </c>
      <c r="C36" s="235">
        <f t="shared" si="3"/>
        <v>27267.85</v>
      </c>
      <c r="D36" s="170">
        <v>1.6500000000000001E-2</v>
      </c>
      <c r="E36" s="170">
        <v>0.1368</v>
      </c>
      <c r="F36" s="170">
        <v>5.7599999999999998E-2</v>
      </c>
      <c r="G36" s="170">
        <v>8.0399999999999999E-2</v>
      </c>
      <c r="H36" s="170">
        <v>4.1099999999999998E-2</v>
      </c>
      <c r="I36" s="170">
        <v>0.13389999999999999</v>
      </c>
      <c r="J36" s="170">
        <v>2.12E-2</v>
      </c>
      <c r="K36" s="170">
        <v>3.2500000000000001E-2</v>
      </c>
      <c r="L36" s="170">
        <v>1.7100000000000001E-2</v>
      </c>
      <c r="M36" s="170">
        <v>2.5999999999999999E-2</v>
      </c>
      <c r="N36" s="170">
        <v>0.13320000000000001</v>
      </c>
      <c r="O36" s="170">
        <v>1.89E-2</v>
      </c>
      <c r="P36" s="170">
        <v>0</v>
      </c>
      <c r="Q36" s="170">
        <v>3.8600000000000002E-2</v>
      </c>
      <c r="R36" s="170">
        <v>1.9E-2</v>
      </c>
      <c r="S36" s="170">
        <v>4.1999999999999997E-3</v>
      </c>
      <c r="T36" s="170">
        <v>5.3999999999999999E-2</v>
      </c>
      <c r="U36" s="170">
        <v>1.78E-2</v>
      </c>
      <c r="V36" s="170">
        <v>3.6700000000000003E-2</v>
      </c>
      <c r="W36" s="170">
        <v>4.7199999999999999E-2</v>
      </c>
      <c r="X36" s="170">
        <v>6.3899999999999998E-2</v>
      </c>
      <c r="Y36" s="170">
        <v>2.5999999999999999E-3</v>
      </c>
      <c r="Z36" s="171">
        <v>0</v>
      </c>
      <c r="AA36" s="171">
        <v>8.0000000000000004E-4</v>
      </c>
      <c r="AB36" s="171">
        <v>0</v>
      </c>
      <c r="AC36" s="67"/>
      <c r="AD36" s="55"/>
    </row>
    <row r="37" spans="1:30" s="52" customFormat="1">
      <c r="A37" s="97"/>
      <c r="B37" s="12"/>
      <c r="C37" s="235"/>
      <c r="D37" s="6">
        <f t="shared" ref="D37" si="35">$C36*D36</f>
        <v>449.91952500000002</v>
      </c>
      <c r="E37" s="6">
        <f t="shared" ref="E37" si="36">$C36*E36</f>
        <v>3730.24188</v>
      </c>
      <c r="F37" s="6">
        <f t="shared" ref="F37:O37" si="37">$C36*F36</f>
        <v>1570.62816</v>
      </c>
      <c r="G37" s="6">
        <f t="shared" si="37"/>
        <v>2192.3351399999997</v>
      </c>
      <c r="H37" s="6">
        <f t="shared" si="37"/>
        <v>1120.708635</v>
      </c>
      <c r="I37" s="6">
        <f t="shared" si="37"/>
        <v>3651.1651149999998</v>
      </c>
      <c r="J37" s="6">
        <f t="shared" si="37"/>
        <v>578.07841999999994</v>
      </c>
      <c r="K37" s="6">
        <f t="shared" si="37"/>
        <v>886.20512499999995</v>
      </c>
      <c r="L37" s="6">
        <f t="shared" si="37"/>
        <v>466.280235</v>
      </c>
      <c r="M37" s="6">
        <f t="shared" si="37"/>
        <v>708.96409999999992</v>
      </c>
      <c r="N37" s="6">
        <f t="shared" si="37"/>
        <v>3632.07762</v>
      </c>
      <c r="O37" s="6">
        <f t="shared" si="37"/>
        <v>515.36236499999995</v>
      </c>
      <c r="P37" s="6">
        <f t="shared" ref="P37" si="38">$C36*P36</f>
        <v>0</v>
      </c>
      <c r="Q37" s="6">
        <f t="shared" ref="Q37" si="39">$C36*Q36</f>
        <v>1052.53901</v>
      </c>
      <c r="R37" s="6">
        <f t="shared" ref="R37:AB37" si="40">$C36*R36</f>
        <v>518.0891499999999</v>
      </c>
      <c r="S37" s="6">
        <f t="shared" si="40"/>
        <v>114.52496999999998</v>
      </c>
      <c r="T37" s="6">
        <f t="shared" si="40"/>
        <v>1472.4639</v>
      </c>
      <c r="U37" s="6">
        <f t="shared" si="40"/>
        <v>485.36772999999999</v>
      </c>
      <c r="V37" s="6">
        <f t="shared" si="40"/>
        <v>1000.730095</v>
      </c>
      <c r="W37" s="6">
        <f t="shared" si="40"/>
        <v>1287.04252</v>
      </c>
      <c r="X37" s="6">
        <f t="shared" si="40"/>
        <v>1742.4156149999999</v>
      </c>
      <c r="Y37" s="6">
        <f t="shared" si="40"/>
        <v>70.896409999999989</v>
      </c>
      <c r="Z37" s="6">
        <f t="shared" si="40"/>
        <v>0</v>
      </c>
      <c r="AA37" s="6">
        <f t="shared" si="40"/>
        <v>21.81428</v>
      </c>
      <c r="AB37" s="6">
        <f t="shared" si="40"/>
        <v>0</v>
      </c>
      <c r="AC37" s="67"/>
      <c r="AD37" s="55"/>
    </row>
    <row r="38" spans="1:30" s="52" customFormat="1">
      <c r="A38" s="98" t="s">
        <v>404</v>
      </c>
      <c r="B38" s="18">
        <f>654428.48/2</f>
        <v>327214.24</v>
      </c>
      <c r="C38" s="235">
        <f t="shared" si="3"/>
        <v>27267.85</v>
      </c>
      <c r="D38" s="42"/>
      <c r="E38" s="42"/>
      <c r="F38" s="172">
        <v>0.22570000000000001</v>
      </c>
      <c r="G38" s="42"/>
      <c r="H38" s="172">
        <v>7.2700000000000001E-2</v>
      </c>
      <c r="I38" s="42"/>
      <c r="J38" s="42"/>
      <c r="K38" s="42"/>
      <c r="L38" s="42"/>
      <c r="M38" s="42"/>
      <c r="N38" s="172">
        <v>0.56769999999999998</v>
      </c>
      <c r="O38" s="42"/>
      <c r="P38" s="42"/>
      <c r="Q38" s="42"/>
      <c r="R38" s="42"/>
      <c r="S38" s="42"/>
      <c r="T38" s="42"/>
      <c r="U38" s="42"/>
      <c r="V38" s="172">
        <v>0.13389999999999999</v>
      </c>
      <c r="W38" s="42"/>
      <c r="X38" s="42"/>
      <c r="Y38" s="42"/>
      <c r="Z38" s="42"/>
      <c r="AA38" s="42"/>
      <c r="AB38" s="42"/>
      <c r="AC38" s="67"/>
      <c r="AD38" s="55"/>
    </row>
    <row r="39" spans="1:30" s="52" customFormat="1">
      <c r="A39" s="98"/>
      <c r="B39" s="12"/>
      <c r="C39" s="235"/>
      <c r="D39" s="7">
        <f t="shared" ref="D39" si="41">$C38*D38</f>
        <v>0</v>
      </c>
      <c r="E39" s="7">
        <f t="shared" ref="E39" si="42">$C38*E38</f>
        <v>0</v>
      </c>
      <c r="F39" s="7">
        <f t="shared" ref="F39:AB39" si="43">$C38*F38</f>
        <v>6154.3537450000003</v>
      </c>
      <c r="G39" s="7">
        <f t="shared" si="43"/>
        <v>0</v>
      </c>
      <c r="H39" s="7">
        <f t="shared" si="43"/>
        <v>1982.372695</v>
      </c>
      <c r="I39" s="7">
        <f t="shared" si="43"/>
        <v>0</v>
      </c>
      <c r="J39" s="7">
        <f t="shared" si="43"/>
        <v>0</v>
      </c>
      <c r="K39" s="7">
        <f t="shared" si="43"/>
        <v>0</v>
      </c>
      <c r="L39" s="7">
        <f t="shared" si="43"/>
        <v>0</v>
      </c>
      <c r="M39" s="7">
        <f t="shared" si="43"/>
        <v>0</v>
      </c>
      <c r="N39" s="7">
        <f t="shared" si="43"/>
        <v>15479.958444999998</v>
      </c>
      <c r="O39" s="7">
        <f t="shared" si="43"/>
        <v>0</v>
      </c>
      <c r="P39" s="7">
        <f t="shared" si="43"/>
        <v>0</v>
      </c>
      <c r="Q39" s="7">
        <f t="shared" si="43"/>
        <v>0</v>
      </c>
      <c r="R39" s="7">
        <f t="shared" si="43"/>
        <v>0</v>
      </c>
      <c r="S39" s="7">
        <f t="shared" si="43"/>
        <v>0</v>
      </c>
      <c r="T39" s="7">
        <f t="shared" si="43"/>
        <v>0</v>
      </c>
      <c r="U39" s="7">
        <f t="shared" si="43"/>
        <v>0</v>
      </c>
      <c r="V39" s="7">
        <f t="shared" si="43"/>
        <v>3651.1651149999998</v>
      </c>
      <c r="W39" s="7">
        <f t="shared" si="43"/>
        <v>0</v>
      </c>
      <c r="X39" s="7">
        <f t="shared" si="43"/>
        <v>0</v>
      </c>
      <c r="Y39" s="7">
        <f t="shared" si="43"/>
        <v>0</v>
      </c>
      <c r="Z39" s="7">
        <f t="shared" si="43"/>
        <v>0</v>
      </c>
      <c r="AA39" s="7">
        <f t="shared" si="43"/>
        <v>0</v>
      </c>
      <c r="AB39" s="7">
        <f t="shared" si="43"/>
        <v>0</v>
      </c>
      <c r="AC39" s="67"/>
      <c r="AD39" s="55"/>
    </row>
    <row r="40" spans="1:30" s="52" customFormat="1">
      <c r="A40" s="96" t="s">
        <v>43</v>
      </c>
      <c r="B40" s="18">
        <v>703909</v>
      </c>
      <c r="C40" s="235">
        <f t="shared" si="3"/>
        <v>58659.08</v>
      </c>
      <c r="D40" s="5"/>
      <c r="E40" s="5"/>
      <c r="F40" s="5">
        <v>0.50980000000000003</v>
      </c>
      <c r="G40" s="5"/>
      <c r="H40" s="5">
        <v>0.13420000000000001</v>
      </c>
      <c r="I40" s="5"/>
      <c r="J40" s="5"/>
      <c r="K40" s="5"/>
      <c r="L40" s="5"/>
      <c r="M40" s="5">
        <v>2.0299999999999999E-2</v>
      </c>
      <c r="N40" s="5">
        <v>0.14499999999999999</v>
      </c>
      <c r="O40" s="5"/>
      <c r="P40" s="5"/>
      <c r="Q40" s="5"/>
      <c r="R40" s="5">
        <v>1.43E-2</v>
      </c>
      <c r="S40" s="5"/>
      <c r="T40" s="5"/>
      <c r="U40" s="5"/>
      <c r="V40" s="5">
        <v>0.1764</v>
      </c>
      <c r="W40" s="5"/>
      <c r="X40" s="5"/>
      <c r="Y40" s="5"/>
      <c r="Z40" s="5"/>
      <c r="AA40" s="5"/>
      <c r="AB40" s="5"/>
      <c r="AC40" s="67"/>
      <c r="AD40" s="55"/>
    </row>
    <row r="41" spans="1:30" s="52" customFormat="1">
      <c r="A41" s="97"/>
      <c r="B41" s="12"/>
      <c r="C41" s="235"/>
      <c r="D41" s="6"/>
      <c r="E41" s="6"/>
      <c r="F41" s="6">
        <f t="shared" ref="F41" si="44">$C40*F40</f>
        <v>29904.398984000003</v>
      </c>
      <c r="G41" s="6">
        <f t="shared" ref="G41" si="45">$C40*G40</f>
        <v>0</v>
      </c>
      <c r="H41" s="6">
        <f t="shared" ref="H41:AB41" si="46">$C40*H40</f>
        <v>7872.0485360000011</v>
      </c>
      <c r="I41" s="6">
        <f t="shared" si="46"/>
        <v>0</v>
      </c>
      <c r="J41" s="6">
        <f t="shared" si="46"/>
        <v>0</v>
      </c>
      <c r="K41" s="6">
        <f t="shared" si="46"/>
        <v>0</v>
      </c>
      <c r="L41" s="6">
        <f t="shared" si="46"/>
        <v>0</v>
      </c>
      <c r="M41" s="6">
        <f t="shared" si="46"/>
        <v>1190.7793239999999</v>
      </c>
      <c r="N41" s="6">
        <f t="shared" si="46"/>
        <v>8505.5666000000001</v>
      </c>
      <c r="O41" s="6">
        <f t="shared" si="46"/>
        <v>0</v>
      </c>
      <c r="P41" s="6">
        <f t="shared" si="46"/>
        <v>0</v>
      </c>
      <c r="Q41" s="6">
        <f t="shared" si="46"/>
        <v>0</v>
      </c>
      <c r="R41" s="6">
        <f t="shared" si="46"/>
        <v>838.82484399999998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10347.461712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7"/>
      <c r="AD41" s="55"/>
    </row>
    <row r="42" spans="1:30" s="52" customFormat="1">
      <c r="A42" s="96" t="s">
        <v>44</v>
      </c>
      <c r="B42" s="18">
        <f>3665762.33/2</f>
        <v>1832881.165</v>
      </c>
      <c r="C42" s="235">
        <f t="shared" si="3"/>
        <v>152740.1</v>
      </c>
      <c r="D42" s="170">
        <v>1.6500000000000001E-2</v>
      </c>
      <c r="E42" s="170">
        <v>0.1368</v>
      </c>
      <c r="F42" s="170">
        <v>5.7599999999999998E-2</v>
      </c>
      <c r="G42" s="170">
        <v>8.0399999999999999E-2</v>
      </c>
      <c r="H42" s="170">
        <v>4.1099999999999998E-2</v>
      </c>
      <c r="I42" s="170">
        <v>0.13389999999999999</v>
      </c>
      <c r="J42" s="170">
        <v>2.12E-2</v>
      </c>
      <c r="K42" s="170">
        <v>3.2500000000000001E-2</v>
      </c>
      <c r="L42" s="170">
        <v>1.7100000000000001E-2</v>
      </c>
      <c r="M42" s="170">
        <v>2.5999999999999999E-2</v>
      </c>
      <c r="N42" s="170">
        <v>0.13320000000000001</v>
      </c>
      <c r="O42" s="170">
        <v>1.89E-2</v>
      </c>
      <c r="P42" s="170">
        <v>0</v>
      </c>
      <c r="Q42" s="170">
        <v>3.8600000000000002E-2</v>
      </c>
      <c r="R42" s="170">
        <v>1.9E-2</v>
      </c>
      <c r="S42" s="170">
        <v>4.1999999999999997E-3</v>
      </c>
      <c r="T42" s="170">
        <v>5.3999999999999999E-2</v>
      </c>
      <c r="U42" s="170">
        <v>1.78E-2</v>
      </c>
      <c r="V42" s="170">
        <v>3.6700000000000003E-2</v>
      </c>
      <c r="W42" s="170">
        <v>4.7199999999999999E-2</v>
      </c>
      <c r="X42" s="170">
        <v>6.3899999999999998E-2</v>
      </c>
      <c r="Y42" s="170">
        <v>2.5999999999999999E-3</v>
      </c>
      <c r="Z42" s="171">
        <v>0</v>
      </c>
      <c r="AA42" s="171">
        <v>8.0000000000000004E-4</v>
      </c>
      <c r="AB42" s="171">
        <v>0</v>
      </c>
      <c r="AC42" s="67"/>
      <c r="AD42" s="55"/>
    </row>
    <row r="43" spans="1:30" s="52" customFormat="1">
      <c r="A43" s="97"/>
      <c r="B43" s="12"/>
      <c r="C43" s="235"/>
      <c r="D43" s="6">
        <f t="shared" ref="D43" si="47">$C42*D42</f>
        <v>2520.2116500000002</v>
      </c>
      <c r="E43" s="6">
        <f t="shared" ref="E43" si="48">$C42*E42</f>
        <v>20894.845680000002</v>
      </c>
      <c r="F43" s="6">
        <f t="shared" ref="F43:O43" si="49">$C42*F42</f>
        <v>8797.8297600000005</v>
      </c>
      <c r="G43" s="6">
        <f t="shared" si="49"/>
        <v>12280.304040000001</v>
      </c>
      <c r="H43" s="6">
        <f t="shared" si="49"/>
        <v>6277.6181099999994</v>
      </c>
      <c r="I43" s="6">
        <f t="shared" si="49"/>
        <v>20451.899389999999</v>
      </c>
      <c r="J43" s="6">
        <f t="shared" si="49"/>
        <v>3238.0901200000003</v>
      </c>
      <c r="K43" s="6">
        <f t="shared" si="49"/>
        <v>4964.0532499999999</v>
      </c>
      <c r="L43" s="6">
        <f t="shared" si="49"/>
        <v>2611.8557100000003</v>
      </c>
      <c r="M43" s="6">
        <f t="shared" si="49"/>
        <v>3971.2426</v>
      </c>
      <c r="N43" s="6">
        <f t="shared" si="49"/>
        <v>20344.981320000003</v>
      </c>
      <c r="O43" s="6">
        <f t="shared" si="49"/>
        <v>2886.7878900000001</v>
      </c>
      <c r="P43" s="6">
        <f t="shared" ref="P43" si="50">$C42*P42</f>
        <v>0</v>
      </c>
      <c r="Q43" s="6">
        <f t="shared" ref="Q43" si="51">$C42*Q42</f>
        <v>5895.7678600000008</v>
      </c>
      <c r="R43" s="6">
        <f t="shared" ref="R43:AB43" si="52">$C42*R42</f>
        <v>2902.0619000000002</v>
      </c>
      <c r="S43" s="6">
        <f t="shared" si="52"/>
        <v>641.50842</v>
      </c>
      <c r="T43" s="6">
        <f t="shared" si="52"/>
        <v>8247.965400000001</v>
      </c>
      <c r="U43" s="6">
        <f t="shared" si="52"/>
        <v>2718.77378</v>
      </c>
      <c r="V43" s="6">
        <f t="shared" si="52"/>
        <v>5605.561670000001</v>
      </c>
      <c r="W43" s="6">
        <f t="shared" si="52"/>
        <v>7209.3327200000003</v>
      </c>
      <c r="X43" s="6">
        <f t="shared" si="52"/>
        <v>9760.0923899999998</v>
      </c>
      <c r="Y43" s="6">
        <f t="shared" si="52"/>
        <v>397.12425999999999</v>
      </c>
      <c r="Z43" s="6">
        <f t="shared" si="52"/>
        <v>0</v>
      </c>
      <c r="AA43" s="6">
        <f t="shared" si="52"/>
        <v>122.19208</v>
      </c>
      <c r="AB43" s="6">
        <f t="shared" si="52"/>
        <v>0</v>
      </c>
      <c r="AC43" s="67"/>
      <c r="AD43" s="55"/>
    </row>
    <row r="44" spans="1:30" s="52" customFormat="1">
      <c r="A44" s="98" t="s">
        <v>405</v>
      </c>
      <c r="B44" s="18">
        <f>3665762.33/2</f>
        <v>1832881.165</v>
      </c>
      <c r="C44" s="235">
        <f t="shared" si="3"/>
        <v>152740.1</v>
      </c>
      <c r="D44" s="42"/>
      <c r="E44" s="172">
        <v>1.2999999999999999E-3</v>
      </c>
      <c r="F44" s="172">
        <v>1.2999999999999999E-3</v>
      </c>
      <c r="G44" s="42"/>
      <c r="H44" s="172">
        <v>0.1593</v>
      </c>
      <c r="I44" s="42"/>
      <c r="J44" s="172">
        <v>4.0000000000000002E-4</v>
      </c>
      <c r="K44" s="172">
        <v>5.9999999999999995E-4</v>
      </c>
      <c r="L44" s="42"/>
      <c r="M44" s="42"/>
      <c r="N44" s="172">
        <v>0.64900000000000002</v>
      </c>
      <c r="O44" s="172">
        <v>2.0000000000000001E-4</v>
      </c>
      <c r="P44" s="42"/>
      <c r="Q44" s="42"/>
      <c r="R44" s="42"/>
      <c r="S44" s="42"/>
      <c r="T44" s="42"/>
      <c r="U44" s="42"/>
      <c r="V44" s="172">
        <v>0.18790000000000001</v>
      </c>
      <c r="W44" s="42"/>
      <c r="X44" s="42"/>
      <c r="Y44" s="42"/>
      <c r="Z44" s="42"/>
      <c r="AA44" s="42"/>
      <c r="AB44" s="42"/>
      <c r="AC44" s="67"/>
      <c r="AD44" s="55"/>
    </row>
    <row r="45" spans="1:30" s="52" customFormat="1">
      <c r="A45" s="98"/>
      <c r="B45" s="12"/>
      <c r="C45" s="235"/>
      <c r="D45" s="7">
        <f t="shared" ref="D45" si="53">$C44*D44</f>
        <v>0</v>
      </c>
      <c r="E45" s="7">
        <f t="shared" ref="E45" si="54">$C44*E44</f>
        <v>198.56213</v>
      </c>
      <c r="F45" s="7">
        <f t="shared" ref="F45:AB45" si="55">$C44*F44</f>
        <v>198.56213</v>
      </c>
      <c r="G45" s="7">
        <f t="shared" si="55"/>
        <v>0</v>
      </c>
      <c r="H45" s="7">
        <f t="shared" si="55"/>
        <v>24331.497930000001</v>
      </c>
      <c r="I45" s="7">
        <f t="shared" si="55"/>
        <v>0</v>
      </c>
      <c r="J45" s="7">
        <f t="shared" si="55"/>
        <v>61.096040000000002</v>
      </c>
      <c r="K45" s="7">
        <f t="shared" si="55"/>
        <v>91.644059999999996</v>
      </c>
      <c r="L45" s="7">
        <f t="shared" si="55"/>
        <v>0</v>
      </c>
      <c r="M45" s="7">
        <f t="shared" si="55"/>
        <v>0</v>
      </c>
      <c r="N45" s="7">
        <f t="shared" si="55"/>
        <v>99128.324900000007</v>
      </c>
      <c r="O45" s="7">
        <f t="shared" si="55"/>
        <v>30.548020000000001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0</v>
      </c>
      <c r="T45" s="7">
        <f t="shared" si="55"/>
        <v>0</v>
      </c>
      <c r="U45" s="7">
        <f t="shared" si="55"/>
        <v>0</v>
      </c>
      <c r="V45" s="7">
        <f t="shared" si="55"/>
        <v>28699.864790000003</v>
      </c>
      <c r="W45" s="7">
        <f t="shared" si="55"/>
        <v>0</v>
      </c>
      <c r="X45" s="7">
        <f t="shared" si="55"/>
        <v>0</v>
      </c>
      <c r="Y45" s="7">
        <f t="shared" si="55"/>
        <v>0</v>
      </c>
      <c r="Z45" s="7">
        <f t="shared" si="55"/>
        <v>0</v>
      </c>
      <c r="AA45" s="7">
        <f t="shared" si="55"/>
        <v>0</v>
      </c>
      <c r="AB45" s="7">
        <f t="shared" si="55"/>
        <v>0</v>
      </c>
      <c r="AC45" s="67"/>
      <c r="AD45" s="55"/>
    </row>
    <row r="46" spans="1:30" s="52" customFormat="1">
      <c r="A46" s="96" t="s">
        <v>45</v>
      </c>
      <c r="B46" s="18">
        <v>487347.95</v>
      </c>
      <c r="C46" s="235">
        <f t="shared" si="3"/>
        <v>40612.33</v>
      </c>
      <c r="D46" s="5">
        <v>1.8499999999999999E-2</v>
      </c>
      <c r="E46" s="5"/>
      <c r="F46" s="5"/>
      <c r="G46" s="5"/>
      <c r="H46" s="5">
        <v>0.21490000000000001</v>
      </c>
      <c r="I46" s="5"/>
      <c r="J46" s="5"/>
      <c r="K46" s="5"/>
      <c r="L46" s="5"/>
      <c r="M46" s="5">
        <v>3.9100000000000003E-2</v>
      </c>
      <c r="N46" s="5">
        <v>0.28860000000000002</v>
      </c>
      <c r="O46" s="5"/>
      <c r="P46" s="5"/>
      <c r="Q46" s="5"/>
      <c r="R46" s="5">
        <v>2.9700000000000001E-2</v>
      </c>
      <c r="S46" s="5"/>
      <c r="T46" s="5">
        <v>5.7299999999999997E-2</v>
      </c>
      <c r="U46" s="5"/>
      <c r="V46" s="5">
        <v>0.35189999999999999</v>
      </c>
      <c r="W46" s="5"/>
      <c r="X46" s="5"/>
      <c r="Y46" s="5"/>
      <c r="Z46" s="5"/>
      <c r="AA46" s="5"/>
      <c r="AB46" s="5"/>
      <c r="AC46" s="67"/>
      <c r="AD46" s="55"/>
    </row>
    <row r="47" spans="1:30" s="52" customFormat="1">
      <c r="A47" s="97"/>
      <c r="B47" s="12"/>
      <c r="C47" s="235"/>
      <c r="D47" s="6">
        <f t="shared" ref="D47" si="56">$C46*D46</f>
        <v>751.32810500000005</v>
      </c>
      <c r="E47" s="6">
        <f t="shared" ref="E47" si="57">$C46*E46</f>
        <v>0</v>
      </c>
      <c r="F47" s="6">
        <f t="shared" ref="F47:AB47" si="58">$C46*F46</f>
        <v>0</v>
      </c>
      <c r="G47" s="6">
        <f t="shared" si="58"/>
        <v>0</v>
      </c>
      <c r="H47" s="6">
        <f t="shared" si="58"/>
        <v>8727.5897170000007</v>
      </c>
      <c r="I47" s="6">
        <f t="shared" si="58"/>
        <v>0</v>
      </c>
      <c r="J47" s="6">
        <f t="shared" si="58"/>
        <v>0</v>
      </c>
      <c r="K47" s="6">
        <f t="shared" si="58"/>
        <v>0</v>
      </c>
      <c r="L47" s="6">
        <f t="shared" si="58"/>
        <v>0</v>
      </c>
      <c r="M47" s="6">
        <f t="shared" si="58"/>
        <v>1587.9421030000001</v>
      </c>
      <c r="N47" s="6">
        <f t="shared" si="58"/>
        <v>11720.718438000002</v>
      </c>
      <c r="O47" s="6">
        <f t="shared" si="58"/>
        <v>0</v>
      </c>
      <c r="P47" s="6">
        <f t="shared" si="58"/>
        <v>0</v>
      </c>
      <c r="Q47" s="6">
        <f t="shared" si="58"/>
        <v>0</v>
      </c>
      <c r="R47" s="6">
        <f t="shared" si="58"/>
        <v>1206.186201</v>
      </c>
      <c r="S47" s="6">
        <f t="shared" si="58"/>
        <v>0</v>
      </c>
      <c r="T47" s="6">
        <f t="shared" si="58"/>
        <v>2327.0865089999998</v>
      </c>
      <c r="U47" s="6">
        <f t="shared" si="58"/>
        <v>0</v>
      </c>
      <c r="V47" s="6">
        <f t="shared" si="58"/>
        <v>14291.478927</v>
      </c>
      <c r="W47" s="6">
        <f t="shared" si="58"/>
        <v>0</v>
      </c>
      <c r="X47" s="6">
        <f t="shared" si="58"/>
        <v>0</v>
      </c>
      <c r="Y47" s="6">
        <f t="shared" si="58"/>
        <v>0</v>
      </c>
      <c r="Z47" s="6">
        <f t="shared" si="58"/>
        <v>0</v>
      </c>
      <c r="AA47" s="6">
        <f t="shared" si="58"/>
        <v>0</v>
      </c>
      <c r="AB47" s="6">
        <f t="shared" si="58"/>
        <v>0</v>
      </c>
      <c r="AC47" s="67"/>
      <c r="AD47" s="55"/>
    </row>
    <row r="48" spans="1:30" s="52" customFormat="1">
      <c r="A48" s="96" t="s">
        <v>46</v>
      </c>
      <c r="B48" s="18">
        <v>380773.38</v>
      </c>
      <c r="C48" s="235">
        <f t="shared" si="3"/>
        <v>31731.119999999999</v>
      </c>
      <c r="D48" s="5">
        <v>1.8599999999999998E-2</v>
      </c>
      <c r="E48" s="5"/>
      <c r="F48" s="5"/>
      <c r="G48" s="5"/>
      <c r="H48" s="5">
        <v>0.215</v>
      </c>
      <c r="I48" s="5"/>
      <c r="J48" s="5"/>
      <c r="K48" s="5"/>
      <c r="L48" s="5"/>
      <c r="M48" s="5">
        <v>3.9100000000000003E-2</v>
      </c>
      <c r="N48" s="5">
        <v>0.28820000000000001</v>
      </c>
      <c r="O48" s="5"/>
      <c r="P48" s="5"/>
      <c r="Q48" s="5"/>
      <c r="R48" s="5">
        <v>2.9700000000000001E-2</v>
      </c>
      <c r="S48" s="5"/>
      <c r="T48" s="5">
        <v>5.74E-2</v>
      </c>
      <c r="U48" s="5"/>
      <c r="V48" s="5">
        <v>0.35199999999999998</v>
      </c>
      <c r="W48" s="5"/>
      <c r="X48" s="5"/>
      <c r="Y48" s="5"/>
      <c r="Z48" s="5"/>
      <c r="AA48" s="5"/>
      <c r="AB48" s="5"/>
      <c r="AC48" s="67"/>
      <c r="AD48" s="55"/>
    </row>
    <row r="49" spans="1:30" s="52" customFormat="1">
      <c r="A49" s="97"/>
      <c r="B49" s="12"/>
      <c r="C49" s="235"/>
      <c r="D49" s="6">
        <f t="shared" ref="D49" si="59">$C48*D48</f>
        <v>590.19883199999992</v>
      </c>
      <c r="E49" s="6">
        <f t="shared" ref="E49" si="60">$C48*E48</f>
        <v>0</v>
      </c>
      <c r="F49" s="6">
        <f t="shared" ref="F49:AB49" si="61">$C48*F48</f>
        <v>0</v>
      </c>
      <c r="G49" s="6">
        <f t="shared" si="61"/>
        <v>0</v>
      </c>
      <c r="H49" s="6">
        <f t="shared" si="61"/>
        <v>6822.1907999999994</v>
      </c>
      <c r="I49" s="6">
        <f t="shared" si="61"/>
        <v>0</v>
      </c>
      <c r="J49" s="6">
        <f t="shared" si="61"/>
        <v>0</v>
      </c>
      <c r="K49" s="6">
        <f t="shared" si="61"/>
        <v>0</v>
      </c>
      <c r="L49" s="6">
        <f t="shared" si="61"/>
        <v>0</v>
      </c>
      <c r="M49" s="6">
        <f t="shared" si="61"/>
        <v>1240.686792</v>
      </c>
      <c r="N49" s="6">
        <f t="shared" si="61"/>
        <v>9144.9087839999993</v>
      </c>
      <c r="O49" s="6">
        <f t="shared" si="61"/>
        <v>0</v>
      </c>
      <c r="P49" s="6">
        <f t="shared" si="61"/>
        <v>0</v>
      </c>
      <c r="Q49" s="6">
        <f t="shared" si="61"/>
        <v>0</v>
      </c>
      <c r="R49" s="6">
        <f t="shared" si="61"/>
        <v>942.414264</v>
      </c>
      <c r="S49" s="6">
        <f t="shared" si="61"/>
        <v>0</v>
      </c>
      <c r="T49" s="6">
        <f t="shared" si="61"/>
        <v>1821.3662879999999</v>
      </c>
      <c r="U49" s="6">
        <f t="shared" si="61"/>
        <v>0</v>
      </c>
      <c r="V49" s="6">
        <f t="shared" si="61"/>
        <v>11169.354239999999</v>
      </c>
      <c r="W49" s="6">
        <f t="shared" si="61"/>
        <v>0</v>
      </c>
      <c r="X49" s="6">
        <f t="shared" si="61"/>
        <v>0</v>
      </c>
      <c r="Y49" s="6">
        <f t="shared" si="61"/>
        <v>0</v>
      </c>
      <c r="Z49" s="6">
        <f t="shared" si="61"/>
        <v>0</v>
      </c>
      <c r="AA49" s="6">
        <f t="shared" si="61"/>
        <v>0</v>
      </c>
      <c r="AB49" s="6">
        <f t="shared" si="61"/>
        <v>0</v>
      </c>
      <c r="AC49" s="67"/>
      <c r="AD49" s="55"/>
    </row>
    <row r="50" spans="1:30" s="52" customFormat="1">
      <c r="A50" s="96" t="s">
        <v>47</v>
      </c>
      <c r="B50" s="18">
        <v>605726.54</v>
      </c>
      <c r="C50" s="235">
        <f t="shared" si="3"/>
        <v>50477.21</v>
      </c>
      <c r="D50" s="5">
        <v>1.8499999999999999E-2</v>
      </c>
      <c r="E50" s="5"/>
      <c r="F50" s="5"/>
      <c r="G50" s="5"/>
      <c r="H50" s="5">
        <v>0.21490000000000001</v>
      </c>
      <c r="I50" s="5"/>
      <c r="J50" s="5"/>
      <c r="K50" s="5"/>
      <c r="L50" s="5"/>
      <c r="M50" s="5">
        <v>3.9E-2</v>
      </c>
      <c r="N50" s="5">
        <v>0.2883</v>
      </c>
      <c r="O50" s="5"/>
      <c r="P50" s="5"/>
      <c r="Q50" s="5"/>
      <c r="R50" s="5">
        <v>2.98E-2</v>
      </c>
      <c r="S50" s="5"/>
      <c r="T50" s="5">
        <v>5.7500000000000002E-2</v>
      </c>
      <c r="U50" s="5"/>
      <c r="V50" s="5">
        <v>0.35199999999999998</v>
      </c>
      <c r="W50" s="5"/>
      <c r="X50" s="5"/>
      <c r="Y50" s="5"/>
      <c r="Z50" s="5"/>
      <c r="AA50" s="5"/>
      <c r="AB50" s="5"/>
      <c r="AC50" s="67"/>
      <c r="AD50" s="55"/>
    </row>
    <row r="51" spans="1:30" s="52" customFormat="1">
      <c r="A51" s="97"/>
      <c r="B51" s="12"/>
      <c r="C51" s="235"/>
      <c r="D51" s="6">
        <f t="shared" ref="D51" si="62">$C50*D50</f>
        <v>933.82838499999991</v>
      </c>
      <c r="E51" s="6">
        <f t="shared" ref="E51" si="63">$C50*E50</f>
        <v>0</v>
      </c>
      <c r="F51" s="6">
        <f t="shared" ref="F51:AB51" si="64">$C50*F50</f>
        <v>0</v>
      </c>
      <c r="G51" s="6">
        <f t="shared" si="64"/>
        <v>0</v>
      </c>
      <c r="H51" s="6">
        <f t="shared" si="64"/>
        <v>10847.552428999999</v>
      </c>
      <c r="I51" s="6">
        <f t="shared" si="64"/>
        <v>0</v>
      </c>
      <c r="J51" s="6">
        <f t="shared" si="64"/>
        <v>0</v>
      </c>
      <c r="K51" s="6">
        <f t="shared" si="64"/>
        <v>0</v>
      </c>
      <c r="L51" s="6">
        <f t="shared" si="64"/>
        <v>0</v>
      </c>
      <c r="M51" s="6">
        <f t="shared" si="64"/>
        <v>1968.6111899999999</v>
      </c>
      <c r="N51" s="6">
        <f t="shared" si="64"/>
        <v>14552.579642999999</v>
      </c>
      <c r="O51" s="6">
        <f t="shared" si="64"/>
        <v>0</v>
      </c>
      <c r="P51" s="6">
        <f t="shared" si="64"/>
        <v>0</v>
      </c>
      <c r="Q51" s="6">
        <f t="shared" si="64"/>
        <v>0</v>
      </c>
      <c r="R51" s="6">
        <f t="shared" si="64"/>
        <v>1504.2208579999999</v>
      </c>
      <c r="S51" s="6">
        <f t="shared" si="64"/>
        <v>0</v>
      </c>
      <c r="T51" s="6">
        <f t="shared" si="64"/>
        <v>2902.4395749999999</v>
      </c>
      <c r="U51" s="6">
        <f t="shared" si="64"/>
        <v>0</v>
      </c>
      <c r="V51" s="6">
        <f t="shared" si="64"/>
        <v>17767.977919999998</v>
      </c>
      <c r="W51" s="6">
        <f t="shared" si="64"/>
        <v>0</v>
      </c>
      <c r="X51" s="6">
        <f t="shared" si="64"/>
        <v>0</v>
      </c>
      <c r="Y51" s="6">
        <f t="shared" si="64"/>
        <v>0</v>
      </c>
      <c r="Z51" s="6">
        <f t="shared" si="64"/>
        <v>0</v>
      </c>
      <c r="AA51" s="6">
        <f t="shared" si="64"/>
        <v>0</v>
      </c>
      <c r="AB51" s="6">
        <f t="shared" si="64"/>
        <v>0</v>
      </c>
      <c r="AC51" s="67"/>
      <c r="AD51" s="55"/>
    </row>
    <row r="52" spans="1:30" s="52" customFormat="1">
      <c r="A52" s="96" t="s">
        <v>48</v>
      </c>
      <c r="B52" s="18">
        <v>716026.7</v>
      </c>
      <c r="C52" s="235">
        <f t="shared" si="3"/>
        <v>59668.89</v>
      </c>
      <c r="D52" s="5"/>
      <c r="E52" s="5"/>
      <c r="F52" s="5">
        <v>0.74360000000000004</v>
      </c>
      <c r="G52" s="5"/>
      <c r="H52" s="5"/>
      <c r="I52" s="5"/>
      <c r="J52" s="5"/>
      <c r="K52" s="5"/>
      <c r="L52" s="5">
        <v>2.7300000000000001E-2</v>
      </c>
      <c r="M52" s="5"/>
      <c r="N52" s="5"/>
      <c r="O52" s="5"/>
      <c r="P52" s="5"/>
      <c r="Q52" s="5"/>
      <c r="R52" s="5"/>
      <c r="S52" s="5"/>
      <c r="T52" s="5"/>
      <c r="U52" s="5">
        <v>0.2291</v>
      </c>
      <c r="V52" s="5"/>
      <c r="W52" s="5"/>
      <c r="X52" s="5"/>
      <c r="Y52" s="5"/>
      <c r="Z52" s="5"/>
      <c r="AA52" s="5"/>
      <c r="AB52" s="5"/>
      <c r="AC52" s="67"/>
      <c r="AD52" s="55"/>
    </row>
    <row r="53" spans="1:30" s="52" customFormat="1">
      <c r="A53" s="97"/>
      <c r="B53" s="12"/>
      <c r="C53" s="235"/>
      <c r="D53" s="6">
        <f t="shared" ref="D53" si="65">$C52*D52</f>
        <v>0</v>
      </c>
      <c r="E53" s="6">
        <f t="shared" ref="E53" si="66">$C52*E52</f>
        <v>0</v>
      </c>
      <c r="F53" s="6">
        <f t="shared" ref="F53:AB53" si="67">$C52*F52</f>
        <v>44369.786604000001</v>
      </c>
      <c r="G53" s="6">
        <f t="shared" si="67"/>
        <v>0</v>
      </c>
      <c r="H53" s="6">
        <f t="shared" si="67"/>
        <v>0</v>
      </c>
      <c r="I53" s="6">
        <f t="shared" si="67"/>
        <v>0</v>
      </c>
      <c r="J53" s="6">
        <f t="shared" si="67"/>
        <v>0</v>
      </c>
      <c r="K53" s="6">
        <f t="shared" si="67"/>
        <v>0</v>
      </c>
      <c r="L53" s="6">
        <f t="shared" si="67"/>
        <v>1628.960697</v>
      </c>
      <c r="M53" s="6">
        <f t="shared" si="67"/>
        <v>0</v>
      </c>
      <c r="N53" s="6">
        <f t="shared" si="67"/>
        <v>0</v>
      </c>
      <c r="O53" s="6">
        <f t="shared" si="67"/>
        <v>0</v>
      </c>
      <c r="P53" s="6">
        <f t="shared" si="67"/>
        <v>0</v>
      </c>
      <c r="Q53" s="6">
        <f t="shared" si="67"/>
        <v>0</v>
      </c>
      <c r="R53" s="6">
        <f t="shared" si="67"/>
        <v>0</v>
      </c>
      <c r="S53" s="6">
        <f t="shared" si="67"/>
        <v>0</v>
      </c>
      <c r="T53" s="6">
        <f t="shared" si="67"/>
        <v>0</v>
      </c>
      <c r="U53" s="6">
        <f t="shared" si="67"/>
        <v>13670.142699</v>
      </c>
      <c r="V53" s="6">
        <f t="shared" si="67"/>
        <v>0</v>
      </c>
      <c r="W53" s="6">
        <f t="shared" si="67"/>
        <v>0</v>
      </c>
      <c r="X53" s="6">
        <f t="shared" si="67"/>
        <v>0</v>
      </c>
      <c r="Y53" s="6">
        <f t="shared" si="67"/>
        <v>0</v>
      </c>
      <c r="Z53" s="6">
        <f t="shared" si="67"/>
        <v>0</v>
      </c>
      <c r="AA53" s="6">
        <f t="shared" si="67"/>
        <v>0</v>
      </c>
      <c r="AB53" s="6">
        <f t="shared" si="67"/>
        <v>0</v>
      </c>
      <c r="AC53" s="67"/>
      <c r="AD53" s="55"/>
    </row>
    <row r="54" spans="1:30" s="52" customFormat="1">
      <c r="A54" s="96" t="s">
        <v>49</v>
      </c>
      <c r="B54" s="18">
        <v>218644.39</v>
      </c>
      <c r="C54" s="235">
        <f t="shared" si="3"/>
        <v>18220.37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7"/>
      <c r="AD54" s="55"/>
    </row>
    <row r="55" spans="1:30" s="52" customFormat="1">
      <c r="A55" s="97"/>
      <c r="B55" s="12"/>
      <c r="C55" s="235"/>
      <c r="D55" s="6">
        <f t="shared" ref="D55" si="68">$C54*D54</f>
        <v>0</v>
      </c>
      <c r="E55" s="6">
        <f t="shared" ref="E55" si="69">$C54*E54</f>
        <v>0</v>
      </c>
      <c r="F55" s="6">
        <f t="shared" ref="F55:AB55" si="70">$C54*F54</f>
        <v>18220.37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6">
        <f t="shared" si="70"/>
        <v>0</v>
      </c>
      <c r="N55" s="6">
        <f t="shared" si="70"/>
        <v>0</v>
      </c>
      <c r="O55" s="6">
        <f t="shared" si="70"/>
        <v>0</v>
      </c>
      <c r="P55" s="6">
        <f t="shared" si="70"/>
        <v>0</v>
      </c>
      <c r="Q55" s="6">
        <f t="shared" si="70"/>
        <v>0</v>
      </c>
      <c r="R55" s="6">
        <f t="shared" si="70"/>
        <v>0</v>
      </c>
      <c r="S55" s="6">
        <f t="shared" si="70"/>
        <v>0</v>
      </c>
      <c r="T55" s="6">
        <f t="shared" si="70"/>
        <v>0</v>
      </c>
      <c r="U55" s="6">
        <f t="shared" si="70"/>
        <v>0</v>
      </c>
      <c r="V55" s="6">
        <f t="shared" si="70"/>
        <v>0</v>
      </c>
      <c r="W55" s="6">
        <f t="shared" si="70"/>
        <v>0</v>
      </c>
      <c r="X55" s="6">
        <f t="shared" si="70"/>
        <v>0</v>
      </c>
      <c r="Y55" s="6">
        <f t="shared" si="70"/>
        <v>0</v>
      </c>
      <c r="Z55" s="6">
        <f t="shared" si="70"/>
        <v>0</v>
      </c>
      <c r="AA55" s="6">
        <f t="shared" si="70"/>
        <v>0</v>
      </c>
      <c r="AB55" s="6">
        <f t="shared" si="70"/>
        <v>0</v>
      </c>
      <c r="AC55" s="67"/>
      <c r="AD55" s="55"/>
    </row>
    <row r="56" spans="1:30" s="52" customFormat="1">
      <c r="A56" s="96" t="s">
        <v>155</v>
      </c>
      <c r="B56" s="18">
        <v>205317.43</v>
      </c>
      <c r="C56" s="235">
        <f t="shared" si="3"/>
        <v>17109.79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5"/>
      <c r="AA56" s="5"/>
      <c r="AB56" s="5"/>
      <c r="AC56" s="67"/>
      <c r="AD56" s="55"/>
    </row>
    <row r="57" spans="1:30" s="52" customFormat="1">
      <c r="A57" s="97"/>
      <c r="B57" s="12"/>
      <c r="C57" s="235"/>
      <c r="D57" s="6">
        <f t="shared" ref="D57" si="71">$C56*D56</f>
        <v>0</v>
      </c>
      <c r="E57" s="6">
        <f t="shared" ref="E57" si="72">$C56*E56</f>
        <v>0</v>
      </c>
      <c r="F57" s="6">
        <f t="shared" ref="F57:AB57" si="73">$C56*F56</f>
        <v>0</v>
      </c>
      <c r="G57" s="6">
        <f t="shared" si="73"/>
        <v>0</v>
      </c>
      <c r="H57" s="6">
        <f t="shared" si="73"/>
        <v>0</v>
      </c>
      <c r="I57" s="6">
        <f t="shared" si="73"/>
        <v>0</v>
      </c>
      <c r="J57" s="6">
        <f t="shared" si="73"/>
        <v>0</v>
      </c>
      <c r="K57" s="6">
        <f t="shared" si="73"/>
        <v>0</v>
      </c>
      <c r="L57" s="6">
        <f t="shared" si="73"/>
        <v>0</v>
      </c>
      <c r="M57" s="6">
        <f t="shared" si="73"/>
        <v>0</v>
      </c>
      <c r="N57" s="6">
        <f t="shared" si="73"/>
        <v>0</v>
      </c>
      <c r="O57" s="6">
        <f t="shared" si="73"/>
        <v>0</v>
      </c>
      <c r="P57" s="6">
        <f t="shared" si="73"/>
        <v>0</v>
      </c>
      <c r="Q57" s="6">
        <f t="shared" si="73"/>
        <v>0</v>
      </c>
      <c r="R57" s="6">
        <f t="shared" si="73"/>
        <v>0</v>
      </c>
      <c r="S57" s="6">
        <f t="shared" si="73"/>
        <v>0</v>
      </c>
      <c r="T57" s="6">
        <f t="shared" si="73"/>
        <v>0</v>
      </c>
      <c r="U57" s="6">
        <f t="shared" si="73"/>
        <v>17109.79</v>
      </c>
      <c r="V57" s="6">
        <f t="shared" si="73"/>
        <v>0</v>
      </c>
      <c r="W57" s="6">
        <f t="shared" si="73"/>
        <v>0</v>
      </c>
      <c r="X57" s="6">
        <f t="shared" si="73"/>
        <v>0</v>
      </c>
      <c r="Y57" s="6">
        <f t="shared" si="73"/>
        <v>0</v>
      </c>
      <c r="Z57" s="6">
        <f t="shared" si="73"/>
        <v>0</v>
      </c>
      <c r="AA57" s="6">
        <f t="shared" si="73"/>
        <v>0</v>
      </c>
      <c r="AB57" s="6">
        <f t="shared" si="73"/>
        <v>0</v>
      </c>
      <c r="AC57" s="67"/>
      <c r="AD57" s="55"/>
    </row>
    <row r="58" spans="1:30" s="52" customFormat="1">
      <c r="A58" s="96" t="s">
        <v>156</v>
      </c>
      <c r="B58" s="18">
        <v>84498.1</v>
      </c>
      <c r="C58" s="235">
        <f t="shared" si="3"/>
        <v>7041.51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</v>
      </c>
      <c r="V58" s="5"/>
      <c r="W58" s="5"/>
      <c r="X58" s="5"/>
      <c r="Y58" s="5"/>
      <c r="Z58" s="5"/>
      <c r="AA58" s="5"/>
      <c r="AB58" s="5"/>
      <c r="AC58" s="67"/>
      <c r="AD58" s="55"/>
    </row>
    <row r="59" spans="1:30" s="52" customFormat="1">
      <c r="A59" s="97"/>
      <c r="B59" s="12"/>
      <c r="C59" s="235"/>
      <c r="D59" s="6">
        <f t="shared" ref="D59" si="74">$C58*D58</f>
        <v>0</v>
      </c>
      <c r="E59" s="6">
        <f t="shared" ref="E59" si="75">$C58*E58</f>
        <v>0</v>
      </c>
      <c r="F59" s="6">
        <f t="shared" ref="F59:AB59" si="76">$C58*F58</f>
        <v>0</v>
      </c>
      <c r="G59" s="6">
        <f t="shared" si="76"/>
        <v>0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7041.51</v>
      </c>
      <c r="V59" s="6">
        <f t="shared" si="76"/>
        <v>0</v>
      </c>
      <c r="W59" s="6">
        <f t="shared" si="76"/>
        <v>0</v>
      </c>
      <c r="X59" s="6">
        <f t="shared" si="76"/>
        <v>0</v>
      </c>
      <c r="Y59" s="6">
        <f t="shared" si="76"/>
        <v>0</v>
      </c>
      <c r="Z59" s="6">
        <f t="shared" si="76"/>
        <v>0</v>
      </c>
      <c r="AA59" s="6">
        <f t="shared" si="76"/>
        <v>0</v>
      </c>
      <c r="AB59" s="6">
        <f t="shared" si="76"/>
        <v>0</v>
      </c>
      <c r="AC59" s="67"/>
      <c r="AD59" s="55"/>
    </row>
    <row r="60" spans="1:30" s="52" customFormat="1">
      <c r="A60" s="96" t="s">
        <v>328</v>
      </c>
      <c r="B60" s="18">
        <f>2448250.31*0.9546</f>
        <v>2337099.7459260002</v>
      </c>
      <c r="C60" s="235">
        <f t="shared" si="3"/>
        <v>194758.31</v>
      </c>
      <c r="D60" s="40"/>
      <c r="E60" s="40"/>
      <c r="F60" s="40">
        <v>0.9768</v>
      </c>
      <c r="G60" s="40"/>
      <c r="H60" s="40"/>
      <c r="I60" s="40"/>
      <c r="J60" s="40"/>
      <c r="K60" s="40"/>
      <c r="L60" s="40">
        <v>9.5999999999999992E-3</v>
      </c>
      <c r="M60" s="40"/>
      <c r="N60" s="40"/>
      <c r="O60" s="40"/>
      <c r="P60" s="40"/>
      <c r="Q60" s="40"/>
      <c r="R60" s="40"/>
      <c r="S60" s="40"/>
      <c r="T60" s="40"/>
      <c r="U60" s="40">
        <v>1.09E-2</v>
      </c>
      <c r="V60" s="40"/>
      <c r="W60" s="40"/>
      <c r="X60" s="40">
        <v>2.5000000000000001E-3</v>
      </c>
      <c r="Y60" s="40">
        <v>1E-4</v>
      </c>
      <c r="Z60" s="40">
        <v>1E-4</v>
      </c>
      <c r="AA60" s="40">
        <v>0</v>
      </c>
      <c r="AB60" s="40">
        <v>0</v>
      </c>
      <c r="AC60" s="67"/>
      <c r="AD60" s="55"/>
    </row>
    <row r="61" spans="1:30" s="52" customFormat="1">
      <c r="A61" s="98"/>
      <c r="B61" s="12"/>
      <c r="C61" s="235"/>
      <c r="D61" s="39">
        <f t="shared" ref="D61" si="77">$C60*D60</f>
        <v>0</v>
      </c>
      <c r="E61" s="39">
        <f t="shared" ref="E61" si="78">$C60*E60</f>
        <v>0</v>
      </c>
      <c r="F61" s="39">
        <f t="shared" ref="F61:AB61" si="79">$C60*F60</f>
        <v>190239.917208</v>
      </c>
      <c r="G61" s="39">
        <f t="shared" si="79"/>
        <v>0</v>
      </c>
      <c r="H61" s="39">
        <f t="shared" si="79"/>
        <v>0</v>
      </c>
      <c r="I61" s="39">
        <f t="shared" si="79"/>
        <v>0</v>
      </c>
      <c r="J61" s="39">
        <f t="shared" si="79"/>
        <v>0</v>
      </c>
      <c r="K61" s="39">
        <f t="shared" si="79"/>
        <v>0</v>
      </c>
      <c r="L61" s="39">
        <f t="shared" si="79"/>
        <v>1869.6797759999997</v>
      </c>
      <c r="M61" s="39">
        <f t="shared" si="79"/>
        <v>0</v>
      </c>
      <c r="N61" s="39">
        <f t="shared" si="79"/>
        <v>0</v>
      </c>
      <c r="O61" s="39">
        <f t="shared" si="79"/>
        <v>0</v>
      </c>
      <c r="P61" s="39">
        <f t="shared" si="79"/>
        <v>0</v>
      </c>
      <c r="Q61" s="39">
        <f t="shared" si="79"/>
        <v>0</v>
      </c>
      <c r="R61" s="39">
        <f t="shared" si="79"/>
        <v>0</v>
      </c>
      <c r="S61" s="39">
        <f t="shared" si="79"/>
        <v>0</v>
      </c>
      <c r="T61" s="39">
        <f t="shared" si="79"/>
        <v>0</v>
      </c>
      <c r="U61" s="39">
        <f t="shared" si="79"/>
        <v>2122.8655789999998</v>
      </c>
      <c r="V61" s="39">
        <f t="shared" si="79"/>
        <v>0</v>
      </c>
      <c r="W61" s="39">
        <f t="shared" si="79"/>
        <v>0</v>
      </c>
      <c r="X61" s="39">
        <f t="shared" si="79"/>
        <v>486.89577500000001</v>
      </c>
      <c r="Y61" s="39">
        <f t="shared" si="79"/>
        <v>19.475830999999999</v>
      </c>
      <c r="Z61" s="39">
        <f t="shared" si="79"/>
        <v>19.475830999999999</v>
      </c>
      <c r="AA61" s="39">
        <f t="shared" si="79"/>
        <v>0</v>
      </c>
      <c r="AB61" s="39">
        <f t="shared" si="79"/>
        <v>0</v>
      </c>
      <c r="AC61" s="67"/>
      <c r="AD61" s="55"/>
    </row>
    <row r="62" spans="1:30" s="52" customFormat="1">
      <c r="A62" s="96" t="s">
        <v>329</v>
      </c>
      <c r="B62" s="18">
        <f>2945720.21268289*0</f>
        <v>0</v>
      </c>
      <c r="C62" s="235">
        <f t="shared" si="3"/>
        <v>0</v>
      </c>
      <c r="D62" s="5"/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7"/>
      <c r="AD62" s="55"/>
    </row>
    <row r="63" spans="1:30" s="52" customFormat="1">
      <c r="A63" s="98"/>
      <c r="B63" s="12"/>
      <c r="C63" s="235"/>
      <c r="D63" s="6">
        <f t="shared" ref="D63" si="80">$C62*D62</f>
        <v>0</v>
      </c>
      <c r="E63" s="6">
        <f t="shared" ref="E63" si="81">$C62*E62</f>
        <v>0</v>
      </c>
      <c r="F63" s="6">
        <f t="shared" ref="F63:AB63" si="82">$C62*F62</f>
        <v>0</v>
      </c>
      <c r="G63" s="6">
        <f t="shared" si="82"/>
        <v>0</v>
      </c>
      <c r="H63" s="6">
        <f t="shared" si="82"/>
        <v>0</v>
      </c>
      <c r="I63" s="6">
        <f t="shared" si="82"/>
        <v>0</v>
      </c>
      <c r="J63" s="6">
        <f t="shared" si="82"/>
        <v>0</v>
      </c>
      <c r="K63" s="6">
        <f t="shared" si="82"/>
        <v>0</v>
      </c>
      <c r="L63" s="6">
        <f t="shared" si="82"/>
        <v>0</v>
      </c>
      <c r="M63" s="6">
        <f t="shared" si="82"/>
        <v>0</v>
      </c>
      <c r="N63" s="6">
        <f t="shared" si="82"/>
        <v>0</v>
      </c>
      <c r="O63" s="6">
        <f t="shared" si="82"/>
        <v>0</v>
      </c>
      <c r="P63" s="6">
        <f t="shared" si="82"/>
        <v>0</v>
      </c>
      <c r="Q63" s="6">
        <f t="shared" si="82"/>
        <v>0</v>
      </c>
      <c r="R63" s="6">
        <f t="shared" si="82"/>
        <v>0</v>
      </c>
      <c r="S63" s="6">
        <f t="shared" si="82"/>
        <v>0</v>
      </c>
      <c r="T63" s="6">
        <f t="shared" si="82"/>
        <v>0</v>
      </c>
      <c r="U63" s="6">
        <f t="shared" si="82"/>
        <v>0</v>
      </c>
      <c r="V63" s="6">
        <f t="shared" si="82"/>
        <v>0</v>
      </c>
      <c r="W63" s="6">
        <f t="shared" si="82"/>
        <v>0</v>
      </c>
      <c r="X63" s="6">
        <f t="shared" si="82"/>
        <v>0</v>
      </c>
      <c r="Y63" s="6">
        <f t="shared" si="82"/>
        <v>0</v>
      </c>
      <c r="Z63" s="6">
        <f t="shared" si="82"/>
        <v>0</v>
      </c>
      <c r="AA63" s="6">
        <f t="shared" si="82"/>
        <v>0</v>
      </c>
      <c r="AB63" s="6">
        <f t="shared" si="82"/>
        <v>0</v>
      </c>
      <c r="AC63" s="67"/>
      <c r="AD63" s="55"/>
    </row>
    <row r="64" spans="1:30" s="52" customFormat="1">
      <c r="A64" s="99" t="s">
        <v>304</v>
      </c>
      <c r="B64" s="18">
        <f>2448250.31*0.0454</f>
        <v>111150.56407400001</v>
      </c>
      <c r="C64" s="235">
        <f t="shared" si="3"/>
        <v>9262.5499999999993</v>
      </c>
      <c r="D64" s="40"/>
      <c r="E64" s="40"/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67"/>
      <c r="AD64" s="55"/>
    </row>
    <row r="65" spans="1:30" s="52" customFormat="1">
      <c r="A65" s="100"/>
      <c r="B65" s="32"/>
      <c r="C65" s="235"/>
      <c r="D65" s="39">
        <f>$C64*D64</f>
        <v>0</v>
      </c>
      <c r="E65" s="39">
        <f>$C64*E64</f>
        <v>0</v>
      </c>
      <c r="F65" s="39">
        <f>$C64*F64</f>
        <v>9262.5499999999993</v>
      </c>
      <c r="G65" s="39">
        <f t="shared" ref="G65" si="83">$C64*G64</f>
        <v>0</v>
      </c>
      <c r="H65" s="39">
        <f t="shared" ref="H65" si="84">$C64*H64</f>
        <v>0</v>
      </c>
      <c r="I65" s="39">
        <f t="shared" ref="I65:AB65" si="85">$C64*I64</f>
        <v>0</v>
      </c>
      <c r="J65" s="39">
        <f t="shared" si="85"/>
        <v>0</v>
      </c>
      <c r="K65" s="39">
        <f t="shared" si="85"/>
        <v>0</v>
      </c>
      <c r="L65" s="39">
        <f t="shared" si="85"/>
        <v>0</v>
      </c>
      <c r="M65" s="39">
        <f t="shared" si="85"/>
        <v>0</v>
      </c>
      <c r="N65" s="39">
        <f t="shared" si="85"/>
        <v>0</v>
      </c>
      <c r="O65" s="39">
        <f t="shared" si="85"/>
        <v>0</v>
      </c>
      <c r="P65" s="39">
        <f t="shared" si="85"/>
        <v>0</v>
      </c>
      <c r="Q65" s="39">
        <f t="shared" si="85"/>
        <v>0</v>
      </c>
      <c r="R65" s="39">
        <f t="shared" si="85"/>
        <v>0</v>
      </c>
      <c r="S65" s="39">
        <f t="shared" si="85"/>
        <v>0</v>
      </c>
      <c r="T65" s="39">
        <f t="shared" si="85"/>
        <v>0</v>
      </c>
      <c r="U65" s="39">
        <f t="shared" si="85"/>
        <v>0</v>
      </c>
      <c r="V65" s="39">
        <f t="shared" si="85"/>
        <v>0</v>
      </c>
      <c r="W65" s="39">
        <f t="shared" si="85"/>
        <v>0</v>
      </c>
      <c r="X65" s="39">
        <f t="shared" si="85"/>
        <v>0</v>
      </c>
      <c r="Y65" s="39">
        <f t="shared" si="85"/>
        <v>0</v>
      </c>
      <c r="Z65" s="39">
        <f t="shared" si="85"/>
        <v>0</v>
      </c>
      <c r="AA65" s="39">
        <f t="shared" si="85"/>
        <v>0</v>
      </c>
      <c r="AB65" s="39">
        <f t="shared" si="85"/>
        <v>0</v>
      </c>
      <c r="AC65" s="67"/>
      <c r="AD65" s="55"/>
    </row>
    <row r="66" spans="1:30" s="52" customFormat="1">
      <c r="A66" s="96" t="s">
        <v>157</v>
      </c>
      <c r="B66" s="18">
        <v>44916.06</v>
      </c>
      <c r="C66" s="235">
        <f t="shared" si="3"/>
        <v>3743.01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1</v>
      </c>
      <c r="V66" s="5"/>
      <c r="W66" s="5"/>
      <c r="X66" s="5"/>
      <c r="Y66" s="5"/>
      <c r="Z66" s="5"/>
      <c r="AA66" s="5"/>
      <c r="AB66" s="5"/>
      <c r="AC66" s="67"/>
      <c r="AD66" s="55"/>
    </row>
    <row r="67" spans="1:30" s="52" customFormat="1">
      <c r="A67" s="97"/>
      <c r="B67" s="12"/>
      <c r="C67" s="235"/>
      <c r="D67" s="6">
        <f t="shared" ref="D67" si="86">$C66*D66</f>
        <v>0</v>
      </c>
      <c r="E67" s="6">
        <f t="shared" ref="E67" si="87">$C66*E66</f>
        <v>0</v>
      </c>
      <c r="F67" s="6">
        <f t="shared" ref="F67:AB67" si="88">$C66*F66</f>
        <v>0</v>
      </c>
      <c r="G67" s="6">
        <f t="shared" si="88"/>
        <v>0</v>
      </c>
      <c r="H67" s="6">
        <f t="shared" si="88"/>
        <v>0</v>
      </c>
      <c r="I67" s="6">
        <f t="shared" si="88"/>
        <v>0</v>
      </c>
      <c r="J67" s="6">
        <f t="shared" si="88"/>
        <v>0</v>
      </c>
      <c r="K67" s="6">
        <f t="shared" si="88"/>
        <v>0</v>
      </c>
      <c r="L67" s="6">
        <f t="shared" si="88"/>
        <v>0</v>
      </c>
      <c r="M67" s="6">
        <f t="shared" si="88"/>
        <v>0</v>
      </c>
      <c r="N67" s="6">
        <f t="shared" si="88"/>
        <v>0</v>
      </c>
      <c r="O67" s="6">
        <f t="shared" si="88"/>
        <v>0</v>
      </c>
      <c r="P67" s="6">
        <f t="shared" si="88"/>
        <v>0</v>
      </c>
      <c r="Q67" s="6">
        <f t="shared" si="88"/>
        <v>0</v>
      </c>
      <c r="R67" s="6">
        <f t="shared" si="88"/>
        <v>0</v>
      </c>
      <c r="S67" s="6">
        <f t="shared" si="88"/>
        <v>0</v>
      </c>
      <c r="T67" s="6">
        <f t="shared" si="88"/>
        <v>0</v>
      </c>
      <c r="U67" s="6">
        <f t="shared" si="88"/>
        <v>3743.01</v>
      </c>
      <c r="V67" s="6">
        <f t="shared" si="88"/>
        <v>0</v>
      </c>
      <c r="W67" s="6">
        <f t="shared" si="88"/>
        <v>0</v>
      </c>
      <c r="X67" s="6">
        <f t="shared" si="88"/>
        <v>0</v>
      </c>
      <c r="Y67" s="6">
        <f t="shared" si="88"/>
        <v>0</v>
      </c>
      <c r="Z67" s="6">
        <f t="shared" si="88"/>
        <v>0</v>
      </c>
      <c r="AA67" s="6">
        <f t="shared" si="88"/>
        <v>0</v>
      </c>
      <c r="AB67" s="6">
        <f t="shared" si="88"/>
        <v>0</v>
      </c>
      <c r="AC67" s="67"/>
      <c r="AD67" s="55"/>
    </row>
    <row r="68" spans="1:30" s="52" customFormat="1">
      <c r="A68" s="96" t="s">
        <v>158</v>
      </c>
      <c r="B68" s="18">
        <v>66096.100000000006</v>
      </c>
      <c r="C68" s="235">
        <f t="shared" si="3"/>
        <v>5508.01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v>1</v>
      </c>
      <c r="V68" s="5"/>
      <c r="W68" s="5"/>
      <c r="X68" s="5"/>
      <c r="Y68" s="5"/>
      <c r="Z68" s="5"/>
      <c r="AA68" s="5"/>
      <c r="AB68" s="5"/>
      <c r="AC68" s="67"/>
      <c r="AD68" s="55"/>
    </row>
    <row r="69" spans="1:30" s="52" customFormat="1">
      <c r="A69" s="97"/>
      <c r="B69" s="12"/>
      <c r="C69" s="235"/>
      <c r="D69" s="6">
        <f t="shared" ref="D69" si="89">$C68*D68</f>
        <v>0</v>
      </c>
      <c r="E69" s="6">
        <f t="shared" ref="E69" si="90">$C68*E68</f>
        <v>0</v>
      </c>
      <c r="F69" s="6">
        <f t="shared" ref="F69:AB69" si="91">$C68*F68</f>
        <v>0</v>
      </c>
      <c r="G69" s="6">
        <f t="shared" si="91"/>
        <v>0</v>
      </c>
      <c r="H69" s="6">
        <f t="shared" si="91"/>
        <v>0</v>
      </c>
      <c r="I69" s="6">
        <f t="shared" si="91"/>
        <v>0</v>
      </c>
      <c r="J69" s="6">
        <f t="shared" si="91"/>
        <v>0</v>
      </c>
      <c r="K69" s="6">
        <f t="shared" si="91"/>
        <v>0</v>
      </c>
      <c r="L69" s="6">
        <f t="shared" si="91"/>
        <v>0</v>
      </c>
      <c r="M69" s="6">
        <f t="shared" si="91"/>
        <v>0</v>
      </c>
      <c r="N69" s="6">
        <f t="shared" si="91"/>
        <v>0</v>
      </c>
      <c r="O69" s="6">
        <f t="shared" si="91"/>
        <v>0</v>
      </c>
      <c r="P69" s="6">
        <f t="shared" si="91"/>
        <v>0</v>
      </c>
      <c r="Q69" s="6">
        <f t="shared" si="91"/>
        <v>0</v>
      </c>
      <c r="R69" s="6">
        <f t="shared" si="91"/>
        <v>0</v>
      </c>
      <c r="S69" s="6">
        <f t="shared" si="91"/>
        <v>0</v>
      </c>
      <c r="T69" s="6">
        <f t="shared" si="91"/>
        <v>0</v>
      </c>
      <c r="U69" s="6">
        <f t="shared" si="91"/>
        <v>5508.01</v>
      </c>
      <c r="V69" s="6">
        <f t="shared" si="91"/>
        <v>0</v>
      </c>
      <c r="W69" s="6">
        <f t="shared" si="91"/>
        <v>0</v>
      </c>
      <c r="X69" s="6">
        <f t="shared" si="91"/>
        <v>0</v>
      </c>
      <c r="Y69" s="6">
        <f t="shared" si="91"/>
        <v>0</v>
      </c>
      <c r="Z69" s="6">
        <f t="shared" si="91"/>
        <v>0</v>
      </c>
      <c r="AA69" s="6">
        <f t="shared" si="91"/>
        <v>0</v>
      </c>
      <c r="AB69" s="6">
        <f t="shared" si="91"/>
        <v>0</v>
      </c>
      <c r="AC69" s="67"/>
      <c r="AD69" s="55"/>
    </row>
    <row r="70" spans="1:30" s="52" customFormat="1">
      <c r="A70" s="96" t="s">
        <v>159</v>
      </c>
      <c r="B70" s="18">
        <v>123046.63</v>
      </c>
      <c r="C70" s="235">
        <f t="shared" si="3"/>
        <v>10253.89</v>
      </c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7"/>
      <c r="AD70" s="55"/>
    </row>
    <row r="71" spans="1:30" s="52" customFormat="1">
      <c r="A71" s="97"/>
      <c r="B71" s="12"/>
      <c r="C71" s="235"/>
      <c r="D71" s="6">
        <f t="shared" ref="D71" si="92">$C70*D70</f>
        <v>0</v>
      </c>
      <c r="E71" s="6">
        <f t="shared" ref="E71" si="93">$C70*E70</f>
        <v>0</v>
      </c>
      <c r="F71" s="6">
        <f t="shared" ref="F71:AB71" si="94">$C70*F70</f>
        <v>10253.89</v>
      </c>
      <c r="G71" s="6">
        <f t="shared" si="94"/>
        <v>0</v>
      </c>
      <c r="H71" s="6">
        <f t="shared" si="94"/>
        <v>0</v>
      </c>
      <c r="I71" s="6">
        <f t="shared" si="94"/>
        <v>0</v>
      </c>
      <c r="J71" s="6">
        <f t="shared" si="94"/>
        <v>0</v>
      </c>
      <c r="K71" s="6">
        <f t="shared" si="94"/>
        <v>0</v>
      </c>
      <c r="L71" s="6">
        <f t="shared" si="94"/>
        <v>0</v>
      </c>
      <c r="M71" s="6">
        <f t="shared" si="94"/>
        <v>0</v>
      </c>
      <c r="N71" s="6">
        <f t="shared" si="94"/>
        <v>0</v>
      </c>
      <c r="O71" s="6">
        <f t="shared" si="94"/>
        <v>0</v>
      </c>
      <c r="P71" s="6">
        <f t="shared" si="94"/>
        <v>0</v>
      </c>
      <c r="Q71" s="6">
        <f t="shared" si="94"/>
        <v>0</v>
      </c>
      <c r="R71" s="6">
        <f t="shared" si="94"/>
        <v>0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7"/>
      <c r="AD71" s="55"/>
    </row>
    <row r="72" spans="1:30" s="52" customFormat="1">
      <c r="A72" s="96" t="s">
        <v>160</v>
      </c>
      <c r="B72" s="18">
        <v>181708.83</v>
      </c>
      <c r="C72" s="235">
        <f t="shared" si="3"/>
        <v>15142.4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7"/>
      <c r="AD72" s="55"/>
    </row>
    <row r="73" spans="1:30" s="52" customFormat="1">
      <c r="A73" s="97"/>
      <c r="B73" s="12"/>
      <c r="C73" s="235"/>
      <c r="D73" s="6">
        <f t="shared" ref="D73" si="95">$C72*D72</f>
        <v>0</v>
      </c>
      <c r="E73" s="6">
        <f t="shared" ref="E73" si="96">$C72*E72</f>
        <v>0</v>
      </c>
      <c r="F73" s="6">
        <f t="shared" ref="F73:AB73" si="97">$C72*F72</f>
        <v>15142.4</v>
      </c>
      <c r="G73" s="6">
        <f t="shared" si="97"/>
        <v>0</v>
      </c>
      <c r="H73" s="6">
        <f t="shared" si="97"/>
        <v>0</v>
      </c>
      <c r="I73" s="6">
        <f t="shared" si="97"/>
        <v>0</v>
      </c>
      <c r="J73" s="6">
        <f t="shared" si="97"/>
        <v>0</v>
      </c>
      <c r="K73" s="6">
        <f t="shared" si="97"/>
        <v>0</v>
      </c>
      <c r="L73" s="6">
        <f t="shared" si="97"/>
        <v>0</v>
      </c>
      <c r="M73" s="6">
        <f t="shared" si="97"/>
        <v>0</v>
      </c>
      <c r="N73" s="6">
        <f t="shared" si="97"/>
        <v>0</v>
      </c>
      <c r="O73" s="6">
        <f t="shared" si="97"/>
        <v>0</v>
      </c>
      <c r="P73" s="6">
        <f t="shared" si="97"/>
        <v>0</v>
      </c>
      <c r="Q73" s="6">
        <f t="shared" si="97"/>
        <v>0</v>
      </c>
      <c r="R73" s="6">
        <f t="shared" si="97"/>
        <v>0</v>
      </c>
      <c r="S73" s="6">
        <f t="shared" si="97"/>
        <v>0</v>
      </c>
      <c r="T73" s="6">
        <f t="shared" si="97"/>
        <v>0</v>
      </c>
      <c r="U73" s="6">
        <f t="shared" si="97"/>
        <v>0</v>
      </c>
      <c r="V73" s="6">
        <f t="shared" si="97"/>
        <v>0</v>
      </c>
      <c r="W73" s="6">
        <f t="shared" si="97"/>
        <v>0</v>
      </c>
      <c r="X73" s="6">
        <f t="shared" si="97"/>
        <v>0</v>
      </c>
      <c r="Y73" s="6">
        <f t="shared" si="97"/>
        <v>0</v>
      </c>
      <c r="Z73" s="6">
        <f t="shared" si="97"/>
        <v>0</v>
      </c>
      <c r="AA73" s="6">
        <f t="shared" si="97"/>
        <v>0</v>
      </c>
      <c r="AB73" s="6">
        <f t="shared" si="97"/>
        <v>0</v>
      </c>
      <c r="AC73" s="67"/>
      <c r="AD73" s="55"/>
    </row>
    <row r="74" spans="1:30" s="52" customFormat="1">
      <c r="A74" s="96" t="s">
        <v>161</v>
      </c>
      <c r="B74" s="18">
        <v>236360.9</v>
      </c>
      <c r="C74" s="235">
        <f t="shared" ref="C74:C136" si="98">ROUND(B74/12,2)</f>
        <v>19696.740000000002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1</v>
      </c>
      <c r="V74" s="5"/>
      <c r="W74" s="5"/>
      <c r="X74" s="5"/>
      <c r="Y74" s="5"/>
      <c r="Z74" s="5"/>
      <c r="AA74" s="5"/>
      <c r="AB74" s="5"/>
      <c r="AC74" s="67"/>
      <c r="AD74" s="55"/>
    </row>
    <row r="75" spans="1:30" s="52" customFormat="1">
      <c r="A75" s="97"/>
      <c r="B75" s="12"/>
      <c r="C75" s="235"/>
      <c r="D75" s="6">
        <f t="shared" ref="D75" si="99">$C74*D74</f>
        <v>0</v>
      </c>
      <c r="E75" s="6">
        <f t="shared" ref="E75" si="100">$C74*E74</f>
        <v>0</v>
      </c>
      <c r="F75" s="6">
        <f t="shared" ref="F75:AB75" si="101">$C74*F74</f>
        <v>0</v>
      </c>
      <c r="G75" s="6">
        <f t="shared" si="101"/>
        <v>0</v>
      </c>
      <c r="H75" s="6">
        <f t="shared" si="101"/>
        <v>0</v>
      </c>
      <c r="I75" s="6">
        <f t="shared" si="101"/>
        <v>0</v>
      </c>
      <c r="J75" s="6">
        <f t="shared" si="101"/>
        <v>0</v>
      </c>
      <c r="K75" s="6">
        <f t="shared" si="101"/>
        <v>0</v>
      </c>
      <c r="L75" s="6">
        <f t="shared" si="101"/>
        <v>0</v>
      </c>
      <c r="M75" s="6">
        <f t="shared" si="101"/>
        <v>0</v>
      </c>
      <c r="N75" s="6">
        <f t="shared" si="101"/>
        <v>0</v>
      </c>
      <c r="O75" s="6">
        <f t="shared" si="101"/>
        <v>0</v>
      </c>
      <c r="P75" s="6">
        <f t="shared" si="101"/>
        <v>0</v>
      </c>
      <c r="Q75" s="6">
        <f t="shared" si="101"/>
        <v>0</v>
      </c>
      <c r="R75" s="6">
        <f t="shared" si="101"/>
        <v>0</v>
      </c>
      <c r="S75" s="6">
        <f t="shared" si="101"/>
        <v>0</v>
      </c>
      <c r="T75" s="6">
        <f t="shared" si="101"/>
        <v>0</v>
      </c>
      <c r="U75" s="6">
        <f t="shared" si="101"/>
        <v>19696.740000000002</v>
      </c>
      <c r="V75" s="6">
        <f t="shared" si="101"/>
        <v>0</v>
      </c>
      <c r="W75" s="6">
        <f t="shared" si="101"/>
        <v>0</v>
      </c>
      <c r="X75" s="6">
        <f t="shared" si="101"/>
        <v>0</v>
      </c>
      <c r="Y75" s="6">
        <f t="shared" si="101"/>
        <v>0</v>
      </c>
      <c r="Z75" s="6">
        <f t="shared" si="101"/>
        <v>0</v>
      </c>
      <c r="AA75" s="6">
        <f t="shared" si="101"/>
        <v>0</v>
      </c>
      <c r="AB75" s="6">
        <f t="shared" si="101"/>
        <v>0</v>
      </c>
      <c r="AC75" s="67"/>
      <c r="AD75" s="55"/>
    </row>
    <row r="76" spans="1:30" s="52" customFormat="1">
      <c r="A76" s="96" t="s">
        <v>162</v>
      </c>
      <c r="B76" s="18">
        <v>89958.82</v>
      </c>
      <c r="C76" s="235">
        <f t="shared" si="98"/>
        <v>7496.57</v>
      </c>
      <c r="D76" s="38">
        <v>8.5800000000000001E-2</v>
      </c>
      <c r="E76" s="38"/>
      <c r="F76" s="38">
        <v>1.6899999999999998E-2</v>
      </c>
      <c r="G76" s="38"/>
      <c r="H76" s="38"/>
      <c r="I76" s="38"/>
      <c r="J76" s="38"/>
      <c r="K76" s="38"/>
      <c r="L76" s="38"/>
      <c r="M76" s="38">
        <v>0.12239999999999999</v>
      </c>
      <c r="N76" s="38"/>
      <c r="O76" s="38"/>
      <c r="P76" s="38"/>
      <c r="Q76" s="38">
        <v>0.18160000000000001</v>
      </c>
      <c r="R76" s="38">
        <v>1.55E-2</v>
      </c>
      <c r="S76" s="38">
        <v>1.77E-2</v>
      </c>
      <c r="T76" s="38">
        <v>0.21779999999999999</v>
      </c>
      <c r="U76" s="38"/>
      <c r="V76" s="38"/>
      <c r="W76" s="38">
        <v>6.4000000000000001E-2</v>
      </c>
      <c r="X76" s="38">
        <v>0.26129999999999998</v>
      </c>
      <c r="Y76" s="38">
        <v>9.7000000000000003E-3</v>
      </c>
      <c r="Z76" s="40">
        <v>7.3000000000000001E-3</v>
      </c>
      <c r="AA76" s="40">
        <v>0</v>
      </c>
      <c r="AB76" s="40">
        <v>0</v>
      </c>
      <c r="AC76" s="67"/>
      <c r="AD76" s="55"/>
    </row>
    <row r="77" spans="1:30" s="52" customFormat="1">
      <c r="A77" s="97"/>
      <c r="B77" s="12"/>
      <c r="C77" s="235"/>
      <c r="D77" s="39">
        <f t="shared" ref="D77" si="102">$C76*D76</f>
        <v>643.20570599999996</v>
      </c>
      <c r="E77" s="39">
        <f t="shared" ref="E77" si="103">$C76*E76</f>
        <v>0</v>
      </c>
      <c r="F77" s="39">
        <f t="shared" ref="F77:AB77" si="104">$C76*F76</f>
        <v>126.69203299999998</v>
      </c>
      <c r="G77" s="39">
        <f t="shared" si="104"/>
        <v>0</v>
      </c>
      <c r="H77" s="39">
        <f t="shared" si="104"/>
        <v>0</v>
      </c>
      <c r="I77" s="39">
        <f t="shared" si="104"/>
        <v>0</v>
      </c>
      <c r="J77" s="39">
        <f t="shared" si="104"/>
        <v>0</v>
      </c>
      <c r="K77" s="39">
        <f t="shared" si="104"/>
        <v>0</v>
      </c>
      <c r="L77" s="39">
        <f t="shared" si="104"/>
        <v>0</v>
      </c>
      <c r="M77" s="39">
        <f t="shared" si="104"/>
        <v>917.58016799999996</v>
      </c>
      <c r="N77" s="39">
        <f t="shared" si="104"/>
        <v>0</v>
      </c>
      <c r="O77" s="39">
        <f t="shared" si="104"/>
        <v>0</v>
      </c>
      <c r="P77" s="39">
        <f t="shared" si="104"/>
        <v>0</v>
      </c>
      <c r="Q77" s="39">
        <f t="shared" si="104"/>
        <v>1361.3771120000001</v>
      </c>
      <c r="R77" s="39">
        <f t="shared" si="104"/>
        <v>116.19683499999999</v>
      </c>
      <c r="S77" s="39">
        <f t="shared" si="104"/>
        <v>132.689289</v>
      </c>
      <c r="T77" s="39">
        <f t="shared" si="104"/>
        <v>1632.7529459999998</v>
      </c>
      <c r="U77" s="39">
        <f t="shared" si="104"/>
        <v>0</v>
      </c>
      <c r="V77" s="39">
        <f t="shared" si="104"/>
        <v>0</v>
      </c>
      <c r="W77" s="39">
        <f t="shared" si="104"/>
        <v>479.78048000000001</v>
      </c>
      <c r="X77" s="39">
        <f t="shared" si="104"/>
        <v>1958.8537409999997</v>
      </c>
      <c r="Y77" s="39">
        <f t="shared" si="104"/>
        <v>72.716729000000001</v>
      </c>
      <c r="Z77" s="39">
        <f t="shared" si="104"/>
        <v>54.724961</v>
      </c>
      <c r="AA77" s="39">
        <f t="shared" si="104"/>
        <v>0</v>
      </c>
      <c r="AB77" s="39">
        <f t="shared" si="104"/>
        <v>0</v>
      </c>
      <c r="AC77" s="67"/>
      <c r="AD77" s="55"/>
    </row>
    <row r="78" spans="1:30" s="52" customFormat="1">
      <c r="A78" s="96" t="s">
        <v>163</v>
      </c>
      <c r="B78" s="18">
        <v>2945594.54</v>
      </c>
      <c r="C78" s="235">
        <f t="shared" si="98"/>
        <v>245466.21</v>
      </c>
      <c r="D78" s="40">
        <v>3.7400000000000003E-2</v>
      </c>
      <c r="E78" s="40"/>
      <c r="F78" s="40">
        <v>6.2600000000000003E-2</v>
      </c>
      <c r="G78" s="40"/>
      <c r="H78" s="40">
        <v>0.16819999999999999</v>
      </c>
      <c r="I78" s="40"/>
      <c r="J78" s="40"/>
      <c r="K78" s="40"/>
      <c r="L78" s="40">
        <v>3.2000000000000002E-3</v>
      </c>
      <c r="M78" s="40"/>
      <c r="N78" s="40"/>
      <c r="O78" s="40"/>
      <c r="P78" s="40"/>
      <c r="Q78" s="40">
        <v>0.12570000000000001</v>
      </c>
      <c r="R78" s="40">
        <v>6.8900000000000003E-2</v>
      </c>
      <c r="S78" s="40">
        <v>1.7000000000000001E-2</v>
      </c>
      <c r="T78" s="40">
        <v>0.1153</v>
      </c>
      <c r="U78" s="40"/>
      <c r="V78" s="40">
        <v>5.4999999999999997E-3</v>
      </c>
      <c r="W78" s="40">
        <v>0.1542</v>
      </c>
      <c r="X78" s="40">
        <v>0.20519999999999999</v>
      </c>
      <c r="Y78" s="40">
        <v>7.1999999999999998E-3</v>
      </c>
      <c r="Z78" s="40">
        <v>2.9600000000000001E-2</v>
      </c>
      <c r="AA78" s="40">
        <v>0</v>
      </c>
      <c r="AB78" s="40">
        <v>0</v>
      </c>
      <c r="AC78" s="67"/>
      <c r="AD78" s="55"/>
    </row>
    <row r="79" spans="1:30" s="52" customFormat="1">
      <c r="A79" s="97"/>
      <c r="B79" s="12"/>
      <c r="C79" s="235"/>
      <c r="D79" s="39">
        <f t="shared" ref="D79" si="105">$C78*D78</f>
        <v>9180.4362540000002</v>
      </c>
      <c r="E79" s="39">
        <f t="shared" ref="E79" si="106">$C78*E78</f>
        <v>0</v>
      </c>
      <c r="F79" s="39">
        <f t="shared" ref="F79:AB79" si="107">$C78*F78</f>
        <v>15366.184746000001</v>
      </c>
      <c r="G79" s="39">
        <f t="shared" si="107"/>
        <v>0</v>
      </c>
      <c r="H79" s="39">
        <f t="shared" si="107"/>
        <v>41287.416521999992</v>
      </c>
      <c r="I79" s="39">
        <f t="shared" si="107"/>
        <v>0</v>
      </c>
      <c r="J79" s="39">
        <f t="shared" si="107"/>
        <v>0</v>
      </c>
      <c r="K79" s="39">
        <f t="shared" si="107"/>
        <v>0</v>
      </c>
      <c r="L79" s="39">
        <f t="shared" si="107"/>
        <v>785.49187200000006</v>
      </c>
      <c r="M79" s="39">
        <f t="shared" si="107"/>
        <v>0</v>
      </c>
      <c r="N79" s="39">
        <f t="shared" si="107"/>
        <v>0</v>
      </c>
      <c r="O79" s="39">
        <f t="shared" si="107"/>
        <v>0</v>
      </c>
      <c r="P79" s="39">
        <f t="shared" si="107"/>
        <v>0</v>
      </c>
      <c r="Q79" s="39">
        <f t="shared" si="107"/>
        <v>30855.102597000001</v>
      </c>
      <c r="R79" s="39">
        <f t="shared" si="107"/>
        <v>16912.621868999999</v>
      </c>
      <c r="S79" s="39">
        <f t="shared" si="107"/>
        <v>4172.9255700000003</v>
      </c>
      <c r="T79" s="39">
        <f t="shared" si="107"/>
        <v>28302.254012999998</v>
      </c>
      <c r="U79" s="39">
        <f t="shared" si="107"/>
        <v>0</v>
      </c>
      <c r="V79" s="39">
        <f t="shared" si="107"/>
        <v>1350.0641549999998</v>
      </c>
      <c r="W79" s="39">
        <f t="shared" si="107"/>
        <v>37850.889581999996</v>
      </c>
      <c r="X79" s="39">
        <f t="shared" si="107"/>
        <v>50369.666291999994</v>
      </c>
      <c r="Y79" s="39">
        <f t="shared" si="107"/>
        <v>1767.3567119999998</v>
      </c>
      <c r="Z79" s="39">
        <f t="shared" si="107"/>
        <v>7265.7998159999997</v>
      </c>
      <c r="AA79" s="39">
        <f t="shared" si="107"/>
        <v>0</v>
      </c>
      <c r="AB79" s="39">
        <f t="shared" si="107"/>
        <v>0</v>
      </c>
      <c r="AC79" s="67"/>
      <c r="AD79" s="55"/>
    </row>
    <row r="80" spans="1:30" s="52" customFormat="1">
      <c r="A80" s="98" t="s">
        <v>164</v>
      </c>
      <c r="B80" s="18">
        <v>2039433.63</v>
      </c>
      <c r="C80" s="235">
        <f t="shared" si="98"/>
        <v>169952.8</v>
      </c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7"/>
      <c r="AD80" s="55"/>
    </row>
    <row r="81" spans="1:30" s="52" customFormat="1">
      <c r="A81" s="97"/>
      <c r="B81" s="12"/>
      <c r="C81" s="235"/>
      <c r="D81" s="6">
        <f>$C80*D80</f>
        <v>0</v>
      </c>
      <c r="E81" s="6">
        <f>$C80*E80</f>
        <v>0</v>
      </c>
      <c r="F81" s="6">
        <f>$C80*F80</f>
        <v>169952.8</v>
      </c>
      <c r="G81" s="6">
        <f t="shared" ref="G81" si="108">$C80*G80</f>
        <v>0</v>
      </c>
      <c r="H81" s="6">
        <f t="shared" ref="H81" si="109">$C80*H80</f>
        <v>0</v>
      </c>
      <c r="I81" s="6">
        <f t="shared" ref="I81:AB81" si="110">$C80*I80</f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0</v>
      </c>
      <c r="P81" s="6">
        <f t="shared" si="110"/>
        <v>0</v>
      </c>
      <c r="Q81" s="6">
        <f t="shared" si="110"/>
        <v>0</v>
      </c>
      <c r="R81" s="6">
        <f t="shared" si="110"/>
        <v>0</v>
      </c>
      <c r="S81" s="6">
        <f t="shared" si="110"/>
        <v>0</v>
      </c>
      <c r="T81" s="6">
        <f t="shared" si="110"/>
        <v>0</v>
      </c>
      <c r="U81" s="6">
        <f t="shared" si="110"/>
        <v>0</v>
      </c>
      <c r="V81" s="6">
        <f t="shared" si="110"/>
        <v>0</v>
      </c>
      <c r="W81" s="6">
        <f t="shared" si="110"/>
        <v>0</v>
      </c>
      <c r="X81" s="6">
        <f t="shared" si="110"/>
        <v>0</v>
      </c>
      <c r="Y81" s="6">
        <f t="shared" si="110"/>
        <v>0</v>
      </c>
      <c r="Z81" s="6">
        <f t="shared" si="110"/>
        <v>0</v>
      </c>
      <c r="AA81" s="6">
        <f t="shared" si="110"/>
        <v>0</v>
      </c>
      <c r="AB81" s="6">
        <f t="shared" si="110"/>
        <v>0</v>
      </c>
      <c r="AC81" s="67"/>
      <c r="AD81" s="55"/>
    </row>
    <row r="82" spans="1:30" s="52" customFormat="1">
      <c r="A82" s="98" t="s">
        <v>189</v>
      </c>
      <c r="B82" s="18">
        <v>2906653.7</v>
      </c>
      <c r="C82" s="235">
        <f t="shared" si="98"/>
        <v>242221.14</v>
      </c>
      <c r="D82" s="5"/>
      <c r="E82" s="5"/>
      <c r="F82" s="5">
        <v>0.67859999999999998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0.32140000000000002</v>
      </c>
      <c r="V82" s="5"/>
      <c r="W82" s="5"/>
      <c r="X82" s="5"/>
      <c r="Y82" s="5"/>
      <c r="Z82" s="5"/>
      <c r="AA82" s="5"/>
      <c r="AB82" s="5"/>
      <c r="AC82" s="67"/>
      <c r="AD82" s="55"/>
    </row>
    <row r="83" spans="1:30" s="52" customFormat="1">
      <c r="A83" s="97"/>
      <c r="B83" s="12"/>
      <c r="C83" s="235"/>
      <c r="D83" s="6">
        <f t="shared" ref="D83" si="111">$C82*D82</f>
        <v>0</v>
      </c>
      <c r="E83" s="6">
        <f t="shared" ref="E83" si="112">$C82*E82</f>
        <v>0</v>
      </c>
      <c r="F83" s="6">
        <f t="shared" ref="F83:AB83" si="113">$C82*F82</f>
        <v>164371.26560400001</v>
      </c>
      <c r="G83" s="6">
        <f t="shared" si="113"/>
        <v>0</v>
      </c>
      <c r="H83" s="6">
        <f t="shared" si="113"/>
        <v>0</v>
      </c>
      <c r="I83" s="6">
        <f t="shared" si="113"/>
        <v>0</v>
      </c>
      <c r="J83" s="6">
        <f t="shared" si="113"/>
        <v>0</v>
      </c>
      <c r="K83" s="6">
        <f t="shared" si="113"/>
        <v>0</v>
      </c>
      <c r="L83" s="6">
        <f t="shared" si="113"/>
        <v>0</v>
      </c>
      <c r="M83" s="6">
        <f t="shared" si="113"/>
        <v>0</v>
      </c>
      <c r="N83" s="6">
        <f t="shared" si="113"/>
        <v>0</v>
      </c>
      <c r="O83" s="6">
        <f t="shared" si="113"/>
        <v>0</v>
      </c>
      <c r="P83" s="6">
        <f t="shared" si="113"/>
        <v>0</v>
      </c>
      <c r="Q83" s="6">
        <f t="shared" si="113"/>
        <v>0</v>
      </c>
      <c r="R83" s="6">
        <f t="shared" si="113"/>
        <v>0</v>
      </c>
      <c r="S83" s="6">
        <f t="shared" si="113"/>
        <v>0</v>
      </c>
      <c r="T83" s="6">
        <f t="shared" si="113"/>
        <v>0</v>
      </c>
      <c r="U83" s="6">
        <f t="shared" si="113"/>
        <v>77849.874396000014</v>
      </c>
      <c r="V83" s="6">
        <f t="shared" si="113"/>
        <v>0</v>
      </c>
      <c r="W83" s="6">
        <f t="shared" si="113"/>
        <v>0</v>
      </c>
      <c r="X83" s="6">
        <f t="shared" si="113"/>
        <v>0</v>
      </c>
      <c r="Y83" s="6">
        <f t="shared" si="113"/>
        <v>0</v>
      </c>
      <c r="Z83" s="6">
        <f t="shared" si="113"/>
        <v>0</v>
      </c>
      <c r="AA83" s="6">
        <f t="shared" si="113"/>
        <v>0</v>
      </c>
      <c r="AB83" s="6">
        <f t="shared" si="113"/>
        <v>0</v>
      </c>
      <c r="AC83" s="67"/>
      <c r="AD83" s="55"/>
    </row>
    <row r="84" spans="1:30" s="52" customFormat="1">
      <c r="A84" s="98" t="s">
        <v>190</v>
      </c>
      <c r="B84" s="18">
        <f>510000.2/2</f>
        <v>255000.1</v>
      </c>
      <c r="C84" s="235">
        <f t="shared" si="98"/>
        <v>21250.01</v>
      </c>
      <c r="D84" s="170">
        <v>1.6500000000000001E-2</v>
      </c>
      <c r="E84" s="170">
        <v>0.1368</v>
      </c>
      <c r="F84" s="170">
        <v>5.7599999999999998E-2</v>
      </c>
      <c r="G84" s="170">
        <v>8.0399999999999999E-2</v>
      </c>
      <c r="H84" s="170">
        <v>4.1099999999999998E-2</v>
      </c>
      <c r="I84" s="170">
        <v>0.13389999999999999</v>
      </c>
      <c r="J84" s="170">
        <v>2.12E-2</v>
      </c>
      <c r="K84" s="170">
        <v>3.2500000000000001E-2</v>
      </c>
      <c r="L84" s="170">
        <v>1.7100000000000001E-2</v>
      </c>
      <c r="M84" s="170">
        <v>2.5999999999999999E-2</v>
      </c>
      <c r="N84" s="170">
        <v>0.13320000000000001</v>
      </c>
      <c r="O84" s="170">
        <v>1.89E-2</v>
      </c>
      <c r="P84" s="170">
        <v>0</v>
      </c>
      <c r="Q84" s="170">
        <v>3.8600000000000002E-2</v>
      </c>
      <c r="R84" s="170">
        <v>1.9E-2</v>
      </c>
      <c r="S84" s="170">
        <v>4.1999999999999997E-3</v>
      </c>
      <c r="T84" s="170">
        <v>5.3999999999999999E-2</v>
      </c>
      <c r="U84" s="170">
        <v>1.78E-2</v>
      </c>
      <c r="V84" s="170">
        <v>3.6700000000000003E-2</v>
      </c>
      <c r="W84" s="170">
        <v>4.7199999999999999E-2</v>
      </c>
      <c r="X84" s="170">
        <v>6.3899999999999998E-2</v>
      </c>
      <c r="Y84" s="170">
        <v>2.5999999999999999E-3</v>
      </c>
      <c r="Z84" s="171">
        <v>0</v>
      </c>
      <c r="AA84" s="171">
        <v>8.0000000000000004E-4</v>
      </c>
      <c r="AB84" s="171">
        <v>0</v>
      </c>
      <c r="AC84" s="67"/>
      <c r="AD84" s="55"/>
    </row>
    <row r="85" spans="1:30" s="52" customFormat="1">
      <c r="A85" s="97"/>
      <c r="B85" s="12"/>
      <c r="C85" s="235"/>
      <c r="D85" s="6">
        <f t="shared" ref="D85" si="114">$C84*D84</f>
        <v>350.62516499999998</v>
      </c>
      <c r="E85" s="6">
        <f t="shared" ref="E85" si="115">$C84*E84</f>
        <v>2907.0013679999997</v>
      </c>
      <c r="F85" s="6">
        <f t="shared" ref="F85:O85" si="116">$C84*F84</f>
        <v>1224.0005759999999</v>
      </c>
      <c r="G85" s="6">
        <f t="shared" si="116"/>
        <v>1708.5008039999998</v>
      </c>
      <c r="H85" s="6">
        <f t="shared" si="116"/>
        <v>873.37541099999987</v>
      </c>
      <c r="I85" s="6">
        <f t="shared" si="116"/>
        <v>2845.3763389999995</v>
      </c>
      <c r="J85" s="6">
        <f t="shared" si="116"/>
        <v>450.50021199999998</v>
      </c>
      <c r="K85" s="6">
        <f t="shared" si="116"/>
        <v>690.62532499999998</v>
      </c>
      <c r="L85" s="6">
        <f t="shared" si="116"/>
        <v>363.37517099999997</v>
      </c>
      <c r="M85" s="6">
        <f t="shared" si="116"/>
        <v>552.50025999999991</v>
      </c>
      <c r="N85" s="6">
        <f t="shared" si="116"/>
        <v>2830.5013320000003</v>
      </c>
      <c r="O85" s="6">
        <f t="shared" si="116"/>
        <v>401.62518899999998</v>
      </c>
      <c r="P85" s="6">
        <f t="shared" ref="P85" si="117">$C84*P84</f>
        <v>0</v>
      </c>
      <c r="Q85" s="6">
        <f t="shared" ref="Q85" si="118">$C84*Q84</f>
        <v>820.25038599999993</v>
      </c>
      <c r="R85" s="6">
        <f t="shared" ref="R85:AB85" si="119">$C84*R84</f>
        <v>403.75018999999998</v>
      </c>
      <c r="S85" s="6">
        <f t="shared" si="119"/>
        <v>89.250041999999993</v>
      </c>
      <c r="T85" s="6">
        <f t="shared" si="119"/>
        <v>1147.50054</v>
      </c>
      <c r="U85" s="6">
        <f t="shared" si="119"/>
        <v>378.25017799999995</v>
      </c>
      <c r="V85" s="6">
        <f t="shared" si="119"/>
        <v>779.87536699999998</v>
      </c>
      <c r="W85" s="6">
        <f t="shared" si="119"/>
        <v>1003.0004719999999</v>
      </c>
      <c r="X85" s="6">
        <f t="shared" si="119"/>
        <v>1357.8756389999999</v>
      </c>
      <c r="Y85" s="6">
        <f t="shared" si="119"/>
        <v>55.250025999999991</v>
      </c>
      <c r="Z85" s="6">
        <f t="shared" si="119"/>
        <v>0</v>
      </c>
      <c r="AA85" s="6">
        <f t="shared" si="119"/>
        <v>17.000008000000001</v>
      </c>
      <c r="AB85" s="6">
        <f t="shared" si="119"/>
        <v>0</v>
      </c>
      <c r="AC85" s="67"/>
      <c r="AD85" s="55"/>
    </row>
    <row r="86" spans="1:30" s="52" customFormat="1">
      <c r="A86" s="98" t="s">
        <v>406</v>
      </c>
      <c r="B86" s="18">
        <f>510000.2/2</f>
        <v>255000.1</v>
      </c>
      <c r="C86" s="235">
        <f t="shared" si="98"/>
        <v>21250.01</v>
      </c>
      <c r="D86" s="42"/>
      <c r="E86" s="42"/>
      <c r="F86" s="172">
        <v>0.16109999999999999</v>
      </c>
      <c r="G86" s="42"/>
      <c r="H86" s="172">
        <v>0.13320000000000001</v>
      </c>
      <c r="I86" s="42"/>
      <c r="J86" s="42"/>
      <c r="K86" s="42"/>
      <c r="L86" s="42"/>
      <c r="M86" s="42"/>
      <c r="N86" s="172">
        <v>0.55420000000000003</v>
      </c>
      <c r="O86" s="42"/>
      <c r="P86" s="42"/>
      <c r="Q86" s="42"/>
      <c r="R86" s="42"/>
      <c r="S86" s="42"/>
      <c r="T86" s="42"/>
      <c r="U86" s="42"/>
      <c r="V86" s="172">
        <v>0.1515</v>
      </c>
      <c r="W86" s="42"/>
      <c r="X86" s="42"/>
      <c r="Y86" s="42"/>
      <c r="Z86" s="42"/>
      <c r="AA86" s="42"/>
      <c r="AB86" s="42"/>
      <c r="AC86" s="67"/>
      <c r="AD86" s="55"/>
    </row>
    <row r="87" spans="1:30" s="52" customFormat="1">
      <c r="A87" s="97"/>
      <c r="B87" s="12"/>
      <c r="C87" s="235"/>
      <c r="D87" s="7">
        <f t="shared" ref="D87" si="120">$C86*D86</f>
        <v>0</v>
      </c>
      <c r="E87" s="7">
        <f t="shared" ref="E87" si="121">$C86*E86</f>
        <v>0</v>
      </c>
      <c r="F87" s="7">
        <f t="shared" ref="F87:AB87" si="122">$C86*F86</f>
        <v>3423.3766109999997</v>
      </c>
      <c r="G87" s="7">
        <f t="shared" si="122"/>
        <v>0</v>
      </c>
      <c r="H87" s="7">
        <f t="shared" si="122"/>
        <v>2830.5013320000003</v>
      </c>
      <c r="I87" s="7">
        <f t="shared" si="122"/>
        <v>0</v>
      </c>
      <c r="J87" s="7">
        <f t="shared" si="122"/>
        <v>0</v>
      </c>
      <c r="K87" s="7">
        <f t="shared" si="122"/>
        <v>0</v>
      </c>
      <c r="L87" s="7">
        <f t="shared" si="122"/>
        <v>0</v>
      </c>
      <c r="M87" s="7">
        <f t="shared" si="122"/>
        <v>0</v>
      </c>
      <c r="N87" s="7">
        <f t="shared" si="122"/>
        <v>11776.755541999999</v>
      </c>
      <c r="O87" s="7">
        <f t="shared" si="122"/>
        <v>0</v>
      </c>
      <c r="P87" s="7">
        <f t="shared" si="122"/>
        <v>0</v>
      </c>
      <c r="Q87" s="7">
        <f t="shared" si="122"/>
        <v>0</v>
      </c>
      <c r="R87" s="7">
        <f t="shared" si="122"/>
        <v>0</v>
      </c>
      <c r="S87" s="7">
        <f t="shared" si="122"/>
        <v>0</v>
      </c>
      <c r="T87" s="7">
        <f t="shared" si="122"/>
        <v>0</v>
      </c>
      <c r="U87" s="7">
        <f t="shared" si="122"/>
        <v>0</v>
      </c>
      <c r="V87" s="7">
        <f t="shared" si="122"/>
        <v>3219.3765149999995</v>
      </c>
      <c r="W87" s="7">
        <f t="shared" si="122"/>
        <v>0</v>
      </c>
      <c r="X87" s="7">
        <f t="shared" si="122"/>
        <v>0</v>
      </c>
      <c r="Y87" s="7">
        <f t="shared" si="122"/>
        <v>0</v>
      </c>
      <c r="Z87" s="7">
        <f t="shared" si="122"/>
        <v>0</v>
      </c>
      <c r="AA87" s="7">
        <f t="shared" si="122"/>
        <v>0</v>
      </c>
      <c r="AB87" s="7">
        <f t="shared" si="122"/>
        <v>0</v>
      </c>
      <c r="AC87" s="67"/>
      <c r="AD87" s="55"/>
    </row>
    <row r="88" spans="1:30" s="52" customFormat="1">
      <c r="A88" s="98" t="s">
        <v>191</v>
      </c>
      <c r="B88" s="18">
        <f>4493734.5/2</f>
        <v>2246867.25</v>
      </c>
      <c r="C88" s="235">
        <f t="shared" si="98"/>
        <v>187238.94</v>
      </c>
      <c r="D88" s="170">
        <v>1.6500000000000001E-2</v>
      </c>
      <c r="E88" s="170">
        <v>0.1368</v>
      </c>
      <c r="F88" s="170">
        <v>5.7599999999999998E-2</v>
      </c>
      <c r="G88" s="170">
        <v>8.0399999999999999E-2</v>
      </c>
      <c r="H88" s="170">
        <v>4.1099999999999998E-2</v>
      </c>
      <c r="I88" s="170">
        <v>0.13389999999999999</v>
      </c>
      <c r="J88" s="170">
        <v>2.12E-2</v>
      </c>
      <c r="K88" s="170">
        <v>3.2500000000000001E-2</v>
      </c>
      <c r="L88" s="170">
        <v>1.7100000000000001E-2</v>
      </c>
      <c r="M88" s="170">
        <v>2.5999999999999999E-2</v>
      </c>
      <c r="N88" s="170">
        <v>0.13320000000000001</v>
      </c>
      <c r="O88" s="170">
        <v>1.89E-2</v>
      </c>
      <c r="P88" s="170">
        <v>0</v>
      </c>
      <c r="Q88" s="170">
        <v>3.8600000000000002E-2</v>
      </c>
      <c r="R88" s="170">
        <v>1.9E-2</v>
      </c>
      <c r="S88" s="170">
        <v>4.1999999999999997E-3</v>
      </c>
      <c r="T88" s="170">
        <v>5.3999999999999999E-2</v>
      </c>
      <c r="U88" s="170">
        <v>1.78E-2</v>
      </c>
      <c r="V88" s="170">
        <v>3.6700000000000003E-2</v>
      </c>
      <c r="W88" s="170">
        <v>4.7199999999999999E-2</v>
      </c>
      <c r="X88" s="170">
        <v>6.3899999999999998E-2</v>
      </c>
      <c r="Y88" s="170">
        <v>2.5999999999999999E-3</v>
      </c>
      <c r="Z88" s="171">
        <v>0</v>
      </c>
      <c r="AA88" s="171">
        <v>8.0000000000000004E-4</v>
      </c>
      <c r="AB88" s="171">
        <v>0</v>
      </c>
      <c r="AC88" s="67"/>
      <c r="AD88" s="55"/>
    </row>
    <row r="89" spans="1:30" s="52" customFormat="1">
      <c r="A89" s="97"/>
      <c r="B89" s="12"/>
      <c r="C89" s="235"/>
      <c r="D89" s="6">
        <f t="shared" ref="D89" si="123">$C88*D88</f>
        <v>3089.4425100000003</v>
      </c>
      <c r="E89" s="6">
        <f t="shared" ref="E89" si="124">$C88*E88</f>
        <v>25614.286992000001</v>
      </c>
      <c r="F89" s="6">
        <f t="shared" ref="F89:O89" si="125">$C88*F88</f>
        <v>10784.962943999999</v>
      </c>
      <c r="G89" s="6">
        <f t="shared" si="125"/>
        <v>15054.010775999999</v>
      </c>
      <c r="H89" s="6">
        <f t="shared" si="125"/>
        <v>7695.520434</v>
      </c>
      <c r="I89" s="6">
        <f t="shared" si="125"/>
        <v>25071.294065999999</v>
      </c>
      <c r="J89" s="6">
        <f t="shared" si="125"/>
        <v>3969.4655280000002</v>
      </c>
      <c r="K89" s="6">
        <f t="shared" si="125"/>
        <v>6085.2655500000001</v>
      </c>
      <c r="L89" s="6">
        <f t="shared" si="125"/>
        <v>3201.7858740000001</v>
      </c>
      <c r="M89" s="6">
        <f t="shared" si="125"/>
        <v>4868.2124400000002</v>
      </c>
      <c r="N89" s="6">
        <f t="shared" si="125"/>
        <v>24940.226808000003</v>
      </c>
      <c r="O89" s="6">
        <f t="shared" si="125"/>
        <v>3538.8159660000001</v>
      </c>
      <c r="P89" s="6">
        <f t="shared" ref="P89" si="126">$C88*P88</f>
        <v>0</v>
      </c>
      <c r="Q89" s="6">
        <f t="shared" ref="Q89" si="127">$C88*Q88</f>
        <v>7227.4230840000009</v>
      </c>
      <c r="R89" s="6">
        <f t="shared" ref="R89:AB89" si="128">$C88*R88</f>
        <v>3557.5398599999999</v>
      </c>
      <c r="S89" s="6">
        <f t="shared" si="128"/>
        <v>786.403548</v>
      </c>
      <c r="T89" s="6">
        <f t="shared" si="128"/>
        <v>10110.902760000001</v>
      </c>
      <c r="U89" s="6">
        <f t="shared" si="128"/>
        <v>3332.8531320000002</v>
      </c>
      <c r="V89" s="6">
        <f t="shared" si="128"/>
        <v>6871.6690980000003</v>
      </c>
      <c r="W89" s="6">
        <f t="shared" si="128"/>
        <v>8837.677968</v>
      </c>
      <c r="X89" s="6">
        <f t="shared" si="128"/>
        <v>11964.568266</v>
      </c>
      <c r="Y89" s="6">
        <f t="shared" si="128"/>
        <v>486.82124399999998</v>
      </c>
      <c r="Z89" s="6">
        <f t="shared" si="128"/>
        <v>0</v>
      </c>
      <c r="AA89" s="6">
        <f t="shared" si="128"/>
        <v>149.79115200000001</v>
      </c>
      <c r="AB89" s="6">
        <f t="shared" si="128"/>
        <v>0</v>
      </c>
      <c r="AC89" s="67"/>
      <c r="AD89" s="55"/>
    </row>
    <row r="90" spans="1:30" s="52" customFormat="1">
      <c r="A90" s="98" t="s">
        <v>466</v>
      </c>
      <c r="B90" s="18">
        <f>4493734.5/2</f>
        <v>2246867.25</v>
      </c>
      <c r="C90" s="235">
        <f t="shared" si="98"/>
        <v>187238.94</v>
      </c>
      <c r="D90" s="42"/>
      <c r="E90" s="42"/>
      <c r="F90" s="42"/>
      <c r="G90" s="42"/>
      <c r="H90" s="172">
        <v>0.59089999999999998</v>
      </c>
      <c r="I90" s="42"/>
      <c r="J90" s="42"/>
      <c r="K90" s="42"/>
      <c r="L90" s="42"/>
      <c r="M90" s="172">
        <v>0.16619999999999999</v>
      </c>
      <c r="N90" s="42"/>
      <c r="O90" s="42"/>
      <c r="P90" s="42"/>
      <c r="Q90" s="42"/>
      <c r="R90" s="172">
        <v>0.2429</v>
      </c>
      <c r="S90" s="42"/>
      <c r="T90" s="172">
        <v>0</v>
      </c>
      <c r="U90" s="42"/>
      <c r="V90" s="42"/>
      <c r="W90" s="42"/>
      <c r="X90" s="42"/>
      <c r="Y90" s="42"/>
      <c r="Z90" s="42"/>
      <c r="AA90" s="42"/>
      <c r="AB90" s="42"/>
      <c r="AC90" s="67"/>
      <c r="AD90" s="55"/>
    </row>
    <row r="91" spans="1:30" s="52" customFormat="1">
      <c r="A91" s="97"/>
      <c r="B91" s="12"/>
      <c r="C91" s="235"/>
      <c r="D91" s="7">
        <f t="shared" ref="D91" si="129">$C90*D90</f>
        <v>0</v>
      </c>
      <c r="E91" s="7">
        <f t="shared" ref="E91" si="130">$C90*E90</f>
        <v>0</v>
      </c>
      <c r="F91" s="7">
        <f t="shared" ref="F91:AB91" si="131">$C90*F90</f>
        <v>0</v>
      </c>
      <c r="G91" s="7">
        <f t="shared" si="131"/>
        <v>0</v>
      </c>
      <c r="H91" s="7">
        <f t="shared" si="131"/>
        <v>110639.489646</v>
      </c>
      <c r="I91" s="7">
        <f t="shared" si="131"/>
        <v>0</v>
      </c>
      <c r="J91" s="7">
        <f t="shared" si="131"/>
        <v>0</v>
      </c>
      <c r="K91" s="7">
        <f t="shared" si="131"/>
        <v>0</v>
      </c>
      <c r="L91" s="7">
        <f t="shared" si="131"/>
        <v>0</v>
      </c>
      <c r="M91" s="7">
        <f t="shared" si="131"/>
        <v>31119.111827999997</v>
      </c>
      <c r="N91" s="7">
        <f t="shared" si="131"/>
        <v>0</v>
      </c>
      <c r="O91" s="7">
        <f t="shared" si="131"/>
        <v>0</v>
      </c>
      <c r="P91" s="7">
        <f t="shared" si="131"/>
        <v>0</v>
      </c>
      <c r="Q91" s="7">
        <f t="shared" si="131"/>
        <v>0</v>
      </c>
      <c r="R91" s="7">
        <f t="shared" si="131"/>
        <v>45480.338526</v>
      </c>
      <c r="S91" s="7">
        <f t="shared" si="131"/>
        <v>0</v>
      </c>
      <c r="T91" s="7">
        <f t="shared" si="131"/>
        <v>0</v>
      </c>
      <c r="U91" s="7">
        <f t="shared" si="131"/>
        <v>0</v>
      </c>
      <c r="V91" s="7">
        <f t="shared" si="131"/>
        <v>0</v>
      </c>
      <c r="W91" s="7">
        <f t="shared" si="131"/>
        <v>0</v>
      </c>
      <c r="X91" s="7">
        <f t="shared" si="131"/>
        <v>0</v>
      </c>
      <c r="Y91" s="7">
        <f t="shared" si="131"/>
        <v>0</v>
      </c>
      <c r="Z91" s="7">
        <f t="shared" si="131"/>
        <v>0</v>
      </c>
      <c r="AA91" s="7">
        <f t="shared" si="131"/>
        <v>0</v>
      </c>
      <c r="AB91" s="7">
        <f t="shared" si="131"/>
        <v>0</v>
      </c>
      <c r="AC91" s="67"/>
      <c r="AD91" s="55"/>
    </row>
    <row r="92" spans="1:30" s="52" customFormat="1">
      <c r="A92" s="98" t="s">
        <v>318</v>
      </c>
      <c r="B92" s="18">
        <f>7607762.7/2</f>
        <v>3803881.35</v>
      </c>
      <c r="C92" s="235">
        <f t="shared" si="98"/>
        <v>316990.11</v>
      </c>
      <c r="D92" s="170">
        <v>1.6500000000000001E-2</v>
      </c>
      <c r="E92" s="170">
        <v>0.1368</v>
      </c>
      <c r="F92" s="170">
        <v>5.7599999999999998E-2</v>
      </c>
      <c r="G92" s="170">
        <v>8.0399999999999999E-2</v>
      </c>
      <c r="H92" s="170">
        <v>4.1099999999999998E-2</v>
      </c>
      <c r="I92" s="170">
        <v>0.13389999999999999</v>
      </c>
      <c r="J92" s="170">
        <v>2.12E-2</v>
      </c>
      <c r="K92" s="170">
        <v>3.2500000000000001E-2</v>
      </c>
      <c r="L92" s="170">
        <v>1.7100000000000001E-2</v>
      </c>
      <c r="M92" s="170">
        <v>2.5999999999999999E-2</v>
      </c>
      <c r="N92" s="170">
        <v>0.13320000000000001</v>
      </c>
      <c r="O92" s="170">
        <v>1.89E-2</v>
      </c>
      <c r="P92" s="170">
        <v>0</v>
      </c>
      <c r="Q92" s="170">
        <v>3.8600000000000002E-2</v>
      </c>
      <c r="R92" s="170">
        <v>1.9E-2</v>
      </c>
      <c r="S92" s="170">
        <v>4.1999999999999997E-3</v>
      </c>
      <c r="T92" s="170">
        <v>5.3999999999999999E-2</v>
      </c>
      <c r="U92" s="170">
        <v>1.78E-2</v>
      </c>
      <c r="V92" s="170">
        <v>3.6700000000000003E-2</v>
      </c>
      <c r="W92" s="170">
        <v>4.7199999999999999E-2</v>
      </c>
      <c r="X92" s="170">
        <v>6.3899999999999998E-2</v>
      </c>
      <c r="Y92" s="170">
        <v>2.5999999999999999E-3</v>
      </c>
      <c r="Z92" s="171">
        <v>0</v>
      </c>
      <c r="AA92" s="171">
        <v>8.0000000000000004E-4</v>
      </c>
      <c r="AB92" s="171">
        <v>0</v>
      </c>
      <c r="AC92" s="67"/>
      <c r="AD92" s="55"/>
    </row>
    <row r="93" spans="1:30" s="52" customFormat="1">
      <c r="A93" s="97"/>
      <c r="B93" s="12"/>
      <c r="C93" s="235"/>
      <c r="D93" s="6">
        <f t="shared" ref="D93" si="132">$C92*D92</f>
        <v>5230.3368149999997</v>
      </c>
      <c r="E93" s="6">
        <f t="shared" ref="E93" si="133">$C92*E92</f>
        <v>43364.247047999997</v>
      </c>
      <c r="F93" s="6">
        <f t="shared" ref="F93:AB93" si="134">$C92*F92</f>
        <v>18258.630335999998</v>
      </c>
      <c r="G93" s="6">
        <f t="shared" si="134"/>
        <v>25486.004843999999</v>
      </c>
      <c r="H93" s="6">
        <f t="shared" si="134"/>
        <v>13028.293520999998</v>
      </c>
      <c r="I93" s="6">
        <f t="shared" si="134"/>
        <v>42444.975728999998</v>
      </c>
      <c r="J93" s="6">
        <f t="shared" si="134"/>
        <v>6720.1903320000001</v>
      </c>
      <c r="K93" s="6">
        <f t="shared" si="134"/>
        <v>10302.178575</v>
      </c>
      <c r="L93" s="6">
        <f t="shared" si="134"/>
        <v>5420.5308809999997</v>
      </c>
      <c r="M93" s="6">
        <f t="shared" si="134"/>
        <v>8241.7428599999985</v>
      </c>
      <c r="N93" s="6">
        <f t="shared" si="134"/>
        <v>42223.082652000005</v>
      </c>
      <c r="O93" s="6">
        <f t="shared" si="134"/>
        <v>5991.1130789999997</v>
      </c>
      <c r="P93" s="6">
        <f t="shared" si="134"/>
        <v>0</v>
      </c>
      <c r="Q93" s="6">
        <f t="shared" si="134"/>
        <v>12235.818246000001</v>
      </c>
      <c r="R93" s="6">
        <f t="shared" si="134"/>
        <v>6022.8120899999994</v>
      </c>
      <c r="S93" s="6">
        <f t="shared" si="134"/>
        <v>1331.3584619999999</v>
      </c>
      <c r="T93" s="6">
        <f t="shared" si="134"/>
        <v>17117.465939999998</v>
      </c>
      <c r="U93" s="6">
        <f t="shared" si="134"/>
        <v>5642.4239579999994</v>
      </c>
      <c r="V93" s="6">
        <f t="shared" si="134"/>
        <v>11633.537037</v>
      </c>
      <c r="W93" s="6">
        <f t="shared" si="134"/>
        <v>14961.933191999999</v>
      </c>
      <c r="X93" s="6">
        <f t="shared" si="134"/>
        <v>20255.668029</v>
      </c>
      <c r="Y93" s="6">
        <f t="shared" si="134"/>
        <v>824.17428599999994</v>
      </c>
      <c r="Z93" s="6">
        <f t="shared" si="134"/>
        <v>0</v>
      </c>
      <c r="AA93" s="6">
        <f t="shared" si="134"/>
        <v>253.59208799999999</v>
      </c>
      <c r="AB93" s="6">
        <f t="shared" si="134"/>
        <v>0</v>
      </c>
      <c r="AC93" s="67"/>
      <c r="AD93" s="55"/>
    </row>
    <row r="94" spans="1:30" s="52" customFormat="1">
      <c r="A94" s="98" t="s">
        <v>407</v>
      </c>
      <c r="B94" s="18">
        <f>7607762.7/2</f>
        <v>3803881.35</v>
      </c>
      <c r="C94" s="235">
        <f t="shared" si="98"/>
        <v>316990.11</v>
      </c>
      <c r="D94" s="42"/>
      <c r="E94" s="42"/>
      <c r="F94" s="172">
        <v>0.22570000000000001</v>
      </c>
      <c r="G94" s="42"/>
      <c r="H94" s="172">
        <v>7.2700000000000001E-2</v>
      </c>
      <c r="I94" s="42"/>
      <c r="J94" s="42"/>
      <c r="K94" s="42"/>
      <c r="L94" s="42"/>
      <c r="M94" s="42"/>
      <c r="N94" s="172">
        <v>0.56769999999999998</v>
      </c>
      <c r="O94" s="42"/>
      <c r="P94" s="42"/>
      <c r="Q94" s="42"/>
      <c r="R94" s="42"/>
      <c r="S94" s="42"/>
      <c r="T94" s="42"/>
      <c r="U94" s="42"/>
      <c r="V94" s="172">
        <v>0.13389999999999999</v>
      </c>
      <c r="W94" s="42"/>
      <c r="X94" s="42"/>
      <c r="Y94" s="42"/>
      <c r="Z94" s="42"/>
      <c r="AA94" s="42"/>
      <c r="AB94" s="42"/>
      <c r="AC94" s="67"/>
      <c r="AD94" s="55"/>
    </row>
    <row r="95" spans="1:30" s="52" customFormat="1">
      <c r="A95" s="97"/>
      <c r="B95" s="12"/>
      <c r="C95" s="235"/>
      <c r="D95" s="7">
        <f t="shared" ref="D95" si="135">$C94*D94</f>
        <v>0</v>
      </c>
      <c r="E95" s="7">
        <f t="shared" ref="E95" si="136">$C94*E94</f>
        <v>0</v>
      </c>
      <c r="F95" s="7">
        <f t="shared" ref="F95:AB95" si="137">$C94*F94</f>
        <v>71544.667826999997</v>
      </c>
      <c r="G95" s="7">
        <f t="shared" si="137"/>
        <v>0</v>
      </c>
      <c r="H95" s="7">
        <f t="shared" si="137"/>
        <v>23045.180996999999</v>
      </c>
      <c r="I95" s="7">
        <f t="shared" si="137"/>
        <v>0</v>
      </c>
      <c r="J95" s="7">
        <f t="shared" si="137"/>
        <v>0</v>
      </c>
      <c r="K95" s="7">
        <f t="shared" si="137"/>
        <v>0</v>
      </c>
      <c r="L95" s="7">
        <f t="shared" si="137"/>
        <v>0</v>
      </c>
      <c r="M95" s="7">
        <f t="shared" si="137"/>
        <v>0</v>
      </c>
      <c r="N95" s="7">
        <f t="shared" si="137"/>
        <v>179955.28544699997</v>
      </c>
      <c r="O95" s="7">
        <f t="shared" si="137"/>
        <v>0</v>
      </c>
      <c r="P95" s="7">
        <f t="shared" si="137"/>
        <v>0</v>
      </c>
      <c r="Q95" s="7">
        <f t="shared" si="137"/>
        <v>0</v>
      </c>
      <c r="R95" s="7">
        <f t="shared" si="137"/>
        <v>0</v>
      </c>
      <c r="S95" s="7">
        <f t="shared" si="137"/>
        <v>0</v>
      </c>
      <c r="T95" s="7">
        <f t="shared" si="137"/>
        <v>0</v>
      </c>
      <c r="U95" s="7">
        <f t="shared" si="137"/>
        <v>0</v>
      </c>
      <c r="V95" s="7">
        <f t="shared" si="137"/>
        <v>42444.975728999998</v>
      </c>
      <c r="W95" s="7">
        <f t="shared" si="137"/>
        <v>0</v>
      </c>
      <c r="X95" s="7">
        <f t="shared" si="137"/>
        <v>0</v>
      </c>
      <c r="Y95" s="7">
        <f t="shared" si="137"/>
        <v>0</v>
      </c>
      <c r="Z95" s="7">
        <f t="shared" si="137"/>
        <v>0</v>
      </c>
      <c r="AA95" s="7">
        <f t="shared" si="137"/>
        <v>0</v>
      </c>
      <c r="AB95" s="7">
        <f t="shared" si="137"/>
        <v>0</v>
      </c>
      <c r="AC95" s="67"/>
      <c r="AD95" s="55"/>
    </row>
    <row r="96" spans="1:30" s="52" customFormat="1">
      <c r="A96" s="98" t="s">
        <v>192</v>
      </c>
      <c r="B96" s="18">
        <v>6271403.9199999999</v>
      </c>
      <c r="C96" s="235">
        <f t="shared" si="98"/>
        <v>522616.99</v>
      </c>
      <c r="D96" s="5"/>
      <c r="E96" s="5"/>
      <c r="F96" s="5">
        <v>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7"/>
      <c r="AD96" s="55"/>
    </row>
    <row r="97" spans="1:30" s="52" customFormat="1">
      <c r="A97" s="97"/>
      <c r="B97" s="12"/>
      <c r="C97" s="235"/>
      <c r="D97" s="6">
        <f t="shared" ref="D97" si="138">$C96*D96</f>
        <v>0</v>
      </c>
      <c r="E97" s="6">
        <f t="shared" ref="E97" si="139">$C96*E96</f>
        <v>0</v>
      </c>
      <c r="F97" s="6">
        <f t="shared" ref="F97:AB97" si="140">$C96*F96</f>
        <v>522616.99</v>
      </c>
      <c r="G97" s="6">
        <f t="shared" si="140"/>
        <v>0</v>
      </c>
      <c r="H97" s="6">
        <f t="shared" si="140"/>
        <v>0</v>
      </c>
      <c r="I97" s="6">
        <f t="shared" si="140"/>
        <v>0</v>
      </c>
      <c r="J97" s="6">
        <f t="shared" si="140"/>
        <v>0</v>
      </c>
      <c r="K97" s="6">
        <f t="shared" si="140"/>
        <v>0</v>
      </c>
      <c r="L97" s="6">
        <f t="shared" si="140"/>
        <v>0</v>
      </c>
      <c r="M97" s="6">
        <f t="shared" si="140"/>
        <v>0</v>
      </c>
      <c r="N97" s="6">
        <f t="shared" si="140"/>
        <v>0</v>
      </c>
      <c r="O97" s="6">
        <f t="shared" si="140"/>
        <v>0</v>
      </c>
      <c r="P97" s="6">
        <f t="shared" si="140"/>
        <v>0</v>
      </c>
      <c r="Q97" s="6">
        <f t="shared" si="140"/>
        <v>0</v>
      </c>
      <c r="R97" s="6">
        <f t="shared" si="140"/>
        <v>0</v>
      </c>
      <c r="S97" s="6">
        <f t="shared" si="140"/>
        <v>0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7"/>
      <c r="AD97" s="55"/>
    </row>
    <row r="98" spans="1:30" s="52" customFormat="1">
      <c r="A98" s="98" t="s">
        <v>193</v>
      </c>
      <c r="B98" s="18">
        <v>340043.14</v>
      </c>
      <c r="C98" s="235">
        <f t="shared" si="98"/>
        <v>28336.93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1</v>
      </c>
      <c r="V98" s="5"/>
      <c r="W98" s="5"/>
      <c r="X98" s="5"/>
      <c r="Y98" s="5"/>
      <c r="Z98" s="5"/>
      <c r="AA98" s="5"/>
      <c r="AB98" s="5"/>
      <c r="AC98" s="67"/>
      <c r="AD98" s="55"/>
    </row>
    <row r="99" spans="1:30" s="52" customFormat="1">
      <c r="A99" s="97"/>
      <c r="B99" s="12"/>
      <c r="C99" s="235"/>
      <c r="D99" s="6">
        <f t="shared" ref="D99" si="141">$C98*D98</f>
        <v>0</v>
      </c>
      <c r="E99" s="6">
        <f t="shared" ref="E99" si="142">$C98*E98</f>
        <v>0</v>
      </c>
      <c r="F99" s="6">
        <f t="shared" ref="F99:AB99" si="143">$C98*F98</f>
        <v>0</v>
      </c>
      <c r="G99" s="6">
        <f t="shared" si="143"/>
        <v>0</v>
      </c>
      <c r="H99" s="6">
        <f t="shared" si="143"/>
        <v>0</v>
      </c>
      <c r="I99" s="6">
        <f t="shared" si="143"/>
        <v>0</v>
      </c>
      <c r="J99" s="6">
        <f t="shared" si="143"/>
        <v>0</v>
      </c>
      <c r="K99" s="6">
        <f t="shared" si="143"/>
        <v>0</v>
      </c>
      <c r="L99" s="6">
        <f t="shared" si="143"/>
        <v>0</v>
      </c>
      <c r="M99" s="6">
        <f t="shared" si="143"/>
        <v>0</v>
      </c>
      <c r="N99" s="6">
        <f t="shared" si="143"/>
        <v>0</v>
      </c>
      <c r="O99" s="6">
        <f t="shared" si="143"/>
        <v>0</v>
      </c>
      <c r="P99" s="6">
        <f t="shared" si="143"/>
        <v>0</v>
      </c>
      <c r="Q99" s="6">
        <f t="shared" si="143"/>
        <v>0</v>
      </c>
      <c r="R99" s="6">
        <f t="shared" si="143"/>
        <v>0</v>
      </c>
      <c r="S99" s="6">
        <f t="shared" si="143"/>
        <v>0</v>
      </c>
      <c r="T99" s="6">
        <f t="shared" si="143"/>
        <v>0</v>
      </c>
      <c r="U99" s="6">
        <f t="shared" si="143"/>
        <v>28336.93</v>
      </c>
      <c r="V99" s="6">
        <f t="shared" si="143"/>
        <v>0</v>
      </c>
      <c r="W99" s="6">
        <f t="shared" si="143"/>
        <v>0</v>
      </c>
      <c r="X99" s="6">
        <f t="shared" si="143"/>
        <v>0</v>
      </c>
      <c r="Y99" s="6">
        <f t="shared" si="143"/>
        <v>0</v>
      </c>
      <c r="Z99" s="6">
        <f t="shared" si="143"/>
        <v>0</v>
      </c>
      <c r="AA99" s="6">
        <f t="shared" si="143"/>
        <v>0</v>
      </c>
      <c r="AB99" s="6">
        <f t="shared" si="143"/>
        <v>0</v>
      </c>
      <c r="AC99" s="67"/>
      <c r="AD99" s="55"/>
    </row>
    <row r="100" spans="1:30" s="52" customFormat="1">
      <c r="A100" s="98" t="s">
        <v>194</v>
      </c>
      <c r="B100" s="18">
        <v>995227.28</v>
      </c>
      <c r="C100" s="235">
        <f t="shared" si="98"/>
        <v>82935.61</v>
      </c>
      <c r="D100" s="5"/>
      <c r="E100" s="5"/>
      <c r="F100" s="5">
        <v>4.8599999999999997E-2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v>0.95140000000000002</v>
      </c>
      <c r="V100" s="5"/>
      <c r="W100" s="5"/>
      <c r="X100" s="5"/>
      <c r="Y100" s="5"/>
      <c r="Z100" s="5"/>
      <c r="AA100" s="5"/>
      <c r="AB100" s="5"/>
      <c r="AC100" s="67"/>
      <c r="AD100" s="55"/>
    </row>
    <row r="101" spans="1:30" s="52" customFormat="1">
      <c r="A101" s="97" t="s">
        <v>195</v>
      </c>
      <c r="B101" s="12"/>
      <c r="C101" s="235"/>
      <c r="D101" s="6">
        <f t="shared" ref="D101" si="144">$C100*D100</f>
        <v>0</v>
      </c>
      <c r="E101" s="6">
        <f t="shared" ref="E101" si="145">$C100*E100</f>
        <v>0</v>
      </c>
      <c r="F101" s="6">
        <f t="shared" ref="F101:AB101" si="146">$C100*F100</f>
        <v>4030.670646</v>
      </c>
      <c r="G101" s="6">
        <f t="shared" si="146"/>
        <v>0</v>
      </c>
      <c r="H101" s="6">
        <f t="shared" si="146"/>
        <v>0</v>
      </c>
      <c r="I101" s="6">
        <f t="shared" si="146"/>
        <v>0</v>
      </c>
      <c r="J101" s="6">
        <f t="shared" si="146"/>
        <v>0</v>
      </c>
      <c r="K101" s="6">
        <f t="shared" si="146"/>
        <v>0</v>
      </c>
      <c r="L101" s="6">
        <f t="shared" si="146"/>
        <v>0</v>
      </c>
      <c r="M101" s="6">
        <f t="shared" si="146"/>
        <v>0</v>
      </c>
      <c r="N101" s="6">
        <f t="shared" si="146"/>
        <v>0</v>
      </c>
      <c r="O101" s="6">
        <f t="shared" si="146"/>
        <v>0</v>
      </c>
      <c r="P101" s="6">
        <f t="shared" si="146"/>
        <v>0</v>
      </c>
      <c r="Q101" s="6">
        <f t="shared" si="146"/>
        <v>0</v>
      </c>
      <c r="R101" s="6">
        <f t="shared" si="146"/>
        <v>0</v>
      </c>
      <c r="S101" s="6">
        <f t="shared" si="146"/>
        <v>0</v>
      </c>
      <c r="T101" s="6">
        <f t="shared" si="146"/>
        <v>0</v>
      </c>
      <c r="U101" s="6">
        <f t="shared" si="146"/>
        <v>78904.939354000002</v>
      </c>
      <c r="V101" s="6">
        <f t="shared" si="146"/>
        <v>0</v>
      </c>
      <c r="W101" s="6">
        <f t="shared" si="146"/>
        <v>0</v>
      </c>
      <c r="X101" s="6">
        <f t="shared" si="146"/>
        <v>0</v>
      </c>
      <c r="Y101" s="6">
        <f t="shared" si="146"/>
        <v>0</v>
      </c>
      <c r="Z101" s="6">
        <f t="shared" si="146"/>
        <v>0</v>
      </c>
      <c r="AA101" s="6">
        <f t="shared" si="146"/>
        <v>0</v>
      </c>
      <c r="AB101" s="6">
        <f t="shared" si="146"/>
        <v>0</v>
      </c>
      <c r="AC101" s="67"/>
      <c r="AD101" s="55"/>
    </row>
    <row r="102" spans="1:30" s="52" customFormat="1">
      <c r="A102" s="98" t="s">
        <v>196</v>
      </c>
      <c r="B102" s="18">
        <v>502120.57</v>
      </c>
      <c r="C102" s="235">
        <f t="shared" si="98"/>
        <v>41843.379999999997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  <c r="V102" s="5"/>
      <c r="W102" s="5"/>
      <c r="X102" s="5"/>
      <c r="Y102" s="5"/>
      <c r="Z102" s="5"/>
      <c r="AA102" s="5"/>
      <c r="AB102" s="5"/>
      <c r="AC102" s="67"/>
      <c r="AD102" s="55"/>
    </row>
    <row r="103" spans="1:30" s="52" customFormat="1">
      <c r="A103" s="97"/>
      <c r="B103" s="12"/>
      <c r="C103" s="235"/>
      <c r="D103" s="6">
        <f t="shared" ref="D103" si="147">$C102*D102</f>
        <v>0</v>
      </c>
      <c r="E103" s="6">
        <f t="shared" ref="E103" si="148">$C102*E102</f>
        <v>0</v>
      </c>
      <c r="F103" s="6">
        <f t="shared" ref="F103:AB103" si="149">$C102*F102</f>
        <v>0</v>
      </c>
      <c r="G103" s="6">
        <f t="shared" si="149"/>
        <v>0</v>
      </c>
      <c r="H103" s="6">
        <f t="shared" si="149"/>
        <v>0</v>
      </c>
      <c r="I103" s="6">
        <f t="shared" si="149"/>
        <v>0</v>
      </c>
      <c r="J103" s="6">
        <f t="shared" si="149"/>
        <v>0</v>
      </c>
      <c r="K103" s="6">
        <f t="shared" si="149"/>
        <v>0</v>
      </c>
      <c r="L103" s="6">
        <f t="shared" si="149"/>
        <v>0</v>
      </c>
      <c r="M103" s="6">
        <f t="shared" si="149"/>
        <v>0</v>
      </c>
      <c r="N103" s="6">
        <f t="shared" si="149"/>
        <v>0</v>
      </c>
      <c r="O103" s="6">
        <f t="shared" si="149"/>
        <v>0</v>
      </c>
      <c r="P103" s="6">
        <f t="shared" si="149"/>
        <v>0</v>
      </c>
      <c r="Q103" s="6">
        <f t="shared" si="149"/>
        <v>0</v>
      </c>
      <c r="R103" s="6">
        <f t="shared" si="149"/>
        <v>0</v>
      </c>
      <c r="S103" s="6">
        <f t="shared" si="149"/>
        <v>0</v>
      </c>
      <c r="T103" s="6">
        <f t="shared" si="149"/>
        <v>0</v>
      </c>
      <c r="U103" s="6">
        <f t="shared" si="149"/>
        <v>41843.379999999997</v>
      </c>
      <c r="V103" s="6">
        <f t="shared" si="149"/>
        <v>0</v>
      </c>
      <c r="W103" s="6">
        <f t="shared" si="149"/>
        <v>0</v>
      </c>
      <c r="X103" s="6">
        <f t="shared" si="149"/>
        <v>0</v>
      </c>
      <c r="Y103" s="6">
        <f t="shared" si="149"/>
        <v>0</v>
      </c>
      <c r="Z103" s="6">
        <f t="shared" si="149"/>
        <v>0</v>
      </c>
      <c r="AA103" s="6">
        <f t="shared" si="149"/>
        <v>0</v>
      </c>
      <c r="AB103" s="6">
        <f t="shared" si="149"/>
        <v>0</v>
      </c>
      <c r="AC103" s="67"/>
      <c r="AD103" s="55"/>
    </row>
    <row r="104" spans="1:30" s="52" customFormat="1">
      <c r="A104" s="98" t="s">
        <v>197</v>
      </c>
      <c r="B104" s="18">
        <v>118889.17</v>
      </c>
      <c r="C104" s="235">
        <f t="shared" si="98"/>
        <v>9907.43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v>1</v>
      </c>
      <c r="V104" s="5"/>
      <c r="W104" s="5"/>
      <c r="X104" s="5"/>
      <c r="Y104" s="5"/>
      <c r="Z104" s="5"/>
      <c r="AA104" s="5"/>
      <c r="AB104" s="5"/>
      <c r="AC104" s="67"/>
      <c r="AD104" s="55"/>
    </row>
    <row r="105" spans="1:30" s="52" customFormat="1">
      <c r="A105" s="97"/>
      <c r="B105" s="12"/>
      <c r="C105" s="235"/>
      <c r="D105" s="6">
        <f t="shared" ref="D105" si="150">$C104*D104</f>
        <v>0</v>
      </c>
      <c r="E105" s="6">
        <f t="shared" ref="E105" si="151">$C104*E104</f>
        <v>0</v>
      </c>
      <c r="F105" s="6">
        <f t="shared" ref="F105:AB105" si="152">$C104*F104</f>
        <v>0</v>
      </c>
      <c r="G105" s="6">
        <f t="shared" si="152"/>
        <v>0</v>
      </c>
      <c r="H105" s="6">
        <f t="shared" si="152"/>
        <v>0</v>
      </c>
      <c r="I105" s="6">
        <f t="shared" si="152"/>
        <v>0</v>
      </c>
      <c r="J105" s="6">
        <f t="shared" si="152"/>
        <v>0</v>
      </c>
      <c r="K105" s="6">
        <f t="shared" si="152"/>
        <v>0</v>
      </c>
      <c r="L105" s="6">
        <f t="shared" si="152"/>
        <v>0</v>
      </c>
      <c r="M105" s="6">
        <f t="shared" si="152"/>
        <v>0</v>
      </c>
      <c r="N105" s="6">
        <f t="shared" si="152"/>
        <v>0</v>
      </c>
      <c r="O105" s="6">
        <f t="shared" si="152"/>
        <v>0</v>
      </c>
      <c r="P105" s="6">
        <f t="shared" si="152"/>
        <v>0</v>
      </c>
      <c r="Q105" s="6">
        <f t="shared" si="152"/>
        <v>0</v>
      </c>
      <c r="R105" s="6">
        <f t="shared" si="152"/>
        <v>0</v>
      </c>
      <c r="S105" s="6">
        <f t="shared" si="152"/>
        <v>0</v>
      </c>
      <c r="T105" s="6">
        <f t="shared" si="152"/>
        <v>0</v>
      </c>
      <c r="U105" s="6">
        <f t="shared" si="152"/>
        <v>9907.43</v>
      </c>
      <c r="V105" s="6">
        <f t="shared" si="152"/>
        <v>0</v>
      </c>
      <c r="W105" s="6">
        <f t="shared" si="152"/>
        <v>0</v>
      </c>
      <c r="X105" s="6">
        <f t="shared" si="152"/>
        <v>0</v>
      </c>
      <c r="Y105" s="6">
        <f t="shared" si="152"/>
        <v>0</v>
      </c>
      <c r="Z105" s="6">
        <f t="shared" si="152"/>
        <v>0</v>
      </c>
      <c r="AA105" s="6">
        <f t="shared" si="152"/>
        <v>0</v>
      </c>
      <c r="AB105" s="6">
        <f t="shared" si="152"/>
        <v>0</v>
      </c>
      <c r="AC105" s="67"/>
      <c r="AD105" s="55"/>
    </row>
    <row r="106" spans="1:30" s="52" customFormat="1">
      <c r="A106" s="98" t="s">
        <v>198</v>
      </c>
      <c r="B106" s="18">
        <v>3704050.22</v>
      </c>
      <c r="C106" s="235">
        <f t="shared" si="98"/>
        <v>308670.84999999998</v>
      </c>
      <c r="D106" s="40">
        <v>6.4699999999999994E-2</v>
      </c>
      <c r="E106" s="40">
        <v>2.58E-2</v>
      </c>
      <c r="F106" s="40">
        <v>6.88E-2</v>
      </c>
      <c r="G106" s="40"/>
      <c r="H106" s="40">
        <v>6.5699999999999995E-2</v>
      </c>
      <c r="I106" s="40"/>
      <c r="J106" s="40"/>
      <c r="K106" s="40"/>
      <c r="L106" s="40"/>
      <c r="M106" s="40">
        <v>0.1239</v>
      </c>
      <c r="N106" s="40">
        <v>0.1489</v>
      </c>
      <c r="O106" s="40"/>
      <c r="P106" s="40"/>
      <c r="Q106" s="40">
        <v>8.14E-2</v>
      </c>
      <c r="R106" s="40">
        <v>6.2100000000000002E-2</v>
      </c>
      <c r="S106" s="40">
        <v>8.2000000000000007E-3</v>
      </c>
      <c r="T106" s="40">
        <v>0.21560000000000001</v>
      </c>
      <c r="U106" s="40"/>
      <c r="V106" s="40"/>
      <c r="W106" s="40">
        <v>4.8899999999999999E-2</v>
      </c>
      <c r="X106" s="40">
        <v>8.1799999999999998E-2</v>
      </c>
      <c r="Y106" s="40">
        <v>3.3E-3</v>
      </c>
      <c r="Z106" s="40">
        <v>8.9999999999999998E-4</v>
      </c>
      <c r="AA106" s="40">
        <v>0</v>
      </c>
      <c r="AB106" s="40">
        <v>0</v>
      </c>
      <c r="AC106" s="67"/>
      <c r="AD106" s="55"/>
    </row>
    <row r="107" spans="1:30" s="52" customFormat="1">
      <c r="A107" s="97"/>
      <c r="B107" s="12"/>
      <c r="C107" s="235"/>
      <c r="D107" s="39">
        <f t="shared" ref="D107" si="153">$C106*D106</f>
        <v>19971.003994999995</v>
      </c>
      <c r="E107" s="39">
        <f t="shared" ref="E107" si="154">$C106*E106</f>
        <v>7963.7079299999996</v>
      </c>
      <c r="F107" s="39">
        <f t="shared" ref="F107:AB107" si="155">$C106*F106</f>
        <v>21236.554479999999</v>
      </c>
      <c r="G107" s="39">
        <f t="shared" si="155"/>
        <v>0</v>
      </c>
      <c r="H107" s="39">
        <f t="shared" si="155"/>
        <v>20279.674844999998</v>
      </c>
      <c r="I107" s="39">
        <f t="shared" si="155"/>
        <v>0</v>
      </c>
      <c r="J107" s="39">
        <f t="shared" si="155"/>
        <v>0</v>
      </c>
      <c r="K107" s="39">
        <f t="shared" si="155"/>
        <v>0</v>
      </c>
      <c r="L107" s="39">
        <f t="shared" si="155"/>
        <v>0</v>
      </c>
      <c r="M107" s="39">
        <f t="shared" si="155"/>
        <v>38244.318314999997</v>
      </c>
      <c r="N107" s="39">
        <f t="shared" si="155"/>
        <v>45961.089564999995</v>
      </c>
      <c r="O107" s="39">
        <f t="shared" si="155"/>
        <v>0</v>
      </c>
      <c r="P107" s="39">
        <f t="shared" si="155"/>
        <v>0</v>
      </c>
      <c r="Q107" s="39">
        <f t="shared" si="155"/>
        <v>25125.80719</v>
      </c>
      <c r="R107" s="39">
        <f t="shared" si="155"/>
        <v>19168.459784999999</v>
      </c>
      <c r="S107" s="39">
        <f t="shared" si="155"/>
        <v>2531.10097</v>
      </c>
      <c r="T107" s="39">
        <f t="shared" si="155"/>
        <v>66549.435259999998</v>
      </c>
      <c r="U107" s="39">
        <f t="shared" si="155"/>
        <v>0</v>
      </c>
      <c r="V107" s="39">
        <f t="shared" si="155"/>
        <v>0</v>
      </c>
      <c r="W107" s="39">
        <f t="shared" si="155"/>
        <v>15094.004564999999</v>
      </c>
      <c r="X107" s="39">
        <f t="shared" si="155"/>
        <v>25249.275529999999</v>
      </c>
      <c r="Y107" s="39">
        <f t="shared" si="155"/>
        <v>1018.613805</v>
      </c>
      <c r="Z107" s="39">
        <f t="shared" si="155"/>
        <v>277.803765</v>
      </c>
      <c r="AA107" s="39">
        <f t="shared" si="155"/>
        <v>0</v>
      </c>
      <c r="AB107" s="39">
        <f t="shared" si="155"/>
        <v>0</v>
      </c>
      <c r="AC107" s="67"/>
      <c r="AD107" s="55"/>
    </row>
    <row r="108" spans="1:30" s="52" customFormat="1">
      <c r="A108" s="98" t="s">
        <v>199</v>
      </c>
      <c r="B108" s="18">
        <v>781150.82</v>
      </c>
      <c r="C108" s="235">
        <f t="shared" si="98"/>
        <v>65095.9</v>
      </c>
      <c r="D108" s="5"/>
      <c r="E108" s="5"/>
      <c r="F108" s="5">
        <v>0.41060000000000002</v>
      </c>
      <c r="G108" s="5"/>
      <c r="H108" s="5"/>
      <c r="I108" s="5"/>
      <c r="J108" s="5"/>
      <c r="K108" s="5"/>
      <c r="L108" s="5"/>
      <c r="M108" s="5">
        <v>6.6799999999999998E-2</v>
      </c>
      <c r="N108" s="5"/>
      <c r="O108" s="5"/>
      <c r="P108" s="5"/>
      <c r="Q108" s="5">
        <v>5.4800000000000001E-2</v>
      </c>
      <c r="R108" s="5">
        <v>0.107</v>
      </c>
      <c r="S108" s="5">
        <v>5.3E-3</v>
      </c>
      <c r="T108" s="5">
        <v>0.15529999999999999</v>
      </c>
      <c r="U108" s="5"/>
      <c r="V108" s="5"/>
      <c r="W108" s="5">
        <v>0.20019999999999999</v>
      </c>
      <c r="X108" s="5"/>
      <c r="Y108" s="5"/>
      <c r="Z108" s="5"/>
      <c r="AA108" s="5"/>
      <c r="AB108" s="5"/>
      <c r="AC108" s="67"/>
      <c r="AD108" s="55"/>
    </row>
    <row r="109" spans="1:30" s="52" customFormat="1">
      <c r="A109" s="97"/>
      <c r="B109" s="12"/>
      <c r="C109" s="235"/>
      <c r="D109" s="6">
        <f t="shared" ref="D109" si="156">$C108*D108</f>
        <v>0</v>
      </c>
      <c r="E109" s="6">
        <f t="shared" ref="E109" si="157">$C108*E108</f>
        <v>0</v>
      </c>
      <c r="F109" s="6">
        <f t="shared" ref="F109:AB109" si="158">$C108*F108</f>
        <v>26728.376540000001</v>
      </c>
      <c r="G109" s="6">
        <f t="shared" si="158"/>
        <v>0</v>
      </c>
      <c r="H109" s="6">
        <f t="shared" si="158"/>
        <v>0</v>
      </c>
      <c r="I109" s="6">
        <f t="shared" si="158"/>
        <v>0</v>
      </c>
      <c r="J109" s="6">
        <f t="shared" si="158"/>
        <v>0</v>
      </c>
      <c r="K109" s="6">
        <f t="shared" si="158"/>
        <v>0</v>
      </c>
      <c r="L109" s="6">
        <f t="shared" si="158"/>
        <v>0</v>
      </c>
      <c r="M109" s="6">
        <f t="shared" si="158"/>
        <v>4348.4061199999996</v>
      </c>
      <c r="N109" s="6">
        <f t="shared" si="158"/>
        <v>0</v>
      </c>
      <c r="O109" s="6">
        <f t="shared" si="158"/>
        <v>0</v>
      </c>
      <c r="P109" s="6">
        <f t="shared" si="158"/>
        <v>0</v>
      </c>
      <c r="Q109" s="6">
        <f t="shared" si="158"/>
        <v>3567.2553200000002</v>
      </c>
      <c r="R109" s="6">
        <f t="shared" si="158"/>
        <v>6965.2613000000001</v>
      </c>
      <c r="S109" s="6">
        <f t="shared" si="158"/>
        <v>345.00826999999998</v>
      </c>
      <c r="T109" s="6">
        <f t="shared" si="158"/>
        <v>10109.39327</v>
      </c>
      <c r="U109" s="6">
        <f t="shared" si="158"/>
        <v>0</v>
      </c>
      <c r="V109" s="6">
        <f t="shared" si="158"/>
        <v>0</v>
      </c>
      <c r="W109" s="6">
        <f t="shared" si="158"/>
        <v>13032.19918</v>
      </c>
      <c r="X109" s="6">
        <f t="shared" si="158"/>
        <v>0</v>
      </c>
      <c r="Y109" s="6">
        <f t="shared" si="158"/>
        <v>0</v>
      </c>
      <c r="Z109" s="6">
        <f t="shared" si="158"/>
        <v>0</v>
      </c>
      <c r="AA109" s="6">
        <f t="shared" si="158"/>
        <v>0</v>
      </c>
      <c r="AB109" s="6">
        <f t="shared" si="158"/>
        <v>0</v>
      </c>
      <c r="AC109" s="67"/>
      <c r="AD109" s="55"/>
    </row>
    <row r="110" spans="1:30" s="52" customFormat="1">
      <c r="A110" s="98" t="s">
        <v>200</v>
      </c>
      <c r="B110" s="18">
        <v>155872.82</v>
      </c>
      <c r="C110" s="235">
        <f t="shared" si="98"/>
        <v>12989.4</v>
      </c>
      <c r="D110" s="5"/>
      <c r="E110" s="5"/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7"/>
      <c r="AD110" s="55"/>
    </row>
    <row r="111" spans="1:30" s="52" customFormat="1">
      <c r="A111" s="97"/>
      <c r="B111" s="12"/>
      <c r="C111" s="235"/>
      <c r="D111" s="6">
        <f t="shared" ref="D111" si="159">$C110*D110</f>
        <v>0</v>
      </c>
      <c r="E111" s="6">
        <f t="shared" ref="E111" si="160">$C110*E110</f>
        <v>0</v>
      </c>
      <c r="F111" s="6">
        <f t="shared" ref="F111:AB111" si="161">$C110*F110</f>
        <v>12989.4</v>
      </c>
      <c r="G111" s="6">
        <f t="shared" si="161"/>
        <v>0</v>
      </c>
      <c r="H111" s="6">
        <f t="shared" si="161"/>
        <v>0</v>
      </c>
      <c r="I111" s="6">
        <f t="shared" si="161"/>
        <v>0</v>
      </c>
      <c r="J111" s="6">
        <f t="shared" si="161"/>
        <v>0</v>
      </c>
      <c r="K111" s="6">
        <f t="shared" si="161"/>
        <v>0</v>
      </c>
      <c r="L111" s="6">
        <f t="shared" si="161"/>
        <v>0</v>
      </c>
      <c r="M111" s="6">
        <f t="shared" si="161"/>
        <v>0</v>
      </c>
      <c r="N111" s="6">
        <f t="shared" si="161"/>
        <v>0</v>
      </c>
      <c r="O111" s="6">
        <f t="shared" si="161"/>
        <v>0</v>
      </c>
      <c r="P111" s="6">
        <f t="shared" si="161"/>
        <v>0</v>
      </c>
      <c r="Q111" s="6">
        <f t="shared" si="161"/>
        <v>0</v>
      </c>
      <c r="R111" s="6">
        <f t="shared" si="161"/>
        <v>0</v>
      </c>
      <c r="S111" s="6">
        <f t="shared" si="161"/>
        <v>0</v>
      </c>
      <c r="T111" s="6">
        <f t="shared" si="161"/>
        <v>0</v>
      </c>
      <c r="U111" s="6">
        <f t="shared" si="161"/>
        <v>0</v>
      </c>
      <c r="V111" s="6">
        <f t="shared" si="161"/>
        <v>0</v>
      </c>
      <c r="W111" s="6">
        <f t="shared" si="161"/>
        <v>0</v>
      </c>
      <c r="X111" s="6">
        <f t="shared" si="161"/>
        <v>0</v>
      </c>
      <c r="Y111" s="6">
        <f t="shared" si="161"/>
        <v>0</v>
      </c>
      <c r="Z111" s="6">
        <f t="shared" si="161"/>
        <v>0</v>
      </c>
      <c r="AA111" s="6">
        <f t="shared" si="161"/>
        <v>0</v>
      </c>
      <c r="AB111" s="6">
        <f t="shared" si="161"/>
        <v>0</v>
      </c>
      <c r="AC111" s="67"/>
      <c r="AD111" s="55"/>
    </row>
    <row r="112" spans="1:30" s="52" customFormat="1">
      <c r="A112" s="98" t="s">
        <v>201</v>
      </c>
      <c r="B112" s="18">
        <v>58279.06</v>
      </c>
      <c r="C112" s="235">
        <f t="shared" si="98"/>
        <v>4856.59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7"/>
      <c r="AD112" s="55"/>
    </row>
    <row r="113" spans="1:30" s="52" customFormat="1">
      <c r="A113" s="97"/>
      <c r="B113" s="12"/>
      <c r="C113" s="235"/>
      <c r="D113" s="6">
        <f t="shared" ref="D113" si="162">$C112*D112</f>
        <v>0</v>
      </c>
      <c r="E113" s="6">
        <f t="shared" ref="E113" si="163">$C112*E112</f>
        <v>0</v>
      </c>
      <c r="F113" s="6">
        <f t="shared" ref="F113:AB113" si="164">$C112*F112</f>
        <v>4856.59</v>
      </c>
      <c r="G113" s="6">
        <f t="shared" si="164"/>
        <v>0</v>
      </c>
      <c r="H113" s="6">
        <f t="shared" si="164"/>
        <v>0</v>
      </c>
      <c r="I113" s="6">
        <f t="shared" si="164"/>
        <v>0</v>
      </c>
      <c r="J113" s="6">
        <f t="shared" si="164"/>
        <v>0</v>
      </c>
      <c r="K113" s="6">
        <f t="shared" si="164"/>
        <v>0</v>
      </c>
      <c r="L113" s="6">
        <f t="shared" si="164"/>
        <v>0</v>
      </c>
      <c r="M113" s="6">
        <f t="shared" si="164"/>
        <v>0</v>
      </c>
      <c r="N113" s="6">
        <f t="shared" si="164"/>
        <v>0</v>
      </c>
      <c r="O113" s="6">
        <f t="shared" si="164"/>
        <v>0</v>
      </c>
      <c r="P113" s="6">
        <f t="shared" si="164"/>
        <v>0</v>
      </c>
      <c r="Q113" s="6">
        <f t="shared" si="164"/>
        <v>0</v>
      </c>
      <c r="R113" s="6">
        <f t="shared" si="164"/>
        <v>0</v>
      </c>
      <c r="S113" s="6">
        <f t="shared" si="164"/>
        <v>0</v>
      </c>
      <c r="T113" s="6">
        <f t="shared" si="164"/>
        <v>0</v>
      </c>
      <c r="U113" s="6">
        <f t="shared" si="164"/>
        <v>0</v>
      </c>
      <c r="V113" s="6">
        <f t="shared" si="164"/>
        <v>0</v>
      </c>
      <c r="W113" s="6">
        <f t="shared" si="164"/>
        <v>0</v>
      </c>
      <c r="X113" s="6">
        <f t="shared" si="164"/>
        <v>0</v>
      </c>
      <c r="Y113" s="6">
        <f t="shared" si="164"/>
        <v>0</v>
      </c>
      <c r="Z113" s="6">
        <f t="shared" si="164"/>
        <v>0</v>
      </c>
      <c r="AA113" s="6">
        <f t="shared" si="164"/>
        <v>0</v>
      </c>
      <c r="AB113" s="6">
        <f t="shared" si="164"/>
        <v>0</v>
      </c>
      <c r="AC113" s="67"/>
      <c r="AD113" s="55"/>
    </row>
    <row r="114" spans="1:30" s="52" customFormat="1">
      <c r="A114" s="98" t="s">
        <v>243</v>
      </c>
      <c r="B114" s="18">
        <v>91759.54</v>
      </c>
      <c r="C114" s="235">
        <f t="shared" si="98"/>
        <v>7646.63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7"/>
      <c r="AD114" s="55"/>
    </row>
    <row r="115" spans="1:30" s="52" customFormat="1">
      <c r="A115" s="97"/>
      <c r="B115" s="12"/>
      <c r="C115" s="235"/>
      <c r="D115" s="6">
        <f t="shared" ref="D115" si="165">$C114*D114</f>
        <v>0</v>
      </c>
      <c r="E115" s="6">
        <f t="shared" ref="E115" si="166">$C114*E114</f>
        <v>0</v>
      </c>
      <c r="F115" s="6">
        <f t="shared" ref="F115:AB115" si="167">$C114*F114</f>
        <v>7646.63</v>
      </c>
      <c r="G115" s="6">
        <f t="shared" si="167"/>
        <v>0</v>
      </c>
      <c r="H115" s="6">
        <f t="shared" si="167"/>
        <v>0</v>
      </c>
      <c r="I115" s="6">
        <f t="shared" si="167"/>
        <v>0</v>
      </c>
      <c r="J115" s="6">
        <f t="shared" si="167"/>
        <v>0</v>
      </c>
      <c r="K115" s="6">
        <f t="shared" si="167"/>
        <v>0</v>
      </c>
      <c r="L115" s="6">
        <f t="shared" si="167"/>
        <v>0</v>
      </c>
      <c r="M115" s="6">
        <f t="shared" si="167"/>
        <v>0</v>
      </c>
      <c r="N115" s="6">
        <f t="shared" si="167"/>
        <v>0</v>
      </c>
      <c r="O115" s="6">
        <f t="shared" si="167"/>
        <v>0</v>
      </c>
      <c r="P115" s="6">
        <f t="shared" si="167"/>
        <v>0</v>
      </c>
      <c r="Q115" s="6">
        <f t="shared" si="167"/>
        <v>0</v>
      </c>
      <c r="R115" s="6">
        <f t="shared" si="167"/>
        <v>0</v>
      </c>
      <c r="S115" s="6">
        <f t="shared" si="167"/>
        <v>0</v>
      </c>
      <c r="T115" s="6">
        <f t="shared" si="167"/>
        <v>0</v>
      </c>
      <c r="U115" s="6">
        <f t="shared" si="167"/>
        <v>0</v>
      </c>
      <c r="V115" s="6">
        <f t="shared" si="167"/>
        <v>0</v>
      </c>
      <c r="W115" s="6">
        <f t="shared" si="167"/>
        <v>0</v>
      </c>
      <c r="X115" s="6">
        <f t="shared" si="167"/>
        <v>0</v>
      </c>
      <c r="Y115" s="6">
        <f t="shared" si="167"/>
        <v>0</v>
      </c>
      <c r="Z115" s="6">
        <f t="shared" si="167"/>
        <v>0</v>
      </c>
      <c r="AA115" s="6">
        <f t="shared" si="167"/>
        <v>0</v>
      </c>
      <c r="AB115" s="6">
        <f t="shared" si="167"/>
        <v>0</v>
      </c>
      <c r="AC115" s="67"/>
      <c r="AD115" s="55"/>
    </row>
    <row r="116" spans="1:30" s="52" customFormat="1">
      <c r="A116" s="98" t="s">
        <v>244</v>
      </c>
      <c r="B116" s="18">
        <v>2076585.62</v>
      </c>
      <c r="C116" s="235">
        <f t="shared" si="98"/>
        <v>173048.8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7"/>
      <c r="AD116" s="55"/>
    </row>
    <row r="117" spans="1:30" s="52" customFormat="1">
      <c r="A117" s="97"/>
      <c r="B117" s="12"/>
      <c r="C117" s="235"/>
      <c r="D117" s="6">
        <f t="shared" ref="D117" si="168">$C116*D116</f>
        <v>0</v>
      </c>
      <c r="E117" s="6">
        <f t="shared" ref="E117" si="169">$C116*E116</f>
        <v>0</v>
      </c>
      <c r="F117" s="6">
        <f t="shared" ref="F117:AB117" si="170">$C116*F116</f>
        <v>173048.8</v>
      </c>
      <c r="G117" s="6">
        <f t="shared" si="170"/>
        <v>0</v>
      </c>
      <c r="H117" s="6">
        <f t="shared" si="170"/>
        <v>0</v>
      </c>
      <c r="I117" s="6">
        <f t="shared" si="170"/>
        <v>0</v>
      </c>
      <c r="J117" s="6">
        <f t="shared" si="170"/>
        <v>0</v>
      </c>
      <c r="K117" s="6">
        <f t="shared" si="170"/>
        <v>0</v>
      </c>
      <c r="L117" s="6">
        <f t="shared" si="170"/>
        <v>0</v>
      </c>
      <c r="M117" s="6">
        <f t="shared" si="170"/>
        <v>0</v>
      </c>
      <c r="N117" s="6">
        <f t="shared" si="170"/>
        <v>0</v>
      </c>
      <c r="O117" s="6">
        <f t="shared" si="170"/>
        <v>0</v>
      </c>
      <c r="P117" s="6">
        <f t="shared" si="170"/>
        <v>0</v>
      </c>
      <c r="Q117" s="6">
        <f t="shared" si="170"/>
        <v>0</v>
      </c>
      <c r="R117" s="6">
        <f t="shared" si="170"/>
        <v>0</v>
      </c>
      <c r="S117" s="6">
        <f t="shared" si="170"/>
        <v>0</v>
      </c>
      <c r="T117" s="6">
        <f t="shared" si="170"/>
        <v>0</v>
      </c>
      <c r="U117" s="6">
        <f t="shared" si="170"/>
        <v>0</v>
      </c>
      <c r="V117" s="6">
        <f t="shared" si="170"/>
        <v>0</v>
      </c>
      <c r="W117" s="6">
        <f t="shared" si="170"/>
        <v>0</v>
      </c>
      <c r="X117" s="6">
        <f t="shared" si="170"/>
        <v>0</v>
      </c>
      <c r="Y117" s="6">
        <f t="shared" si="170"/>
        <v>0</v>
      </c>
      <c r="Z117" s="6">
        <f t="shared" si="170"/>
        <v>0</v>
      </c>
      <c r="AA117" s="6">
        <f t="shared" si="170"/>
        <v>0</v>
      </c>
      <c r="AB117" s="6">
        <f t="shared" si="170"/>
        <v>0</v>
      </c>
      <c r="AC117" s="67"/>
      <c r="AD117" s="55"/>
    </row>
    <row r="118" spans="1:30" s="52" customFormat="1">
      <c r="A118" s="98" t="s">
        <v>245</v>
      </c>
      <c r="B118" s="18">
        <v>3998630.74</v>
      </c>
      <c r="C118" s="235">
        <f t="shared" si="98"/>
        <v>333219.23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7"/>
      <c r="AD118" s="55"/>
    </row>
    <row r="119" spans="1:30" s="52" customFormat="1">
      <c r="A119" s="97"/>
      <c r="B119" s="12"/>
      <c r="C119" s="235"/>
      <c r="D119" s="6">
        <f t="shared" ref="D119" si="171">$C118*D118</f>
        <v>0</v>
      </c>
      <c r="E119" s="6">
        <f t="shared" ref="E119" si="172">$C118*E118</f>
        <v>0</v>
      </c>
      <c r="F119" s="6">
        <f t="shared" ref="F119:AB119" si="173">$C118*F118</f>
        <v>333219.23</v>
      </c>
      <c r="G119" s="6">
        <f t="shared" si="173"/>
        <v>0</v>
      </c>
      <c r="H119" s="6">
        <f t="shared" si="173"/>
        <v>0</v>
      </c>
      <c r="I119" s="6">
        <f t="shared" si="173"/>
        <v>0</v>
      </c>
      <c r="J119" s="6">
        <f t="shared" si="173"/>
        <v>0</v>
      </c>
      <c r="K119" s="6">
        <f t="shared" si="173"/>
        <v>0</v>
      </c>
      <c r="L119" s="6">
        <f t="shared" si="173"/>
        <v>0</v>
      </c>
      <c r="M119" s="6">
        <f t="shared" si="173"/>
        <v>0</v>
      </c>
      <c r="N119" s="6">
        <f t="shared" si="173"/>
        <v>0</v>
      </c>
      <c r="O119" s="6">
        <f t="shared" si="173"/>
        <v>0</v>
      </c>
      <c r="P119" s="6">
        <f t="shared" si="173"/>
        <v>0</v>
      </c>
      <c r="Q119" s="6">
        <f t="shared" si="173"/>
        <v>0</v>
      </c>
      <c r="R119" s="6">
        <f t="shared" si="173"/>
        <v>0</v>
      </c>
      <c r="S119" s="6">
        <f t="shared" si="173"/>
        <v>0</v>
      </c>
      <c r="T119" s="6">
        <f t="shared" si="173"/>
        <v>0</v>
      </c>
      <c r="U119" s="6">
        <f t="shared" si="173"/>
        <v>0</v>
      </c>
      <c r="V119" s="6">
        <f t="shared" si="173"/>
        <v>0</v>
      </c>
      <c r="W119" s="6">
        <f t="shared" si="173"/>
        <v>0</v>
      </c>
      <c r="X119" s="6">
        <f t="shared" si="173"/>
        <v>0</v>
      </c>
      <c r="Y119" s="6">
        <f t="shared" si="173"/>
        <v>0</v>
      </c>
      <c r="Z119" s="6">
        <f t="shared" si="173"/>
        <v>0</v>
      </c>
      <c r="AA119" s="6">
        <f t="shared" si="173"/>
        <v>0</v>
      </c>
      <c r="AB119" s="6">
        <f t="shared" si="173"/>
        <v>0</v>
      </c>
      <c r="AC119" s="67"/>
      <c r="AD119" s="55"/>
    </row>
    <row r="120" spans="1:30" s="52" customFormat="1">
      <c r="A120" s="98" t="s">
        <v>246</v>
      </c>
      <c r="B120" s="18">
        <v>72981.259999999995</v>
      </c>
      <c r="C120" s="235">
        <f t="shared" si="98"/>
        <v>6081.77</v>
      </c>
      <c r="D120" s="5"/>
      <c r="E120" s="5"/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7"/>
      <c r="AD120" s="55"/>
    </row>
    <row r="121" spans="1:30" s="52" customFormat="1">
      <c r="A121" s="97"/>
      <c r="B121" s="12"/>
      <c r="C121" s="235"/>
      <c r="D121" s="6">
        <f t="shared" ref="D121" si="174">$C120*D120</f>
        <v>0</v>
      </c>
      <c r="E121" s="6">
        <f t="shared" ref="E121" si="175">$C120*E120</f>
        <v>0</v>
      </c>
      <c r="F121" s="6">
        <f t="shared" ref="F121:AB121" si="176">$C120*F120</f>
        <v>6081.77</v>
      </c>
      <c r="G121" s="6">
        <f t="shared" si="176"/>
        <v>0</v>
      </c>
      <c r="H121" s="6">
        <f t="shared" si="176"/>
        <v>0</v>
      </c>
      <c r="I121" s="6">
        <f t="shared" si="176"/>
        <v>0</v>
      </c>
      <c r="J121" s="6">
        <f t="shared" si="176"/>
        <v>0</v>
      </c>
      <c r="K121" s="6">
        <f t="shared" si="176"/>
        <v>0</v>
      </c>
      <c r="L121" s="6">
        <f t="shared" si="176"/>
        <v>0</v>
      </c>
      <c r="M121" s="6">
        <f t="shared" si="176"/>
        <v>0</v>
      </c>
      <c r="N121" s="6">
        <f t="shared" si="176"/>
        <v>0</v>
      </c>
      <c r="O121" s="6">
        <f t="shared" si="176"/>
        <v>0</v>
      </c>
      <c r="P121" s="6">
        <f t="shared" si="176"/>
        <v>0</v>
      </c>
      <c r="Q121" s="6">
        <f t="shared" si="176"/>
        <v>0</v>
      </c>
      <c r="R121" s="6">
        <f t="shared" si="176"/>
        <v>0</v>
      </c>
      <c r="S121" s="6">
        <f t="shared" si="176"/>
        <v>0</v>
      </c>
      <c r="T121" s="6">
        <f t="shared" si="176"/>
        <v>0</v>
      </c>
      <c r="U121" s="6">
        <f t="shared" si="176"/>
        <v>0</v>
      </c>
      <c r="V121" s="6">
        <f t="shared" si="176"/>
        <v>0</v>
      </c>
      <c r="W121" s="6">
        <f t="shared" si="176"/>
        <v>0</v>
      </c>
      <c r="X121" s="6">
        <f t="shared" si="176"/>
        <v>0</v>
      </c>
      <c r="Y121" s="6">
        <f t="shared" si="176"/>
        <v>0</v>
      </c>
      <c r="Z121" s="6">
        <f t="shared" si="176"/>
        <v>0</v>
      </c>
      <c r="AA121" s="6">
        <f t="shared" si="176"/>
        <v>0</v>
      </c>
      <c r="AB121" s="6">
        <f t="shared" si="176"/>
        <v>0</v>
      </c>
      <c r="AC121" s="67"/>
      <c r="AD121" s="55"/>
    </row>
    <row r="122" spans="1:30" s="52" customFormat="1">
      <c r="A122" s="98" t="s">
        <v>247</v>
      </c>
      <c r="B122" s="18">
        <f>3544656*0</f>
        <v>0</v>
      </c>
      <c r="C122" s="235">
        <f t="shared" si="98"/>
        <v>0</v>
      </c>
      <c r="D122" s="40">
        <v>6.4699999999999994E-2</v>
      </c>
      <c r="E122" s="40">
        <v>2.58E-2</v>
      </c>
      <c r="F122" s="40">
        <v>6.88E-2</v>
      </c>
      <c r="G122" s="40"/>
      <c r="H122" s="40">
        <v>6.5699999999999995E-2</v>
      </c>
      <c r="I122" s="40"/>
      <c r="J122" s="40"/>
      <c r="K122" s="40"/>
      <c r="L122" s="40"/>
      <c r="M122" s="40">
        <v>0.1239</v>
      </c>
      <c r="N122" s="40">
        <v>0.1489</v>
      </c>
      <c r="O122" s="40"/>
      <c r="P122" s="40"/>
      <c r="Q122" s="40">
        <v>8.14E-2</v>
      </c>
      <c r="R122" s="40">
        <v>6.2100000000000002E-2</v>
      </c>
      <c r="S122" s="40">
        <v>8.2000000000000007E-3</v>
      </c>
      <c r="T122" s="40">
        <v>0.21560000000000001</v>
      </c>
      <c r="U122" s="40"/>
      <c r="V122" s="40"/>
      <c r="W122" s="40">
        <v>4.8899999999999999E-2</v>
      </c>
      <c r="X122" s="40">
        <v>8.1799999999999998E-2</v>
      </c>
      <c r="Y122" s="40">
        <v>3.3E-3</v>
      </c>
      <c r="Z122" s="40">
        <v>8.9999999999999998E-4</v>
      </c>
      <c r="AA122" s="40">
        <v>0</v>
      </c>
      <c r="AB122" s="40">
        <v>0</v>
      </c>
      <c r="AC122" s="67"/>
      <c r="AD122" s="55"/>
    </row>
    <row r="123" spans="1:30" s="52" customFormat="1">
      <c r="A123" s="97"/>
      <c r="B123" s="12"/>
      <c r="C123" s="235"/>
      <c r="D123" s="39">
        <f>$C122*D122</f>
        <v>0</v>
      </c>
      <c r="E123" s="39">
        <f t="shared" ref="E123" si="177">$C122*E122</f>
        <v>0</v>
      </c>
      <c r="F123" s="39">
        <f t="shared" ref="F123" si="178">$C122*F122</f>
        <v>0</v>
      </c>
      <c r="G123" s="39">
        <f t="shared" ref="G123:AB123" si="179">$C122*G122</f>
        <v>0</v>
      </c>
      <c r="H123" s="39">
        <f t="shared" si="179"/>
        <v>0</v>
      </c>
      <c r="I123" s="39">
        <f t="shared" si="179"/>
        <v>0</v>
      </c>
      <c r="J123" s="39">
        <f t="shared" si="179"/>
        <v>0</v>
      </c>
      <c r="K123" s="39">
        <f t="shared" si="179"/>
        <v>0</v>
      </c>
      <c r="L123" s="39">
        <f t="shared" si="179"/>
        <v>0</v>
      </c>
      <c r="M123" s="39">
        <f t="shared" si="179"/>
        <v>0</v>
      </c>
      <c r="N123" s="39">
        <f t="shared" si="179"/>
        <v>0</v>
      </c>
      <c r="O123" s="39">
        <f t="shared" si="179"/>
        <v>0</v>
      </c>
      <c r="P123" s="39">
        <f t="shared" si="179"/>
        <v>0</v>
      </c>
      <c r="Q123" s="39">
        <f t="shared" si="179"/>
        <v>0</v>
      </c>
      <c r="R123" s="39">
        <f t="shared" si="179"/>
        <v>0</v>
      </c>
      <c r="S123" s="39">
        <f t="shared" si="179"/>
        <v>0</v>
      </c>
      <c r="T123" s="39">
        <f t="shared" si="179"/>
        <v>0</v>
      </c>
      <c r="U123" s="39">
        <f t="shared" si="179"/>
        <v>0</v>
      </c>
      <c r="V123" s="39">
        <f t="shared" si="179"/>
        <v>0</v>
      </c>
      <c r="W123" s="39">
        <f t="shared" si="179"/>
        <v>0</v>
      </c>
      <c r="X123" s="39">
        <f t="shared" si="179"/>
        <v>0</v>
      </c>
      <c r="Y123" s="39">
        <f t="shared" si="179"/>
        <v>0</v>
      </c>
      <c r="Z123" s="39">
        <f t="shared" si="179"/>
        <v>0</v>
      </c>
      <c r="AA123" s="39">
        <f t="shared" si="179"/>
        <v>0</v>
      </c>
      <c r="AB123" s="39">
        <f t="shared" si="179"/>
        <v>0</v>
      </c>
      <c r="AC123" s="67"/>
      <c r="AD123" s="55"/>
    </row>
    <row r="124" spans="1:30" s="52" customFormat="1">
      <c r="A124" s="98" t="s">
        <v>327</v>
      </c>
      <c r="B124" s="18">
        <f>3544656*0.6838</f>
        <v>2423835.7727999999</v>
      </c>
      <c r="C124" s="235">
        <f t="shared" si="98"/>
        <v>201986.31</v>
      </c>
      <c r="D124" s="5"/>
      <c r="E124" s="5"/>
      <c r="F124" s="5">
        <v>8.6099999999999996E-2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1.72E-2</v>
      </c>
      <c r="U124" s="5">
        <v>0.89670000000000005</v>
      </c>
      <c r="V124" s="5"/>
      <c r="W124" s="5"/>
      <c r="X124" s="5"/>
      <c r="Y124" s="5"/>
      <c r="Z124" s="5"/>
      <c r="AA124" s="5"/>
      <c r="AB124" s="5"/>
      <c r="AC124" s="67"/>
      <c r="AD124" s="55"/>
    </row>
    <row r="125" spans="1:30" s="52" customFormat="1">
      <c r="A125" s="97"/>
      <c r="B125" s="12"/>
      <c r="C125" s="235"/>
      <c r="D125" s="6">
        <f t="shared" ref="D125" si="180">$C124*D124</f>
        <v>0</v>
      </c>
      <c r="E125" s="6">
        <f t="shared" ref="E125" si="181">$C124*E124</f>
        <v>0</v>
      </c>
      <c r="F125" s="6">
        <f t="shared" ref="F125:AB125" si="182">$C124*F124</f>
        <v>17391.021290999997</v>
      </c>
      <c r="G125" s="6">
        <f t="shared" si="182"/>
        <v>0</v>
      </c>
      <c r="H125" s="6">
        <f t="shared" si="182"/>
        <v>0</v>
      </c>
      <c r="I125" s="6">
        <f t="shared" si="182"/>
        <v>0</v>
      </c>
      <c r="J125" s="6">
        <f t="shared" si="182"/>
        <v>0</v>
      </c>
      <c r="K125" s="6">
        <f t="shared" si="182"/>
        <v>0</v>
      </c>
      <c r="L125" s="6">
        <f t="shared" si="182"/>
        <v>0</v>
      </c>
      <c r="M125" s="6">
        <f t="shared" si="182"/>
        <v>0</v>
      </c>
      <c r="N125" s="6">
        <f t="shared" si="182"/>
        <v>0</v>
      </c>
      <c r="O125" s="6">
        <f t="shared" si="182"/>
        <v>0</v>
      </c>
      <c r="P125" s="6">
        <f t="shared" si="182"/>
        <v>0</v>
      </c>
      <c r="Q125" s="6">
        <f t="shared" si="182"/>
        <v>0</v>
      </c>
      <c r="R125" s="6">
        <f t="shared" si="182"/>
        <v>0</v>
      </c>
      <c r="S125" s="6">
        <f t="shared" si="182"/>
        <v>0</v>
      </c>
      <c r="T125" s="6">
        <f t="shared" si="182"/>
        <v>3474.1645319999998</v>
      </c>
      <c r="U125" s="6">
        <f t="shared" si="182"/>
        <v>181121.12417700002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si="182"/>
        <v>0</v>
      </c>
      <c r="AA125" s="6">
        <f t="shared" si="182"/>
        <v>0</v>
      </c>
      <c r="AB125" s="6">
        <f t="shared" si="182"/>
        <v>0</v>
      </c>
      <c r="AC125" s="67"/>
      <c r="AD125" s="55"/>
    </row>
    <row r="126" spans="1:30" s="52" customFormat="1">
      <c r="A126" s="98" t="s">
        <v>528</v>
      </c>
      <c r="B126" s="18">
        <f>3544656*0.3162</f>
        <v>1120820.2271999998</v>
      </c>
      <c r="C126" s="235">
        <f t="shared" si="98"/>
        <v>93401.69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</v>
      </c>
      <c r="V126" s="5"/>
      <c r="W126" s="5"/>
      <c r="X126" s="5"/>
      <c r="Y126" s="5"/>
      <c r="Z126" s="5"/>
      <c r="AA126" s="5"/>
      <c r="AB126" s="5"/>
      <c r="AC126" s="67"/>
      <c r="AD126" s="55"/>
    </row>
    <row r="127" spans="1:30" s="52" customFormat="1">
      <c r="A127" s="97"/>
      <c r="B127" s="12"/>
      <c r="C127" s="235"/>
      <c r="D127" s="6">
        <f t="shared" ref="D127" si="183">$C126*D126</f>
        <v>0</v>
      </c>
      <c r="E127" s="6">
        <f t="shared" ref="E127" si="184">$C126*E126</f>
        <v>0</v>
      </c>
      <c r="F127" s="6">
        <f t="shared" ref="F127:AB127" si="185">$C126*F126</f>
        <v>0</v>
      </c>
      <c r="G127" s="6">
        <f t="shared" si="185"/>
        <v>0</v>
      </c>
      <c r="H127" s="6">
        <f t="shared" si="185"/>
        <v>0</v>
      </c>
      <c r="I127" s="6">
        <f t="shared" si="185"/>
        <v>0</v>
      </c>
      <c r="J127" s="6">
        <f t="shared" si="185"/>
        <v>0</v>
      </c>
      <c r="K127" s="6">
        <f t="shared" si="185"/>
        <v>0</v>
      </c>
      <c r="L127" s="6">
        <f t="shared" si="185"/>
        <v>0</v>
      </c>
      <c r="M127" s="6">
        <f t="shared" si="185"/>
        <v>0</v>
      </c>
      <c r="N127" s="6">
        <f t="shared" si="185"/>
        <v>0</v>
      </c>
      <c r="O127" s="6">
        <f t="shared" si="185"/>
        <v>0</v>
      </c>
      <c r="P127" s="6">
        <f t="shared" si="185"/>
        <v>0</v>
      </c>
      <c r="Q127" s="6">
        <f t="shared" si="185"/>
        <v>0</v>
      </c>
      <c r="R127" s="6">
        <f t="shared" si="185"/>
        <v>0</v>
      </c>
      <c r="S127" s="6">
        <f t="shared" si="185"/>
        <v>0</v>
      </c>
      <c r="T127" s="6">
        <f t="shared" si="185"/>
        <v>0</v>
      </c>
      <c r="U127" s="6">
        <f t="shared" si="185"/>
        <v>93401.69</v>
      </c>
      <c r="V127" s="6">
        <f t="shared" si="185"/>
        <v>0</v>
      </c>
      <c r="W127" s="6">
        <f t="shared" si="185"/>
        <v>0</v>
      </c>
      <c r="X127" s="6">
        <f t="shared" si="185"/>
        <v>0</v>
      </c>
      <c r="Y127" s="6">
        <f t="shared" si="185"/>
        <v>0</v>
      </c>
      <c r="Z127" s="6">
        <f t="shared" si="185"/>
        <v>0</v>
      </c>
      <c r="AA127" s="6">
        <f t="shared" si="185"/>
        <v>0</v>
      </c>
      <c r="AB127" s="6">
        <f t="shared" si="185"/>
        <v>0</v>
      </c>
      <c r="AC127" s="67"/>
      <c r="AD127" s="55"/>
    </row>
    <row r="128" spans="1:30" s="52" customFormat="1">
      <c r="A128" s="98" t="s">
        <v>248</v>
      </c>
      <c r="B128" s="18">
        <v>147539.82999999999</v>
      </c>
      <c r="C128" s="235">
        <f t="shared" si="98"/>
        <v>12294.99</v>
      </c>
      <c r="D128" s="38">
        <v>8.5800000000000001E-2</v>
      </c>
      <c r="E128" s="38"/>
      <c r="F128" s="38">
        <v>1.6899999999999998E-2</v>
      </c>
      <c r="G128" s="38"/>
      <c r="H128" s="38"/>
      <c r="I128" s="38"/>
      <c r="J128" s="38"/>
      <c r="K128" s="38"/>
      <c r="L128" s="38"/>
      <c r="M128" s="38">
        <v>0.12239999999999999</v>
      </c>
      <c r="N128" s="38"/>
      <c r="O128" s="38"/>
      <c r="P128" s="38"/>
      <c r="Q128" s="38">
        <v>0.18160000000000001</v>
      </c>
      <c r="R128" s="38">
        <v>1.55E-2</v>
      </c>
      <c r="S128" s="38">
        <v>1.77E-2</v>
      </c>
      <c r="T128" s="38">
        <v>0.21779999999999999</v>
      </c>
      <c r="U128" s="38"/>
      <c r="V128" s="38"/>
      <c r="W128" s="38">
        <v>6.4000000000000001E-2</v>
      </c>
      <c r="X128" s="38">
        <v>0.26129999999999998</v>
      </c>
      <c r="Y128" s="38">
        <v>9.7000000000000003E-3</v>
      </c>
      <c r="Z128" s="40">
        <v>7.3000000000000001E-3</v>
      </c>
      <c r="AA128" s="40">
        <v>0</v>
      </c>
      <c r="AB128" s="40">
        <v>0</v>
      </c>
      <c r="AC128" s="67"/>
      <c r="AD128" s="55"/>
    </row>
    <row r="129" spans="1:30" s="52" customFormat="1">
      <c r="A129" s="97"/>
      <c r="B129" s="12"/>
      <c r="C129" s="235"/>
      <c r="D129" s="39">
        <f t="shared" ref="D129" si="186">$C128*D128</f>
        <v>1054.910142</v>
      </c>
      <c r="E129" s="39">
        <f t="shared" ref="E129" si="187">$C128*E128</f>
        <v>0</v>
      </c>
      <c r="F129" s="39">
        <f t="shared" ref="F129:AB129" si="188">$C128*F128</f>
        <v>207.78533099999999</v>
      </c>
      <c r="G129" s="39">
        <f t="shared" si="188"/>
        <v>0</v>
      </c>
      <c r="H129" s="39">
        <f t="shared" si="188"/>
        <v>0</v>
      </c>
      <c r="I129" s="39">
        <f t="shared" si="188"/>
        <v>0</v>
      </c>
      <c r="J129" s="39">
        <f t="shared" si="188"/>
        <v>0</v>
      </c>
      <c r="K129" s="39">
        <f t="shared" si="188"/>
        <v>0</v>
      </c>
      <c r="L129" s="39">
        <f t="shared" si="188"/>
        <v>0</v>
      </c>
      <c r="M129" s="39">
        <f t="shared" si="188"/>
        <v>1504.9067759999998</v>
      </c>
      <c r="N129" s="39">
        <f t="shared" si="188"/>
        <v>0</v>
      </c>
      <c r="O129" s="39">
        <f t="shared" si="188"/>
        <v>0</v>
      </c>
      <c r="P129" s="39">
        <f t="shared" si="188"/>
        <v>0</v>
      </c>
      <c r="Q129" s="39">
        <f t="shared" si="188"/>
        <v>2232.770184</v>
      </c>
      <c r="R129" s="39">
        <f t="shared" si="188"/>
        <v>190.57234499999998</v>
      </c>
      <c r="S129" s="39">
        <f t="shared" si="188"/>
        <v>217.62132299999999</v>
      </c>
      <c r="T129" s="39">
        <f t="shared" si="188"/>
        <v>2677.8488219999999</v>
      </c>
      <c r="U129" s="39">
        <f t="shared" si="188"/>
        <v>0</v>
      </c>
      <c r="V129" s="39">
        <f t="shared" si="188"/>
        <v>0</v>
      </c>
      <c r="W129" s="39">
        <f t="shared" si="188"/>
        <v>786.87936000000002</v>
      </c>
      <c r="X129" s="39">
        <f t="shared" si="188"/>
        <v>3212.6808869999995</v>
      </c>
      <c r="Y129" s="39">
        <f t="shared" si="188"/>
        <v>119.261403</v>
      </c>
      <c r="Z129" s="39">
        <f t="shared" si="188"/>
        <v>89.753427000000002</v>
      </c>
      <c r="AA129" s="39">
        <f t="shared" si="188"/>
        <v>0</v>
      </c>
      <c r="AB129" s="39">
        <f t="shared" si="188"/>
        <v>0</v>
      </c>
      <c r="AC129" s="67"/>
      <c r="AD129" s="55"/>
    </row>
    <row r="130" spans="1:30" s="52" customFormat="1">
      <c r="A130" s="98" t="s">
        <v>249</v>
      </c>
      <c r="B130" s="18">
        <v>804906.12</v>
      </c>
      <c r="C130" s="235">
        <f t="shared" si="98"/>
        <v>67075.509999999995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1</v>
      </c>
      <c r="V130" s="5"/>
      <c r="W130" s="5"/>
      <c r="X130" s="5"/>
      <c r="Y130" s="5"/>
      <c r="Z130" s="5"/>
      <c r="AA130" s="5"/>
      <c r="AB130" s="5"/>
      <c r="AC130" s="67"/>
      <c r="AD130" s="55"/>
    </row>
    <row r="131" spans="1:30" s="52" customFormat="1">
      <c r="A131" s="97"/>
      <c r="B131" s="12"/>
      <c r="C131" s="235"/>
      <c r="D131" s="6">
        <f t="shared" ref="D131" si="189">$C130*D130</f>
        <v>0</v>
      </c>
      <c r="E131" s="6">
        <f t="shared" ref="E131" si="190">$C130*E130</f>
        <v>0</v>
      </c>
      <c r="F131" s="6">
        <f t="shared" ref="F131:AB131" si="191">$C130*F130</f>
        <v>0</v>
      </c>
      <c r="G131" s="6">
        <f t="shared" si="191"/>
        <v>0</v>
      </c>
      <c r="H131" s="6">
        <f t="shared" si="191"/>
        <v>0</v>
      </c>
      <c r="I131" s="6">
        <f t="shared" si="191"/>
        <v>0</v>
      </c>
      <c r="J131" s="6">
        <f t="shared" si="191"/>
        <v>0</v>
      </c>
      <c r="K131" s="6">
        <f t="shared" si="191"/>
        <v>0</v>
      </c>
      <c r="L131" s="6">
        <f t="shared" si="191"/>
        <v>0</v>
      </c>
      <c r="M131" s="6">
        <f t="shared" si="191"/>
        <v>0</v>
      </c>
      <c r="N131" s="6">
        <f t="shared" si="191"/>
        <v>0</v>
      </c>
      <c r="O131" s="6">
        <f t="shared" si="191"/>
        <v>0</v>
      </c>
      <c r="P131" s="6">
        <f t="shared" si="191"/>
        <v>0</v>
      </c>
      <c r="Q131" s="6">
        <f t="shared" si="191"/>
        <v>0</v>
      </c>
      <c r="R131" s="6">
        <f t="shared" si="191"/>
        <v>0</v>
      </c>
      <c r="S131" s="6">
        <f t="shared" si="191"/>
        <v>0</v>
      </c>
      <c r="T131" s="6">
        <f t="shared" si="191"/>
        <v>0</v>
      </c>
      <c r="U131" s="6">
        <f t="shared" si="191"/>
        <v>67075.509999999995</v>
      </c>
      <c r="V131" s="6">
        <f t="shared" si="191"/>
        <v>0</v>
      </c>
      <c r="W131" s="6">
        <f t="shared" si="191"/>
        <v>0</v>
      </c>
      <c r="X131" s="6">
        <f t="shared" si="191"/>
        <v>0</v>
      </c>
      <c r="Y131" s="6">
        <f t="shared" si="191"/>
        <v>0</v>
      </c>
      <c r="Z131" s="6">
        <f t="shared" si="191"/>
        <v>0</v>
      </c>
      <c r="AA131" s="6">
        <f t="shared" si="191"/>
        <v>0</v>
      </c>
      <c r="AB131" s="6">
        <f t="shared" si="191"/>
        <v>0</v>
      </c>
      <c r="AC131" s="67"/>
      <c r="AD131" s="55"/>
    </row>
    <row r="132" spans="1:30" s="52" customFormat="1">
      <c r="A132" s="98" t="s">
        <v>251</v>
      </c>
      <c r="B132" s="18">
        <v>2003506.56</v>
      </c>
      <c r="C132" s="235">
        <f t="shared" si="98"/>
        <v>166958.88</v>
      </c>
      <c r="D132" s="5"/>
      <c r="E132" s="5"/>
      <c r="F132" s="5">
        <v>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7"/>
      <c r="AD132" s="55"/>
    </row>
    <row r="133" spans="1:30" s="52" customFormat="1">
      <c r="A133" s="97"/>
      <c r="B133" s="12"/>
      <c r="C133" s="235"/>
      <c r="D133" s="6">
        <f t="shared" ref="D133" si="192">$C132*D132</f>
        <v>0</v>
      </c>
      <c r="E133" s="6">
        <f t="shared" ref="E133" si="193">$C132*E132</f>
        <v>0</v>
      </c>
      <c r="F133" s="6">
        <f t="shared" ref="F133:AB133" si="194">$C132*F132</f>
        <v>166958.88</v>
      </c>
      <c r="G133" s="6">
        <f t="shared" si="194"/>
        <v>0</v>
      </c>
      <c r="H133" s="6">
        <f t="shared" si="194"/>
        <v>0</v>
      </c>
      <c r="I133" s="6">
        <f t="shared" si="194"/>
        <v>0</v>
      </c>
      <c r="J133" s="6">
        <f t="shared" si="194"/>
        <v>0</v>
      </c>
      <c r="K133" s="6">
        <f t="shared" si="194"/>
        <v>0</v>
      </c>
      <c r="L133" s="6">
        <f t="shared" si="194"/>
        <v>0</v>
      </c>
      <c r="M133" s="6">
        <f t="shared" si="194"/>
        <v>0</v>
      </c>
      <c r="N133" s="6">
        <f t="shared" si="194"/>
        <v>0</v>
      </c>
      <c r="O133" s="6">
        <f t="shared" si="194"/>
        <v>0</v>
      </c>
      <c r="P133" s="6">
        <f t="shared" si="194"/>
        <v>0</v>
      </c>
      <c r="Q133" s="6">
        <f t="shared" si="194"/>
        <v>0</v>
      </c>
      <c r="R133" s="6">
        <f t="shared" si="194"/>
        <v>0</v>
      </c>
      <c r="S133" s="6">
        <f t="shared" si="194"/>
        <v>0</v>
      </c>
      <c r="T133" s="6">
        <f t="shared" si="194"/>
        <v>0</v>
      </c>
      <c r="U133" s="6">
        <f t="shared" si="194"/>
        <v>0</v>
      </c>
      <c r="V133" s="6">
        <f t="shared" si="194"/>
        <v>0</v>
      </c>
      <c r="W133" s="6">
        <f t="shared" si="194"/>
        <v>0</v>
      </c>
      <c r="X133" s="6">
        <f t="shared" si="194"/>
        <v>0</v>
      </c>
      <c r="Y133" s="6">
        <f t="shared" si="194"/>
        <v>0</v>
      </c>
      <c r="Z133" s="6">
        <f t="shared" si="194"/>
        <v>0</v>
      </c>
      <c r="AA133" s="6">
        <f t="shared" si="194"/>
        <v>0</v>
      </c>
      <c r="AB133" s="6">
        <f t="shared" si="194"/>
        <v>0</v>
      </c>
      <c r="AC133" s="67"/>
      <c r="AD133" s="55"/>
    </row>
    <row r="134" spans="1:30" s="52" customFormat="1">
      <c r="A134" s="98" t="s">
        <v>252</v>
      </c>
      <c r="B134" s="18">
        <v>3367982.38</v>
      </c>
      <c r="C134" s="235">
        <f t="shared" si="98"/>
        <v>280665.2</v>
      </c>
      <c r="D134" s="5"/>
      <c r="E134" s="5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7"/>
      <c r="AD134" s="55"/>
    </row>
    <row r="135" spans="1:30" s="52" customFormat="1">
      <c r="A135" s="97"/>
      <c r="B135" s="12"/>
      <c r="C135" s="235"/>
      <c r="D135" s="6">
        <f t="shared" ref="D135" si="195">$C134*D134</f>
        <v>0</v>
      </c>
      <c r="E135" s="6">
        <f t="shared" ref="E135" si="196">$C134*E134</f>
        <v>0</v>
      </c>
      <c r="F135" s="6">
        <f t="shared" ref="F135:AB135" si="197">$C134*F134</f>
        <v>280665.2</v>
      </c>
      <c r="G135" s="6">
        <f t="shared" si="197"/>
        <v>0</v>
      </c>
      <c r="H135" s="6">
        <f t="shared" si="197"/>
        <v>0</v>
      </c>
      <c r="I135" s="6">
        <f t="shared" si="197"/>
        <v>0</v>
      </c>
      <c r="J135" s="6">
        <f t="shared" si="197"/>
        <v>0</v>
      </c>
      <c r="K135" s="6">
        <f t="shared" si="197"/>
        <v>0</v>
      </c>
      <c r="L135" s="6">
        <f t="shared" si="197"/>
        <v>0</v>
      </c>
      <c r="M135" s="6">
        <f t="shared" si="197"/>
        <v>0</v>
      </c>
      <c r="N135" s="6">
        <f t="shared" si="197"/>
        <v>0</v>
      </c>
      <c r="O135" s="6">
        <f t="shared" si="197"/>
        <v>0</v>
      </c>
      <c r="P135" s="6">
        <f t="shared" si="197"/>
        <v>0</v>
      </c>
      <c r="Q135" s="6">
        <f t="shared" si="197"/>
        <v>0</v>
      </c>
      <c r="R135" s="6">
        <f t="shared" si="197"/>
        <v>0</v>
      </c>
      <c r="S135" s="6">
        <f t="shared" si="197"/>
        <v>0</v>
      </c>
      <c r="T135" s="6">
        <f t="shared" si="197"/>
        <v>0</v>
      </c>
      <c r="U135" s="6">
        <f t="shared" si="197"/>
        <v>0</v>
      </c>
      <c r="V135" s="6">
        <f t="shared" si="197"/>
        <v>0</v>
      </c>
      <c r="W135" s="6">
        <f t="shared" si="197"/>
        <v>0</v>
      </c>
      <c r="X135" s="6">
        <f t="shared" si="197"/>
        <v>0</v>
      </c>
      <c r="Y135" s="6">
        <f t="shared" si="197"/>
        <v>0</v>
      </c>
      <c r="Z135" s="6">
        <f t="shared" si="197"/>
        <v>0</v>
      </c>
      <c r="AA135" s="6">
        <f t="shared" si="197"/>
        <v>0</v>
      </c>
      <c r="AB135" s="6">
        <f t="shared" si="197"/>
        <v>0</v>
      </c>
      <c r="AC135" s="67"/>
      <c r="AD135" s="55"/>
    </row>
    <row r="136" spans="1:30" s="52" customFormat="1">
      <c r="A136" s="98" t="s">
        <v>253</v>
      </c>
      <c r="B136" s="18">
        <v>185422.33</v>
      </c>
      <c r="C136" s="235">
        <f t="shared" si="98"/>
        <v>15451.86</v>
      </c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7"/>
      <c r="AD136" s="55"/>
    </row>
    <row r="137" spans="1:30" s="52" customFormat="1">
      <c r="A137" s="97"/>
      <c r="B137" s="12"/>
      <c r="C137" s="235"/>
      <c r="D137" s="6">
        <f t="shared" ref="D137" si="198">$C136*D136</f>
        <v>0</v>
      </c>
      <c r="E137" s="6">
        <f t="shared" ref="E137" si="199">$C136*E136</f>
        <v>0</v>
      </c>
      <c r="F137" s="6">
        <f t="shared" ref="F137:AB137" si="200">$C136*F136</f>
        <v>15451.86</v>
      </c>
      <c r="G137" s="6">
        <f t="shared" si="200"/>
        <v>0</v>
      </c>
      <c r="H137" s="6">
        <f t="shared" si="200"/>
        <v>0</v>
      </c>
      <c r="I137" s="6">
        <f t="shared" si="200"/>
        <v>0</v>
      </c>
      <c r="J137" s="6">
        <f t="shared" si="200"/>
        <v>0</v>
      </c>
      <c r="K137" s="6">
        <f t="shared" si="200"/>
        <v>0</v>
      </c>
      <c r="L137" s="6">
        <f t="shared" si="200"/>
        <v>0</v>
      </c>
      <c r="M137" s="6">
        <f t="shared" si="200"/>
        <v>0</v>
      </c>
      <c r="N137" s="6">
        <f t="shared" si="200"/>
        <v>0</v>
      </c>
      <c r="O137" s="6">
        <f t="shared" si="200"/>
        <v>0</v>
      </c>
      <c r="P137" s="6">
        <f t="shared" si="200"/>
        <v>0</v>
      </c>
      <c r="Q137" s="6">
        <f t="shared" si="200"/>
        <v>0</v>
      </c>
      <c r="R137" s="6">
        <f t="shared" si="200"/>
        <v>0</v>
      </c>
      <c r="S137" s="6">
        <f t="shared" si="200"/>
        <v>0</v>
      </c>
      <c r="T137" s="6">
        <f t="shared" si="200"/>
        <v>0</v>
      </c>
      <c r="U137" s="6">
        <f t="shared" si="200"/>
        <v>0</v>
      </c>
      <c r="V137" s="6">
        <f t="shared" si="200"/>
        <v>0</v>
      </c>
      <c r="W137" s="6">
        <f t="shared" si="200"/>
        <v>0</v>
      </c>
      <c r="X137" s="6">
        <f t="shared" si="200"/>
        <v>0</v>
      </c>
      <c r="Y137" s="6">
        <f t="shared" si="200"/>
        <v>0</v>
      </c>
      <c r="Z137" s="6">
        <f t="shared" si="200"/>
        <v>0</v>
      </c>
      <c r="AA137" s="6">
        <f t="shared" si="200"/>
        <v>0</v>
      </c>
      <c r="AB137" s="6">
        <f t="shared" si="200"/>
        <v>0</v>
      </c>
      <c r="AC137" s="67"/>
      <c r="AD137" s="55"/>
    </row>
    <row r="138" spans="1:30" s="52" customFormat="1">
      <c r="A138" s="98" t="s">
        <v>254</v>
      </c>
      <c r="B138" s="18">
        <v>98427.39</v>
      </c>
      <c r="C138" s="235">
        <f t="shared" ref="C138:C160" si="201">ROUND(B138/12,2)</f>
        <v>8202.2800000000007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7"/>
      <c r="AD138" s="55"/>
    </row>
    <row r="139" spans="1:30" s="52" customFormat="1">
      <c r="A139" s="97"/>
      <c r="B139" s="12"/>
      <c r="C139" s="235"/>
      <c r="D139" s="6">
        <f t="shared" ref="D139" si="202">$C138*D138</f>
        <v>0</v>
      </c>
      <c r="E139" s="6">
        <f t="shared" ref="E139" si="203">$C138*E138</f>
        <v>0</v>
      </c>
      <c r="F139" s="6">
        <f t="shared" ref="F139:AB139" si="204">$C138*F138</f>
        <v>8202.2800000000007</v>
      </c>
      <c r="G139" s="6">
        <f t="shared" si="204"/>
        <v>0</v>
      </c>
      <c r="H139" s="6">
        <f t="shared" si="204"/>
        <v>0</v>
      </c>
      <c r="I139" s="6">
        <f t="shared" si="204"/>
        <v>0</v>
      </c>
      <c r="J139" s="6">
        <f t="shared" si="204"/>
        <v>0</v>
      </c>
      <c r="K139" s="6">
        <f t="shared" si="204"/>
        <v>0</v>
      </c>
      <c r="L139" s="6">
        <f t="shared" si="204"/>
        <v>0</v>
      </c>
      <c r="M139" s="6">
        <f t="shared" si="204"/>
        <v>0</v>
      </c>
      <c r="N139" s="6">
        <f t="shared" si="204"/>
        <v>0</v>
      </c>
      <c r="O139" s="6">
        <f t="shared" si="204"/>
        <v>0</v>
      </c>
      <c r="P139" s="6">
        <f t="shared" si="204"/>
        <v>0</v>
      </c>
      <c r="Q139" s="6">
        <f t="shared" si="204"/>
        <v>0</v>
      </c>
      <c r="R139" s="6">
        <f t="shared" si="204"/>
        <v>0</v>
      </c>
      <c r="S139" s="6">
        <f t="shared" si="204"/>
        <v>0</v>
      </c>
      <c r="T139" s="6">
        <f t="shared" si="204"/>
        <v>0</v>
      </c>
      <c r="U139" s="6">
        <f t="shared" si="204"/>
        <v>0</v>
      </c>
      <c r="V139" s="6">
        <f t="shared" si="204"/>
        <v>0</v>
      </c>
      <c r="W139" s="6">
        <f t="shared" si="204"/>
        <v>0</v>
      </c>
      <c r="X139" s="6">
        <f t="shared" si="204"/>
        <v>0</v>
      </c>
      <c r="Y139" s="6">
        <f t="shared" si="204"/>
        <v>0</v>
      </c>
      <c r="Z139" s="6">
        <f t="shared" si="204"/>
        <v>0</v>
      </c>
      <c r="AA139" s="6">
        <f t="shared" si="204"/>
        <v>0</v>
      </c>
      <c r="AB139" s="6">
        <f t="shared" si="204"/>
        <v>0</v>
      </c>
      <c r="AC139" s="67"/>
      <c r="AD139" s="55"/>
    </row>
    <row r="140" spans="1:30" s="52" customFormat="1">
      <c r="A140" s="98" t="s">
        <v>288</v>
      </c>
      <c r="B140" s="18">
        <v>8094837</v>
      </c>
      <c r="C140" s="235">
        <f t="shared" si="201"/>
        <v>674569.75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7"/>
      <c r="AD140" s="55"/>
    </row>
    <row r="141" spans="1:30" s="52" customFormat="1">
      <c r="A141" s="97"/>
      <c r="B141" s="12"/>
      <c r="C141" s="235"/>
      <c r="D141" s="6">
        <f t="shared" ref="D141" si="205">$C140*D140</f>
        <v>0</v>
      </c>
      <c r="E141" s="6">
        <f t="shared" ref="E141" si="206">$C140*E140</f>
        <v>0</v>
      </c>
      <c r="F141" s="6">
        <f t="shared" ref="F141:AB141" si="207">$C140*F140</f>
        <v>674569.75</v>
      </c>
      <c r="G141" s="6">
        <f t="shared" si="207"/>
        <v>0</v>
      </c>
      <c r="H141" s="6">
        <f t="shared" si="207"/>
        <v>0</v>
      </c>
      <c r="I141" s="6">
        <f t="shared" si="207"/>
        <v>0</v>
      </c>
      <c r="J141" s="6">
        <f t="shared" si="207"/>
        <v>0</v>
      </c>
      <c r="K141" s="6">
        <f t="shared" si="207"/>
        <v>0</v>
      </c>
      <c r="L141" s="6">
        <f t="shared" si="207"/>
        <v>0</v>
      </c>
      <c r="M141" s="6">
        <f t="shared" si="207"/>
        <v>0</v>
      </c>
      <c r="N141" s="6">
        <f t="shared" si="207"/>
        <v>0</v>
      </c>
      <c r="O141" s="6">
        <f t="shared" si="207"/>
        <v>0</v>
      </c>
      <c r="P141" s="6">
        <f t="shared" si="207"/>
        <v>0</v>
      </c>
      <c r="Q141" s="6">
        <f t="shared" si="207"/>
        <v>0</v>
      </c>
      <c r="R141" s="6">
        <f t="shared" si="207"/>
        <v>0</v>
      </c>
      <c r="S141" s="6">
        <f t="shared" si="207"/>
        <v>0</v>
      </c>
      <c r="T141" s="6">
        <f t="shared" si="207"/>
        <v>0</v>
      </c>
      <c r="U141" s="6">
        <f t="shared" si="207"/>
        <v>0</v>
      </c>
      <c r="V141" s="6">
        <f t="shared" si="207"/>
        <v>0</v>
      </c>
      <c r="W141" s="6">
        <f t="shared" si="207"/>
        <v>0</v>
      </c>
      <c r="X141" s="6">
        <f t="shared" si="207"/>
        <v>0</v>
      </c>
      <c r="Y141" s="6">
        <f t="shared" si="207"/>
        <v>0</v>
      </c>
      <c r="Z141" s="6">
        <f t="shared" si="207"/>
        <v>0</v>
      </c>
      <c r="AA141" s="6">
        <f t="shared" si="207"/>
        <v>0</v>
      </c>
      <c r="AB141" s="6">
        <f t="shared" si="207"/>
        <v>0</v>
      </c>
      <c r="AC141" s="67"/>
      <c r="AD141" s="55"/>
    </row>
    <row r="142" spans="1:30" s="52" customFormat="1">
      <c r="A142" s="98" t="s">
        <v>292</v>
      </c>
      <c r="B142" s="18">
        <v>5095025.9800000004</v>
      </c>
      <c r="C142" s="235">
        <f t="shared" si="201"/>
        <v>424585.5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/>
      <c r="AC142" s="67"/>
      <c r="AD142" s="55"/>
    </row>
    <row r="143" spans="1:30" s="52" customFormat="1">
      <c r="A143" s="97"/>
      <c r="B143" s="12"/>
      <c r="C143" s="235"/>
      <c r="D143" s="6">
        <f t="shared" ref="D143" si="208">$C142*D142</f>
        <v>0</v>
      </c>
      <c r="E143" s="6">
        <f t="shared" ref="E143" si="209">$C142*E142</f>
        <v>0</v>
      </c>
      <c r="F143" s="6">
        <f t="shared" ref="F143:AB143" si="210">$C142*F142</f>
        <v>0</v>
      </c>
      <c r="G143" s="6">
        <f t="shared" si="210"/>
        <v>0</v>
      </c>
      <c r="H143" s="6">
        <f t="shared" si="210"/>
        <v>0</v>
      </c>
      <c r="I143" s="6">
        <f t="shared" si="210"/>
        <v>0</v>
      </c>
      <c r="J143" s="6">
        <f t="shared" si="210"/>
        <v>0</v>
      </c>
      <c r="K143" s="6">
        <f t="shared" si="210"/>
        <v>0</v>
      </c>
      <c r="L143" s="6">
        <f t="shared" si="210"/>
        <v>0</v>
      </c>
      <c r="M143" s="6">
        <f t="shared" si="210"/>
        <v>0</v>
      </c>
      <c r="N143" s="6">
        <f t="shared" si="210"/>
        <v>0</v>
      </c>
      <c r="O143" s="6">
        <f t="shared" si="210"/>
        <v>0</v>
      </c>
      <c r="P143" s="6">
        <f t="shared" si="210"/>
        <v>0</v>
      </c>
      <c r="Q143" s="6">
        <f t="shared" si="210"/>
        <v>0</v>
      </c>
      <c r="R143" s="6">
        <f t="shared" si="210"/>
        <v>0</v>
      </c>
      <c r="S143" s="6">
        <f t="shared" si="210"/>
        <v>0</v>
      </c>
      <c r="T143" s="6">
        <f t="shared" si="210"/>
        <v>0</v>
      </c>
      <c r="U143" s="6">
        <f t="shared" si="210"/>
        <v>424585.5</v>
      </c>
      <c r="V143" s="6">
        <f t="shared" si="210"/>
        <v>0</v>
      </c>
      <c r="W143" s="6">
        <f t="shared" si="210"/>
        <v>0</v>
      </c>
      <c r="X143" s="6">
        <f t="shared" si="210"/>
        <v>0</v>
      </c>
      <c r="Y143" s="6">
        <f t="shared" si="210"/>
        <v>0</v>
      </c>
      <c r="Z143" s="6">
        <f t="shared" si="210"/>
        <v>0</v>
      </c>
      <c r="AA143" s="6">
        <f t="shared" si="210"/>
        <v>0</v>
      </c>
      <c r="AB143" s="6">
        <f t="shared" si="210"/>
        <v>0</v>
      </c>
      <c r="AC143" s="67"/>
      <c r="AD143" s="55"/>
    </row>
    <row r="144" spans="1:30" s="52" customFormat="1">
      <c r="A144" s="98" t="s">
        <v>289</v>
      </c>
      <c r="B144" s="18">
        <v>5269920.71</v>
      </c>
      <c r="C144" s="235">
        <f t="shared" si="201"/>
        <v>439160.06</v>
      </c>
      <c r="D144" s="5"/>
      <c r="E144" s="5"/>
      <c r="F144" s="5">
        <v>1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7"/>
      <c r="AD144" s="55"/>
    </row>
    <row r="145" spans="1:30" s="52" customFormat="1">
      <c r="A145" s="97"/>
      <c r="B145" s="12"/>
      <c r="C145" s="235"/>
      <c r="D145" s="6">
        <f t="shared" ref="D145" si="211">$C144*D144</f>
        <v>0</v>
      </c>
      <c r="E145" s="6">
        <f t="shared" ref="E145" si="212">$C144*E144</f>
        <v>0</v>
      </c>
      <c r="F145" s="6">
        <f t="shared" ref="F145:AB145" si="213">$C144*F144</f>
        <v>439160.06</v>
      </c>
      <c r="G145" s="6">
        <f t="shared" si="213"/>
        <v>0</v>
      </c>
      <c r="H145" s="6">
        <f t="shared" si="213"/>
        <v>0</v>
      </c>
      <c r="I145" s="6">
        <f t="shared" si="213"/>
        <v>0</v>
      </c>
      <c r="J145" s="6">
        <f t="shared" si="213"/>
        <v>0</v>
      </c>
      <c r="K145" s="6">
        <f t="shared" si="213"/>
        <v>0</v>
      </c>
      <c r="L145" s="6">
        <f t="shared" si="213"/>
        <v>0</v>
      </c>
      <c r="M145" s="6">
        <f t="shared" si="213"/>
        <v>0</v>
      </c>
      <c r="N145" s="6">
        <f t="shared" si="213"/>
        <v>0</v>
      </c>
      <c r="O145" s="6">
        <f t="shared" si="213"/>
        <v>0</v>
      </c>
      <c r="P145" s="6">
        <f t="shared" si="213"/>
        <v>0</v>
      </c>
      <c r="Q145" s="6">
        <f t="shared" si="213"/>
        <v>0</v>
      </c>
      <c r="R145" s="6">
        <f t="shared" si="213"/>
        <v>0</v>
      </c>
      <c r="S145" s="6">
        <f t="shared" si="213"/>
        <v>0</v>
      </c>
      <c r="T145" s="6">
        <f t="shared" si="213"/>
        <v>0</v>
      </c>
      <c r="U145" s="6">
        <f t="shared" si="213"/>
        <v>0</v>
      </c>
      <c r="V145" s="6">
        <f t="shared" si="213"/>
        <v>0</v>
      </c>
      <c r="W145" s="6">
        <f t="shared" si="213"/>
        <v>0</v>
      </c>
      <c r="X145" s="6">
        <f t="shared" si="213"/>
        <v>0</v>
      </c>
      <c r="Y145" s="6">
        <f t="shared" si="213"/>
        <v>0</v>
      </c>
      <c r="Z145" s="6">
        <f t="shared" si="213"/>
        <v>0</v>
      </c>
      <c r="AA145" s="6">
        <f t="shared" si="213"/>
        <v>0</v>
      </c>
      <c r="AB145" s="6">
        <f t="shared" si="213"/>
        <v>0</v>
      </c>
      <c r="AC145" s="67"/>
      <c r="AD145" s="55"/>
    </row>
    <row r="146" spans="1:30" s="52" customFormat="1">
      <c r="A146" s="98" t="s">
        <v>290</v>
      </c>
      <c r="B146" s="18">
        <v>12075037.6</v>
      </c>
      <c r="C146" s="235">
        <f t="shared" si="201"/>
        <v>1006253.13</v>
      </c>
      <c r="D146" s="5"/>
      <c r="E146" s="5"/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7"/>
      <c r="AD146" s="55"/>
    </row>
    <row r="147" spans="1:30" s="52" customFormat="1">
      <c r="A147" s="97"/>
      <c r="B147" s="12"/>
      <c r="C147" s="235"/>
      <c r="D147" s="6">
        <f t="shared" ref="D147" si="214">$C146*D146</f>
        <v>0</v>
      </c>
      <c r="E147" s="6">
        <f t="shared" ref="E147" si="215">$C146*E146</f>
        <v>0</v>
      </c>
      <c r="F147" s="6">
        <f t="shared" ref="F147:AB147" si="216">$C146*F146</f>
        <v>1006253.13</v>
      </c>
      <c r="G147" s="6">
        <f t="shared" si="216"/>
        <v>0</v>
      </c>
      <c r="H147" s="6">
        <f t="shared" si="216"/>
        <v>0</v>
      </c>
      <c r="I147" s="6">
        <f t="shared" si="216"/>
        <v>0</v>
      </c>
      <c r="J147" s="6">
        <f t="shared" si="216"/>
        <v>0</v>
      </c>
      <c r="K147" s="6">
        <f t="shared" si="216"/>
        <v>0</v>
      </c>
      <c r="L147" s="6">
        <f t="shared" si="216"/>
        <v>0</v>
      </c>
      <c r="M147" s="6">
        <f t="shared" si="216"/>
        <v>0</v>
      </c>
      <c r="N147" s="6">
        <f t="shared" si="216"/>
        <v>0</v>
      </c>
      <c r="O147" s="6">
        <f t="shared" si="216"/>
        <v>0</v>
      </c>
      <c r="P147" s="6">
        <f t="shared" si="216"/>
        <v>0</v>
      </c>
      <c r="Q147" s="6">
        <f t="shared" si="216"/>
        <v>0</v>
      </c>
      <c r="R147" s="6">
        <f t="shared" si="216"/>
        <v>0</v>
      </c>
      <c r="S147" s="6">
        <f t="shared" si="216"/>
        <v>0</v>
      </c>
      <c r="T147" s="6">
        <f t="shared" si="216"/>
        <v>0</v>
      </c>
      <c r="U147" s="6">
        <f t="shared" si="216"/>
        <v>0</v>
      </c>
      <c r="V147" s="6">
        <f t="shared" si="216"/>
        <v>0</v>
      </c>
      <c r="W147" s="6">
        <f t="shared" si="216"/>
        <v>0</v>
      </c>
      <c r="X147" s="6">
        <f t="shared" si="216"/>
        <v>0</v>
      </c>
      <c r="Y147" s="6">
        <f t="shared" si="216"/>
        <v>0</v>
      </c>
      <c r="Z147" s="6">
        <f t="shared" si="216"/>
        <v>0</v>
      </c>
      <c r="AA147" s="6">
        <f t="shared" si="216"/>
        <v>0</v>
      </c>
      <c r="AB147" s="6">
        <f t="shared" si="216"/>
        <v>0</v>
      </c>
      <c r="AC147" s="67"/>
      <c r="AD147" s="55"/>
    </row>
    <row r="148" spans="1:30" s="52" customFormat="1">
      <c r="A148" s="98" t="s">
        <v>291</v>
      </c>
      <c r="B148" s="18">
        <v>4153176.86</v>
      </c>
      <c r="C148" s="235">
        <f t="shared" si="201"/>
        <v>346098.07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1</v>
      </c>
      <c r="V148" s="5"/>
      <c r="W148" s="5"/>
      <c r="X148" s="5"/>
      <c r="Y148" s="5"/>
      <c r="Z148" s="5"/>
      <c r="AA148" s="5"/>
      <c r="AB148" s="5"/>
      <c r="AC148" s="67"/>
      <c r="AD148" s="55"/>
    </row>
    <row r="149" spans="1:30" s="52" customFormat="1">
      <c r="A149" s="97"/>
      <c r="B149" s="12"/>
      <c r="C149" s="235"/>
      <c r="D149" s="6">
        <f t="shared" ref="D149" si="217">$C148*D148</f>
        <v>0</v>
      </c>
      <c r="E149" s="6">
        <f t="shared" ref="E149" si="218">$C148*E148</f>
        <v>0</v>
      </c>
      <c r="F149" s="6">
        <f t="shared" ref="F149:AB149" si="219">$C148*F148</f>
        <v>0</v>
      </c>
      <c r="G149" s="6">
        <f t="shared" si="219"/>
        <v>0</v>
      </c>
      <c r="H149" s="6">
        <f t="shared" si="219"/>
        <v>0</v>
      </c>
      <c r="I149" s="6">
        <f t="shared" si="219"/>
        <v>0</v>
      </c>
      <c r="J149" s="6">
        <f t="shared" si="219"/>
        <v>0</v>
      </c>
      <c r="K149" s="6">
        <f t="shared" si="219"/>
        <v>0</v>
      </c>
      <c r="L149" s="6">
        <f t="shared" si="219"/>
        <v>0</v>
      </c>
      <c r="M149" s="6">
        <f t="shared" si="219"/>
        <v>0</v>
      </c>
      <c r="N149" s="6">
        <f t="shared" si="219"/>
        <v>0</v>
      </c>
      <c r="O149" s="6">
        <f t="shared" si="219"/>
        <v>0</v>
      </c>
      <c r="P149" s="6">
        <f t="shared" si="219"/>
        <v>0</v>
      </c>
      <c r="Q149" s="6">
        <f t="shared" si="219"/>
        <v>0</v>
      </c>
      <c r="R149" s="6">
        <f t="shared" si="219"/>
        <v>0</v>
      </c>
      <c r="S149" s="6">
        <f t="shared" si="219"/>
        <v>0</v>
      </c>
      <c r="T149" s="6">
        <f t="shared" si="219"/>
        <v>0</v>
      </c>
      <c r="U149" s="6">
        <f t="shared" si="219"/>
        <v>346098.07</v>
      </c>
      <c r="V149" s="6">
        <f t="shared" si="219"/>
        <v>0</v>
      </c>
      <c r="W149" s="6">
        <f t="shared" si="219"/>
        <v>0</v>
      </c>
      <c r="X149" s="6">
        <f t="shared" si="219"/>
        <v>0</v>
      </c>
      <c r="Y149" s="6">
        <f t="shared" si="219"/>
        <v>0</v>
      </c>
      <c r="Z149" s="6">
        <f t="shared" si="219"/>
        <v>0</v>
      </c>
      <c r="AA149" s="6">
        <f t="shared" si="219"/>
        <v>0</v>
      </c>
      <c r="AB149" s="6">
        <f t="shared" si="219"/>
        <v>0</v>
      </c>
      <c r="AC149" s="67"/>
      <c r="AD149" s="55"/>
    </row>
    <row r="150" spans="1:30" s="52" customFormat="1">
      <c r="A150" s="98" t="s">
        <v>319</v>
      </c>
      <c r="B150" s="18">
        <v>217023.75</v>
      </c>
      <c r="C150" s="235">
        <f t="shared" si="201"/>
        <v>18085.310000000001</v>
      </c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7"/>
      <c r="AD150" s="55"/>
    </row>
    <row r="151" spans="1:30" s="52" customFormat="1">
      <c r="A151" s="97"/>
      <c r="B151" s="12"/>
      <c r="C151" s="235"/>
      <c r="D151" s="6">
        <f t="shared" ref="D151" si="220">$C150*D150</f>
        <v>0</v>
      </c>
      <c r="E151" s="6">
        <f t="shared" ref="E151" si="221">$C150*E150</f>
        <v>0</v>
      </c>
      <c r="F151" s="6">
        <f t="shared" ref="F151:AB151" si="222">$C150*F150</f>
        <v>18085.310000000001</v>
      </c>
      <c r="G151" s="6">
        <f t="shared" si="222"/>
        <v>0</v>
      </c>
      <c r="H151" s="6">
        <f t="shared" si="222"/>
        <v>0</v>
      </c>
      <c r="I151" s="6">
        <f t="shared" si="222"/>
        <v>0</v>
      </c>
      <c r="J151" s="6">
        <f t="shared" si="222"/>
        <v>0</v>
      </c>
      <c r="K151" s="6">
        <f t="shared" si="222"/>
        <v>0</v>
      </c>
      <c r="L151" s="6">
        <f t="shared" si="222"/>
        <v>0</v>
      </c>
      <c r="M151" s="6">
        <f t="shared" si="222"/>
        <v>0</v>
      </c>
      <c r="N151" s="6">
        <f t="shared" si="222"/>
        <v>0</v>
      </c>
      <c r="O151" s="6">
        <f t="shared" si="222"/>
        <v>0</v>
      </c>
      <c r="P151" s="6">
        <f t="shared" si="222"/>
        <v>0</v>
      </c>
      <c r="Q151" s="6">
        <f t="shared" si="222"/>
        <v>0</v>
      </c>
      <c r="R151" s="6">
        <f t="shared" si="222"/>
        <v>0</v>
      </c>
      <c r="S151" s="6">
        <f t="shared" si="222"/>
        <v>0</v>
      </c>
      <c r="T151" s="6">
        <f t="shared" si="222"/>
        <v>0</v>
      </c>
      <c r="U151" s="6">
        <f t="shared" si="222"/>
        <v>0</v>
      </c>
      <c r="V151" s="6">
        <f t="shared" si="222"/>
        <v>0</v>
      </c>
      <c r="W151" s="6">
        <f t="shared" si="222"/>
        <v>0</v>
      </c>
      <c r="X151" s="6">
        <f t="shared" si="222"/>
        <v>0</v>
      </c>
      <c r="Y151" s="6">
        <f t="shared" si="222"/>
        <v>0</v>
      </c>
      <c r="Z151" s="6">
        <f t="shared" si="222"/>
        <v>0</v>
      </c>
      <c r="AA151" s="6">
        <f t="shared" si="222"/>
        <v>0</v>
      </c>
      <c r="AB151" s="6">
        <f t="shared" si="222"/>
        <v>0</v>
      </c>
      <c r="AC151" s="67"/>
      <c r="AD151" s="55"/>
    </row>
    <row r="152" spans="1:30" s="52" customFormat="1">
      <c r="A152" s="98" t="s">
        <v>320</v>
      </c>
      <c r="B152" s="18">
        <v>2597542.06</v>
      </c>
      <c r="C152" s="235">
        <f t="shared" si="201"/>
        <v>216461.84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>
        <v>1</v>
      </c>
      <c r="V152" s="5"/>
      <c r="W152" s="5"/>
      <c r="X152" s="5"/>
      <c r="Y152" s="5"/>
      <c r="Z152" s="5"/>
      <c r="AA152" s="5"/>
      <c r="AB152" s="5"/>
      <c r="AC152" s="67"/>
      <c r="AD152" s="55"/>
    </row>
    <row r="153" spans="1:30" s="52" customFormat="1">
      <c r="A153" s="97"/>
      <c r="B153" s="12"/>
      <c r="C153" s="235"/>
      <c r="D153" s="6">
        <f t="shared" ref="D153" si="223">$C152*D152</f>
        <v>0</v>
      </c>
      <c r="E153" s="6">
        <f t="shared" ref="E153" si="224">$C152*E152</f>
        <v>0</v>
      </c>
      <c r="F153" s="6">
        <f t="shared" ref="F153:AB153" si="225">$C152*F152</f>
        <v>0</v>
      </c>
      <c r="G153" s="6">
        <f t="shared" si="225"/>
        <v>0</v>
      </c>
      <c r="H153" s="6">
        <f t="shared" si="225"/>
        <v>0</v>
      </c>
      <c r="I153" s="6">
        <f t="shared" si="225"/>
        <v>0</v>
      </c>
      <c r="J153" s="6">
        <f t="shared" si="225"/>
        <v>0</v>
      </c>
      <c r="K153" s="6">
        <f t="shared" si="225"/>
        <v>0</v>
      </c>
      <c r="L153" s="6">
        <f t="shared" si="225"/>
        <v>0</v>
      </c>
      <c r="M153" s="6">
        <f t="shared" si="225"/>
        <v>0</v>
      </c>
      <c r="N153" s="6">
        <f t="shared" si="225"/>
        <v>0</v>
      </c>
      <c r="O153" s="6">
        <f t="shared" si="225"/>
        <v>0</v>
      </c>
      <c r="P153" s="6">
        <f t="shared" si="225"/>
        <v>0</v>
      </c>
      <c r="Q153" s="6">
        <f t="shared" si="225"/>
        <v>0</v>
      </c>
      <c r="R153" s="6">
        <f t="shared" si="225"/>
        <v>0</v>
      </c>
      <c r="S153" s="6">
        <f t="shared" si="225"/>
        <v>0</v>
      </c>
      <c r="T153" s="6">
        <f t="shared" si="225"/>
        <v>0</v>
      </c>
      <c r="U153" s="6">
        <f t="shared" si="225"/>
        <v>216461.84</v>
      </c>
      <c r="V153" s="6">
        <f t="shared" si="225"/>
        <v>0</v>
      </c>
      <c r="W153" s="6">
        <f t="shared" si="225"/>
        <v>0</v>
      </c>
      <c r="X153" s="6">
        <f t="shared" si="225"/>
        <v>0</v>
      </c>
      <c r="Y153" s="6">
        <f t="shared" si="225"/>
        <v>0</v>
      </c>
      <c r="Z153" s="6">
        <f t="shared" si="225"/>
        <v>0</v>
      </c>
      <c r="AA153" s="6">
        <f t="shared" si="225"/>
        <v>0</v>
      </c>
      <c r="AB153" s="6">
        <f t="shared" si="225"/>
        <v>0</v>
      </c>
      <c r="AC153" s="67"/>
      <c r="AD153" s="55"/>
    </row>
    <row r="154" spans="1:30" s="52" customFormat="1">
      <c r="A154" s="98" t="s">
        <v>321</v>
      </c>
      <c r="B154" s="18">
        <v>0</v>
      </c>
      <c r="C154" s="235">
        <f t="shared" si="201"/>
        <v>0</v>
      </c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7"/>
      <c r="AD154" s="55"/>
    </row>
    <row r="155" spans="1:30" s="52" customFormat="1">
      <c r="A155" s="97"/>
      <c r="B155" s="12"/>
      <c r="C155" s="235"/>
      <c r="D155" s="6">
        <f t="shared" ref="D155" si="226">$C154*D154</f>
        <v>0</v>
      </c>
      <c r="E155" s="6">
        <f t="shared" ref="E155" si="227">$C154*E154</f>
        <v>0</v>
      </c>
      <c r="F155" s="6">
        <f t="shared" ref="F155:AB155" si="228">$C154*F154</f>
        <v>0</v>
      </c>
      <c r="G155" s="6">
        <f t="shared" si="228"/>
        <v>0</v>
      </c>
      <c r="H155" s="6">
        <f t="shared" si="228"/>
        <v>0</v>
      </c>
      <c r="I155" s="6">
        <f t="shared" si="228"/>
        <v>0</v>
      </c>
      <c r="J155" s="6">
        <f t="shared" si="228"/>
        <v>0</v>
      </c>
      <c r="K155" s="6">
        <f t="shared" si="228"/>
        <v>0</v>
      </c>
      <c r="L155" s="6">
        <f t="shared" si="228"/>
        <v>0</v>
      </c>
      <c r="M155" s="6">
        <f t="shared" si="228"/>
        <v>0</v>
      </c>
      <c r="N155" s="6">
        <f t="shared" si="228"/>
        <v>0</v>
      </c>
      <c r="O155" s="6">
        <f t="shared" si="228"/>
        <v>0</v>
      </c>
      <c r="P155" s="6">
        <f t="shared" si="228"/>
        <v>0</v>
      </c>
      <c r="Q155" s="6">
        <f t="shared" si="228"/>
        <v>0</v>
      </c>
      <c r="R155" s="6">
        <f t="shared" si="228"/>
        <v>0</v>
      </c>
      <c r="S155" s="6">
        <f t="shared" si="228"/>
        <v>0</v>
      </c>
      <c r="T155" s="6">
        <f t="shared" si="228"/>
        <v>0</v>
      </c>
      <c r="U155" s="6">
        <f t="shared" si="228"/>
        <v>0</v>
      </c>
      <c r="V155" s="6">
        <f t="shared" si="228"/>
        <v>0</v>
      </c>
      <c r="W155" s="6">
        <f t="shared" si="228"/>
        <v>0</v>
      </c>
      <c r="X155" s="6">
        <f t="shared" si="228"/>
        <v>0</v>
      </c>
      <c r="Y155" s="6">
        <f t="shared" si="228"/>
        <v>0</v>
      </c>
      <c r="Z155" s="6">
        <f t="shared" si="228"/>
        <v>0</v>
      </c>
      <c r="AA155" s="6">
        <f t="shared" si="228"/>
        <v>0</v>
      </c>
      <c r="AB155" s="6">
        <f t="shared" si="228"/>
        <v>0</v>
      </c>
      <c r="AC155" s="67"/>
      <c r="AD155" s="55"/>
    </row>
    <row r="156" spans="1:30" s="52" customFormat="1">
      <c r="A156" s="101" t="s">
        <v>387</v>
      </c>
      <c r="B156" s="59">
        <v>1172246.3999999999</v>
      </c>
      <c r="C156" s="235">
        <f t="shared" si="201"/>
        <v>97687.2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>
        <v>1</v>
      </c>
      <c r="V156" s="40"/>
      <c r="W156" s="40"/>
      <c r="X156" s="40"/>
      <c r="Y156" s="40"/>
      <c r="Z156" s="40"/>
      <c r="AA156" s="40"/>
      <c r="AB156" s="40"/>
      <c r="AC156" s="67"/>
      <c r="AD156" s="55"/>
    </row>
    <row r="157" spans="1:30" s="52" customFormat="1">
      <c r="A157" s="86"/>
      <c r="B157" s="32"/>
      <c r="C157" s="235"/>
      <c r="D157" s="39">
        <f t="shared" ref="D157" si="229">$C156*D156</f>
        <v>0</v>
      </c>
      <c r="E157" s="39">
        <f t="shared" ref="E157" si="230">$C156*E156</f>
        <v>0</v>
      </c>
      <c r="F157" s="39">
        <f t="shared" ref="F157:AB157" si="231">$C156*F156</f>
        <v>0</v>
      </c>
      <c r="G157" s="39">
        <f t="shared" si="231"/>
        <v>0</v>
      </c>
      <c r="H157" s="39">
        <f t="shared" si="231"/>
        <v>0</v>
      </c>
      <c r="I157" s="39">
        <f t="shared" si="231"/>
        <v>0</v>
      </c>
      <c r="J157" s="39">
        <f t="shared" si="231"/>
        <v>0</v>
      </c>
      <c r="K157" s="39">
        <f t="shared" si="231"/>
        <v>0</v>
      </c>
      <c r="L157" s="39">
        <f t="shared" si="231"/>
        <v>0</v>
      </c>
      <c r="M157" s="39">
        <f t="shared" si="231"/>
        <v>0</v>
      </c>
      <c r="N157" s="39">
        <f t="shared" si="231"/>
        <v>0</v>
      </c>
      <c r="O157" s="39">
        <f t="shared" si="231"/>
        <v>0</v>
      </c>
      <c r="P157" s="39">
        <f t="shared" si="231"/>
        <v>0</v>
      </c>
      <c r="Q157" s="39">
        <f t="shared" si="231"/>
        <v>0</v>
      </c>
      <c r="R157" s="39">
        <f t="shared" si="231"/>
        <v>0</v>
      </c>
      <c r="S157" s="39">
        <f t="shared" si="231"/>
        <v>0</v>
      </c>
      <c r="T157" s="39">
        <f t="shared" si="231"/>
        <v>0</v>
      </c>
      <c r="U157" s="39">
        <f t="shared" si="231"/>
        <v>97687.2</v>
      </c>
      <c r="V157" s="39">
        <f t="shared" si="231"/>
        <v>0</v>
      </c>
      <c r="W157" s="39">
        <f t="shared" si="231"/>
        <v>0</v>
      </c>
      <c r="X157" s="39">
        <f t="shared" si="231"/>
        <v>0</v>
      </c>
      <c r="Y157" s="39">
        <f t="shared" si="231"/>
        <v>0</v>
      </c>
      <c r="Z157" s="39">
        <f t="shared" si="231"/>
        <v>0</v>
      </c>
      <c r="AA157" s="39">
        <f t="shared" si="231"/>
        <v>0</v>
      </c>
      <c r="AB157" s="39">
        <f t="shared" si="231"/>
        <v>0</v>
      </c>
      <c r="AC157" s="67"/>
      <c r="AD157" s="55"/>
    </row>
    <row r="158" spans="1:30" s="52" customFormat="1">
      <c r="A158" s="101" t="s">
        <v>605</v>
      </c>
      <c r="B158" s="59">
        <v>-64759.57</v>
      </c>
      <c r="C158" s="235">
        <f t="shared" si="201"/>
        <v>-5396.63</v>
      </c>
      <c r="D158" s="40"/>
      <c r="E158" s="40"/>
      <c r="F158" s="40">
        <v>1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67"/>
      <c r="AD158" s="55"/>
    </row>
    <row r="159" spans="1:30" s="52" customFormat="1">
      <c r="A159" s="86"/>
      <c r="B159" s="32"/>
      <c r="C159" s="235"/>
      <c r="D159" s="39">
        <f t="shared" ref="D159" si="232">$C158*D158</f>
        <v>0</v>
      </c>
      <c r="E159" s="39">
        <f t="shared" ref="E159" si="233">$C158*E158</f>
        <v>0</v>
      </c>
      <c r="F159" s="39">
        <f t="shared" ref="F159:AB159" si="234">$C158*F158</f>
        <v>-5396.63</v>
      </c>
      <c r="G159" s="39">
        <f t="shared" si="234"/>
        <v>0</v>
      </c>
      <c r="H159" s="39">
        <f t="shared" si="234"/>
        <v>0</v>
      </c>
      <c r="I159" s="39">
        <f t="shared" si="234"/>
        <v>0</v>
      </c>
      <c r="J159" s="39">
        <f t="shared" si="234"/>
        <v>0</v>
      </c>
      <c r="K159" s="39">
        <f t="shared" si="234"/>
        <v>0</v>
      </c>
      <c r="L159" s="39">
        <f t="shared" si="234"/>
        <v>0</v>
      </c>
      <c r="M159" s="39">
        <f t="shared" si="234"/>
        <v>0</v>
      </c>
      <c r="N159" s="39">
        <f t="shared" si="234"/>
        <v>0</v>
      </c>
      <c r="O159" s="39">
        <f t="shared" si="234"/>
        <v>0</v>
      </c>
      <c r="P159" s="39">
        <f t="shared" si="234"/>
        <v>0</v>
      </c>
      <c r="Q159" s="39">
        <f t="shared" si="234"/>
        <v>0</v>
      </c>
      <c r="R159" s="39">
        <f t="shared" si="234"/>
        <v>0</v>
      </c>
      <c r="S159" s="39">
        <f t="shared" si="234"/>
        <v>0</v>
      </c>
      <c r="T159" s="39">
        <f t="shared" si="234"/>
        <v>0</v>
      </c>
      <c r="U159" s="39">
        <f t="shared" si="234"/>
        <v>0</v>
      </c>
      <c r="V159" s="39">
        <f t="shared" si="234"/>
        <v>0</v>
      </c>
      <c r="W159" s="39">
        <f t="shared" si="234"/>
        <v>0</v>
      </c>
      <c r="X159" s="39">
        <f t="shared" si="234"/>
        <v>0</v>
      </c>
      <c r="Y159" s="39">
        <f t="shared" si="234"/>
        <v>0</v>
      </c>
      <c r="Z159" s="39">
        <f t="shared" si="234"/>
        <v>0</v>
      </c>
      <c r="AA159" s="39">
        <f t="shared" si="234"/>
        <v>0</v>
      </c>
      <c r="AB159" s="39">
        <f t="shared" si="234"/>
        <v>0</v>
      </c>
      <c r="AC159" s="67"/>
      <c r="AD159" s="55"/>
    </row>
    <row r="160" spans="1:30" s="52" customFormat="1">
      <c r="A160" s="101" t="s">
        <v>606</v>
      </c>
      <c r="B160" s="59">
        <v>15187841.130000001</v>
      </c>
      <c r="C160" s="235">
        <f t="shared" si="201"/>
        <v>1265653.43</v>
      </c>
      <c r="D160" s="40"/>
      <c r="E160" s="40"/>
      <c r="F160" s="40">
        <v>1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67"/>
      <c r="AD160" s="55"/>
    </row>
    <row r="161" spans="1:30" s="52" customFormat="1">
      <c r="A161" s="86"/>
      <c r="B161" s="32"/>
      <c r="C161" s="236"/>
      <c r="D161" s="39">
        <f t="shared" ref="D161" si="235">$C160*D160</f>
        <v>0</v>
      </c>
      <c r="E161" s="39">
        <f t="shared" ref="E161" si="236">$C160*E160</f>
        <v>0</v>
      </c>
      <c r="F161" s="39">
        <f t="shared" ref="F161:AB161" si="237">$C160*F160</f>
        <v>1265653.43</v>
      </c>
      <c r="G161" s="39">
        <f t="shared" si="237"/>
        <v>0</v>
      </c>
      <c r="H161" s="39">
        <f t="shared" si="237"/>
        <v>0</v>
      </c>
      <c r="I161" s="39">
        <f t="shared" si="237"/>
        <v>0</v>
      </c>
      <c r="J161" s="39">
        <f t="shared" si="237"/>
        <v>0</v>
      </c>
      <c r="K161" s="39">
        <f t="shared" si="237"/>
        <v>0</v>
      </c>
      <c r="L161" s="39">
        <f t="shared" si="237"/>
        <v>0</v>
      </c>
      <c r="M161" s="39">
        <f t="shared" si="237"/>
        <v>0</v>
      </c>
      <c r="N161" s="39">
        <f t="shared" si="237"/>
        <v>0</v>
      </c>
      <c r="O161" s="39">
        <f t="shared" si="237"/>
        <v>0</v>
      </c>
      <c r="P161" s="39">
        <f t="shared" si="237"/>
        <v>0</v>
      </c>
      <c r="Q161" s="39">
        <f t="shared" si="237"/>
        <v>0</v>
      </c>
      <c r="R161" s="39">
        <f t="shared" si="237"/>
        <v>0</v>
      </c>
      <c r="S161" s="39">
        <f t="shared" si="237"/>
        <v>0</v>
      </c>
      <c r="T161" s="39">
        <f t="shared" si="237"/>
        <v>0</v>
      </c>
      <c r="U161" s="39">
        <f t="shared" si="237"/>
        <v>0</v>
      </c>
      <c r="V161" s="39">
        <f t="shared" si="237"/>
        <v>0</v>
      </c>
      <c r="W161" s="39">
        <f t="shared" si="237"/>
        <v>0</v>
      </c>
      <c r="X161" s="39">
        <f t="shared" si="237"/>
        <v>0</v>
      </c>
      <c r="Y161" s="39">
        <f t="shared" si="237"/>
        <v>0</v>
      </c>
      <c r="Z161" s="39">
        <f t="shared" si="237"/>
        <v>0</v>
      </c>
      <c r="AA161" s="39">
        <f t="shared" si="237"/>
        <v>0</v>
      </c>
      <c r="AB161" s="39">
        <f t="shared" si="237"/>
        <v>0</v>
      </c>
      <c r="AC161" s="67"/>
      <c r="AD161" s="55"/>
    </row>
    <row r="162" spans="1:30" s="52" customFormat="1">
      <c r="A162" s="16" t="s">
        <v>50</v>
      </c>
      <c r="B162" s="9">
        <f>B8+B10+B12+B14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</f>
        <v>229226166.92618573</v>
      </c>
      <c r="C162" s="237">
        <f>C8+C10+C12+C14+C20+C22+C24+C26+C28+C30+C32+C34+C36+C38+C40+C42+C44+C46+C48+C50+C52+C54+C56+C58+C60+C62+C64+C66+C68+C70+C72+C74+C76+C78+C80+C82+C84+C86+C88+C90+C92+C94+C96+C98+C100+C102+C104+C106+C108+C110+C112+C114+C116+C118+C120+C122+C124+C126+C128+C130+C132+C134+C136+C138+C140+C142+C144+C146+C148+C150+C152+C154+C156+C158+C160</f>
        <v>19102180.609999999</v>
      </c>
      <c r="D162" s="9">
        <f>D9+D11+D13+D15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</f>
        <v>143558.28116799999</v>
      </c>
      <c r="E162" s="9">
        <f t="shared" ref="E162" si="238">E9+E11+E13+E15+E21+E23+E25+E27+E29+E31+E33+E35+E37+E39+E41+E43+E45+E47+E49+E51+E53+E55+E57+E59+E61+E63+E65+E67+E69+E71+E73+E75+E77+E79+E81+E83+E85+E87+E89+E91+E93+E95+E97+E99+E101+E103+E105+E107+E109+E111+E113+E115+E117+E119+E121+E123+E125+E127+E129+E131+E133+E135+E137+E139+E141+E143+E145+E147+E149+E151+E153+E155+E157+E159+E161</f>
        <v>748475.17746799998</v>
      </c>
      <c r="F162" s="9">
        <f t="shared" ref="F162" si="239">F9+F11+F13+F15+F21+F23+F25+F27+F29+F31+F33+F35+F37+F39+F41+F43+F45+F47+F49+F51+F53+F55+F57+F59+F61+F63+F65+F67+F69+F71+F73+F75+F77+F79+F81+F83+F85+F87+F89+F91+F93+F95+F97+F99+F101+F103+F105+F107+F109+F111+F113+F115+F117+F119+F121+F123+F125+F127+F129+F131+F133+F135+F137+F139+F141+F143+F145+F147+F149+F151+F153+F155+F157+F159+F161</f>
        <v>7151860.633024998</v>
      </c>
      <c r="G162" s="9">
        <f t="shared" ref="G162:AB162" si="240">G9+G11+G13+G15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</f>
        <v>435096.18242399994</v>
      </c>
      <c r="H162" s="9">
        <f t="shared" si="240"/>
        <v>911637.19883699983</v>
      </c>
      <c r="I162" s="9">
        <f t="shared" si="240"/>
        <v>724619.1396339999</v>
      </c>
      <c r="J162" s="9">
        <f t="shared" si="240"/>
        <v>114787.95011199999</v>
      </c>
      <c r="K162" s="9">
        <f t="shared" si="240"/>
        <v>175970.07601000002</v>
      </c>
      <c r="L162" s="9">
        <f t="shared" si="240"/>
        <v>96823.245771000002</v>
      </c>
      <c r="M162" s="9">
        <f t="shared" si="240"/>
        <v>257077.38324</v>
      </c>
      <c r="N162" s="9">
        <f t="shared" si="240"/>
        <v>3513801.7813219996</v>
      </c>
      <c r="O162" s="9">
        <f t="shared" si="240"/>
        <v>102310.62075399999</v>
      </c>
      <c r="P162" s="9">
        <f t="shared" si="240"/>
        <v>0</v>
      </c>
      <c r="Q162" s="9">
        <f t="shared" si="240"/>
        <v>299838.85150700004</v>
      </c>
      <c r="R162" s="9">
        <f t="shared" si="240"/>
        <v>195821.30718499998</v>
      </c>
      <c r="S162" s="9">
        <f t="shared" si="240"/>
        <v>30128.250473999989</v>
      </c>
      <c r="T162" s="9">
        <f t="shared" si="240"/>
        <v>482436.760075</v>
      </c>
      <c r="U162" s="9">
        <f t="shared" si="240"/>
        <v>1828492.8204730002</v>
      </c>
      <c r="V162" s="9">
        <f t="shared" si="240"/>
        <v>1110585.5979790001</v>
      </c>
      <c r="W162" s="9">
        <f t="shared" si="240"/>
        <v>322673.35279899999</v>
      </c>
      <c r="X162" s="9">
        <f t="shared" si="240"/>
        <v>427081.42765899992</v>
      </c>
      <c r="Y162" s="9">
        <f t="shared" si="240"/>
        <v>17067.699035999998</v>
      </c>
      <c r="Z162" s="9">
        <f t="shared" si="240"/>
        <v>7707.5577999999987</v>
      </c>
      <c r="AA162" s="9">
        <f t="shared" si="240"/>
        <v>4329.3152479999999</v>
      </c>
      <c r="AB162" s="9">
        <f t="shared" si="240"/>
        <v>0</v>
      </c>
      <c r="AC162" s="67"/>
      <c r="AD162" s="55"/>
    </row>
    <row r="163" spans="1:30" s="52" customFormat="1">
      <c r="A163" s="16"/>
      <c r="B163" s="9"/>
      <c r="C163" s="237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2"/>
      <c r="AA163" s="22"/>
      <c r="AB163" s="22"/>
      <c r="AC163" s="67"/>
      <c r="AD163" s="55"/>
    </row>
    <row r="164" spans="1:30" s="52" customFormat="1">
      <c r="A164" s="34"/>
      <c r="B164" s="25"/>
      <c r="C164" s="238"/>
      <c r="D164" s="9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67"/>
      <c r="AD164" s="55"/>
    </row>
    <row r="165" spans="1:30" s="52" customFormat="1" ht="13.8" thickBot="1">
      <c r="A165" s="80" t="s">
        <v>51</v>
      </c>
      <c r="B165" s="81"/>
      <c r="C165" s="234"/>
      <c r="D165" s="81"/>
      <c r="E165" s="81"/>
      <c r="F165" s="8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67"/>
      <c r="AD165" s="55"/>
    </row>
    <row r="166" spans="1:30" s="52" customFormat="1" ht="13.8" thickBot="1">
      <c r="A166" s="113" t="s">
        <v>1</v>
      </c>
      <c r="B166" s="114" t="s">
        <v>2</v>
      </c>
      <c r="C166" s="239" t="s">
        <v>3</v>
      </c>
      <c r="D166" s="263" t="s">
        <v>4</v>
      </c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123"/>
      <c r="AA166" s="123"/>
      <c r="AB166" s="123"/>
      <c r="AC166" s="67"/>
      <c r="AD166" s="55"/>
    </row>
    <row r="167" spans="1:30" s="52" customFormat="1">
      <c r="A167" s="115" t="s">
        <v>5</v>
      </c>
      <c r="B167" s="116" t="s">
        <v>6</v>
      </c>
      <c r="C167" s="240" t="s">
        <v>6</v>
      </c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9"/>
      <c r="Z167" s="116" t="s">
        <v>7</v>
      </c>
      <c r="AA167" s="116"/>
      <c r="AB167" s="116"/>
      <c r="AC167" s="67"/>
      <c r="AD167" s="55"/>
    </row>
    <row r="168" spans="1:30" s="52" customFormat="1">
      <c r="A168" s="115" t="s">
        <v>8</v>
      </c>
      <c r="B168" s="116" t="s">
        <v>9</v>
      </c>
      <c r="C168" s="240" t="s">
        <v>9</v>
      </c>
      <c r="D168" s="120" t="s">
        <v>10</v>
      </c>
      <c r="E168" s="116" t="s">
        <v>11</v>
      </c>
      <c r="F168" s="116" t="s">
        <v>12</v>
      </c>
      <c r="G168" s="116" t="s">
        <v>13</v>
      </c>
      <c r="H168" s="116" t="s">
        <v>14</v>
      </c>
      <c r="I168" s="116" t="s">
        <v>15</v>
      </c>
      <c r="J168" s="116" t="s">
        <v>16</v>
      </c>
      <c r="K168" s="116" t="s">
        <v>17</v>
      </c>
      <c r="L168" s="116" t="s">
        <v>18</v>
      </c>
      <c r="M168" s="116" t="s">
        <v>19</v>
      </c>
      <c r="N168" s="116" t="s">
        <v>20</v>
      </c>
      <c r="O168" s="116" t="s">
        <v>175</v>
      </c>
      <c r="P168" s="116" t="s">
        <v>21</v>
      </c>
      <c r="Q168" s="116" t="s">
        <v>22</v>
      </c>
      <c r="R168" s="116" t="s">
        <v>23</v>
      </c>
      <c r="S168" s="116" t="s">
        <v>24</v>
      </c>
      <c r="T168" s="116" t="s">
        <v>25</v>
      </c>
      <c r="U168" s="116" t="s">
        <v>26</v>
      </c>
      <c r="V168" s="116" t="s">
        <v>27</v>
      </c>
      <c r="W168" s="116" t="s">
        <v>28</v>
      </c>
      <c r="X168" s="116" t="s">
        <v>29</v>
      </c>
      <c r="Y168" s="116" t="s">
        <v>30</v>
      </c>
      <c r="Z168" s="116" t="s">
        <v>31</v>
      </c>
      <c r="AA168" s="116" t="s">
        <v>493</v>
      </c>
      <c r="AB168" s="116" t="s">
        <v>476</v>
      </c>
      <c r="AC168" s="67"/>
      <c r="AD168" s="55"/>
    </row>
    <row r="169" spans="1:30" s="52" customFormat="1">
      <c r="A169" s="115"/>
      <c r="B169" s="116"/>
      <c r="C169" s="241" t="s">
        <v>638</v>
      </c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67"/>
      <c r="AD169" s="55"/>
    </row>
    <row r="170" spans="1:30" s="52" customFormat="1">
      <c r="A170" s="96" t="s">
        <v>52</v>
      </c>
      <c r="B170" s="176">
        <f>356965/2</f>
        <v>178482.5</v>
      </c>
      <c r="C170" s="211">
        <f>ROUND(B170/12,2)</f>
        <v>14873.54</v>
      </c>
      <c r="D170" s="170">
        <v>1.6500000000000001E-2</v>
      </c>
      <c r="E170" s="170">
        <v>0.1368</v>
      </c>
      <c r="F170" s="170">
        <v>5.7599999999999998E-2</v>
      </c>
      <c r="G170" s="170">
        <v>8.0399999999999999E-2</v>
      </c>
      <c r="H170" s="170">
        <v>4.1099999999999998E-2</v>
      </c>
      <c r="I170" s="170">
        <v>0.13389999999999999</v>
      </c>
      <c r="J170" s="170">
        <v>2.12E-2</v>
      </c>
      <c r="K170" s="170">
        <v>3.2500000000000001E-2</v>
      </c>
      <c r="L170" s="170">
        <v>1.7100000000000001E-2</v>
      </c>
      <c r="M170" s="170">
        <v>2.5999999999999999E-2</v>
      </c>
      <c r="N170" s="170">
        <v>0.13320000000000001</v>
      </c>
      <c r="O170" s="170">
        <v>1.89E-2</v>
      </c>
      <c r="P170" s="170">
        <v>0</v>
      </c>
      <c r="Q170" s="170">
        <v>3.8600000000000002E-2</v>
      </c>
      <c r="R170" s="170">
        <v>1.9E-2</v>
      </c>
      <c r="S170" s="170">
        <v>4.1999999999999997E-3</v>
      </c>
      <c r="T170" s="170">
        <v>5.3999999999999999E-2</v>
      </c>
      <c r="U170" s="170">
        <v>1.78E-2</v>
      </c>
      <c r="V170" s="170">
        <v>3.6700000000000003E-2</v>
      </c>
      <c r="W170" s="170">
        <v>4.7199999999999999E-2</v>
      </c>
      <c r="X170" s="170">
        <v>6.3899999999999998E-2</v>
      </c>
      <c r="Y170" s="170">
        <v>2.5999999999999999E-3</v>
      </c>
      <c r="Z170" s="171">
        <v>0</v>
      </c>
      <c r="AA170" s="171">
        <v>8.0000000000000004E-4</v>
      </c>
      <c r="AB170" s="171">
        <v>0</v>
      </c>
      <c r="AC170" s="67"/>
      <c r="AD170" s="55"/>
    </row>
    <row r="171" spans="1:30" s="52" customFormat="1">
      <c r="A171" s="97" t="s">
        <v>53</v>
      </c>
      <c r="B171" s="178"/>
      <c r="C171" s="211"/>
      <c r="D171" s="6">
        <f t="shared" ref="D171" si="241">$C170*D170</f>
        <v>245.41341000000003</v>
      </c>
      <c r="E171" s="6">
        <f t="shared" ref="E171" si="242">$C170*E170</f>
        <v>2034.7002720000003</v>
      </c>
      <c r="F171" s="6">
        <f t="shared" ref="F171:O171" si="243">$C170*F170</f>
        <v>856.71590400000002</v>
      </c>
      <c r="G171" s="6">
        <f t="shared" si="243"/>
        <v>1195.8326160000001</v>
      </c>
      <c r="H171" s="6">
        <f t="shared" si="243"/>
        <v>611.30249400000002</v>
      </c>
      <c r="I171" s="6">
        <f t="shared" si="243"/>
        <v>1991.567006</v>
      </c>
      <c r="J171" s="6">
        <f t="shared" si="243"/>
        <v>315.31904800000001</v>
      </c>
      <c r="K171" s="6">
        <f t="shared" si="243"/>
        <v>483.39005000000003</v>
      </c>
      <c r="L171" s="6">
        <f t="shared" si="243"/>
        <v>254.33753400000003</v>
      </c>
      <c r="M171" s="6">
        <f t="shared" si="243"/>
        <v>386.71204</v>
      </c>
      <c r="N171" s="6">
        <f t="shared" si="243"/>
        <v>1981.1555280000002</v>
      </c>
      <c r="O171" s="6">
        <f t="shared" si="243"/>
        <v>281.10990600000002</v>
      </c>
      <c r="P171" s="6">
        <f t="shared" ref="P171" si="244">$C170*P170</f>
        <v>0</v>
      </c>
      <c r="Q171" s="6">
        <f t="shared" ref="Q171" si="245">$C170*Q170</f>
        <v>574.11864400000002</v>
      </c>
      <c r="R171" s="6">
        <f t="shared" ref="R171:AB171" si="246">$C170*R170</f>
        <v>282.59726000000001</v>
      </c>
      <c r="S171" s="6">
        <f t="shared" si="246"/>
        <v>62.468868000000001</v>
      </c>
      <c r="T171" s="6">
        <f t="shared" si="246"/>
        <v>803.17115999999999</v>
      </c>
      <c r="U171" s="6">
        <f t="shared" si="246"/>
        <v>264.74901199999999</v>
      </c>
      <c r="V171" s="6">
        <f t="shared" si="246"/>
        <v>545.85891800000013</v>
      </c>
      <c r="W171" s="6">
        <f t="shared" si="246"/>
        <v>702.03108800000007</v>
      </c>
      <c r="X171" s="6">
        <f t="shared" si="246"/>
        <v>950.41920600000003</v>
      </c>
      <c r="Y171" s="6">
        <f t="shared" si="246"/>
        <v>38.671204000000003</v>
      </c>
      <c r="Z171" s="6">
        <f t="shared" si="246"/>
        <v>0</v>
      </c>
      <c r="AA171" s="6">
        <f t="shared" si="246"/>
        <v>11.898832000000001</v>
      </c>
      <c r="AB171" s="6">
        <f t="shared" si="246"/>
        <v>0</v>
      </c>
      <c r="AC171" s="67"/>
      <c r="AD171" s="55"/>
    </row>
    <row r="172" spans="1:30" s="52" customFormat="1">
      <c r="A172" s="98" t="s">
        <v>468</v>
      </c>
      <c r="B172" s="176">
        <f>356965/2</f>
        <v>178482.5</v>
      </c>
      <c r="C172" s="211">
        <f t="shared" ref="C172:C176" si="247">ROUND(B172/12,2)</f>
        <v>14873.54</v>
      </c>
      <c r="D172" s="42">
        <v>5.0099999999999999E-2</v>
      </c>
      <c r="E172" s="42">
        <v>4.3900000000000002E-2</v>
      </c>
      <c r="F172" s="42">
        <v>9.2600000000000002E-2</v>
      </c>
      <c r="G172" s="42"/>
      <c r="H172" s="42">
        <v>4.4299999999999999E-2</v>
      </c>
      <c r="I172" s="42"/>
      <c r="J172" s="42"/>
      <c r="K172" s="42"/>
      <c r="L172" s="42">
        <v>2.0000000000000001E-4</v>
      </c>
      <c r="M172" s="42">
        <v>6.9099999999999995E-2</v>
      </c>
      <c r="N172" s="42">
        <v>0.1082</v>
      </c>
      <c r="O172" s="42"/>
      <c r="P172" s="42"/>
      <c r="Q172" s="42">
        <v>0.1164</v>
      </c>
      <c r="R172" s="42">
        <v>2.9399999999999999E-2</v>
      </c>
      <c r="S172" s="42">
        <v>1.12E-2</v>
      </c>
      <c r="T172" s="42">
        <v>0.14510000000000001</v>
      </c>
      <c r="U172" s="42"/>
      <c r="V172" s="42">
        <v>6.1100000000000002E-2</v>
      </c>
      <c r="W172" s="42">
        <v>6.3899999999999998E-2</v>
      </c>
      <c r="X172" s="42">
        <v>0.15859999999999999</v>
      </c>
      <c r="Y172" s="42">
        <v>5.8999999999999999E-3</v>
      </c>
      <c r="Z172" s="42"/>
      <c r="AA172" s="42"/>
      <c r="AB172" s="42"/>
      <c r="AC172" s="67"/>
      <c r="AD172" s="55"/>
    </row>
    <row r="173" spans="1:30" s="52" customFormat="1">
      <c r="A173" s="97"/>
      <c r="B173" s="179"/>
      <c r="C173" s="211"/>
      <c r="D173" s="6">
        <f t="shared" ref="D173" si="248">$C172*D172</f>
        <v>745.164354</v>
      </c>
      <c r="E173" s="6">
        <f t="shared" ref="E173" si="249">$C172*E172</f>
        <v>652.94840600000009</v>
      </c>
      <c r="F173" s="6">
        <f t="shared" ref="F173:O173" si="250">$C172*F172</f>
        <v>1377.289804</v>
      </c>
      <c r="G173" s="6">
        <f t="shared" si="250"/>
        <v>0</v>
      </c>
      <c r="H173" s="6">
        <f t="shared" si="250"/>
        <v>658.89782200000002</v>
      </c>
      <c r="I173" s="6">
        <f t="shared" si="250"/>
        <v>0</v>
      </c>
      <c r="J173" s="6">
        <f t="shared" si="250"/>
        <v>0</v>
      </c>
      <c r="K173" s="6">
        <f t="shared" si="250"/>
        <v>0</v>
      </c>
      <c r="L173" s="6">
        <f t="shared" si="250"/>
        <v>2.9747080000000001</v>
      </c>
      <c r="M173" s="6">
        <f t="shared" si="250"/>
        <v>1027.761614</v>
      </c>
      <c r="N173" s="6">
        <f t="shared" si="250"/>
        <v>1609.3170280000002</v>
      </c>
      <c r="O173" s="6">
        <f t="shared" si="250"/>
        <v>0</v>
      </c>
      <c r="P173" s="6">
        <f t="shared" ref="P173" si="251">$C172*P172</f>
        <v>0</v>
      </c>
      <c r="Q173" s="6">
        <f t="shared" ref="Q173" si="252">$C172*Q172</f>
        <v>1731.2800560000001</v>
      </c>
      <c r="R173" s="6">
        <f t="shared" ref="R173:AB173" si="253">$C172*R172</f>
        <v>437.28207600000002</v>
      </c>
      <c r="S173" s="6">
        <f t="shared" si="253"/>
        <v>166.58364800000001</v>
      </c>
      <c r="T173" s="6">
        <f t="shared" si="253"/>
        <v>2158.150654</v>
      </c>
      <c r="U173" s="6">
        <f t="shared" si="253"/>
        <v>0</v>
      </c>
      <c r="V173" s="6">
        <f t="shared" si="253"/>
        <v>908.77329400000008</v>
      </c>
      <c r="W173" s="6">
        <f t="shared" si="253"/>
        <v>950.41920600000003</v>
      </c>
      <c r="X173" s="6">
        <f t="shared" si="253"/>
        <v>2358.943444</v>
      </c>
      <c r="Y173" s="6">
        <f t="shared" si="253"/>
        <v>87.753886000000008</v>
      </c>
      <c r="Z173" s="6">
        <f t="shared" si="253"/>
        <v>0</v>
      </c>
      <c r="AA173" s="6">
        <f t="shared" si="253"/>
        <v>0</v>
      </c>
      <c r="AB173" s="6">
        <f t="shared" si="253"/>
        <v>0</v>
      </c>
      <c r="AC173" s="67"/>
      <c r="AD173" s="55"/>
    </row>
    <row r="174" spans="1:30" s="52" customFormat="1">
      <c r="A174" s="96" t="s">
        <v>54</v>
      </c>
      <c r="B174" s="176">
        <f>182604/2</f>
        <v>91302</v>
      </c>
      <c r="C174" s="211">
        <f t="shared" si="247"/>
        <v>7608.5</v>
      </c>
      <c r="D174" s="170">
        <v>1.6500000000000001E-2</v>
      </c>
      <c r="E174" s="170">
        <v>0.1368</v>
      </c>
      <c r="F174" s="170">
        <v>5.7599999999999998E-2</v>
      </c>
      <c r="G174" s="170">
        <v>8.0399999999999999E-2</v>
      </c>
      <c r="H174" s="170">
        <v>4.1099999999999998E-2</v>
      </c>
      <c r="I174" s="170">
        <v>0.13389999999999999</v>
      </c>
      <c r="J174" s="170">
        <v>2.12E-2</v>
      </c>
      <c r="K174" s="170">
        <v>3.2500000000000001E-2</v>
      </c>
      <c r="L174" s="170">
        <v>1.7100000000000001E-2</v>
      </c>
      <c r="M174" s="170">
        <v>2.5999999999999999E-2</v>
      </c>
      <c r="N174" s="170">
        <v>0.13320000000000001</v>
      </c>
      <c r="O174" s="170">
        <v>1.89E-2</v>
      </c>
      <c r="P174" s="170">
        <v>0</v>
      </c>
      <c r="Q174" s="170">
        <v>3.8600000000000002E-2</v>
      </c>
      <c r="R174" s="170">
        <v>1.9E-2</v>
      </c>
      <c r="S174" s="170">
        <v>4.1999999999999997E-3</v>
      </c>
      <c r="T174" s="170">
        <v>5.3999999999999999E-2</v>
      </c>
      <c r="U174" s="170">
        <v>1.78E-2</v>
      </c>
      <c r="V174" s="170">
        <v>3.6700000000000003E-2</v>
      </c>
      <c r="W174" s="170">
        <v>4.7199999999999999E-2</v>
      </c>
      <c r="X174" s="170">
        <v>6.3899999999999998E-2</v>
      </c>
      <c r="Y174" s="170">
        <v>2.5999999999999999E-3</v>
      </c>
      <c r="Z174" s="171">
        <v>0</v>
      </c>
      <c r="AA174" s="171">
        <v>8.0000000000000004E-4</v>
      </c>
      <c r="AB174" s="171">
        <v>0</v>
      </c>
      <c r="AC174" s="67"/>
      <c r="AD174" s="55"/>
    </row>
    <row r="175" spans="1:30" s="52" customFormat="1">
      <c r="A175" s="97" t="s">
        <v>55</v>
      </c>
      <c r="B175" s="178"/>
      <c r="C175" s="211"/>
      <c r="D175" s="6">
        <f t="shared" ref="D175" si="254">$C174*D174</f>
        <v>125.54025</v>
      </c>
      <c r="E175" s="6">
        <f t="shared" ref="E175" si="255">$C174*E174</f>
        <v>1040.8428000000001</v>
      </c>
      <c r="F175" s="6">
        <f t="shared" ref="F175:O175" si="256">$C174*F174</f>
        <v>438.24959999999999</v>
      </c>
      <c r="G175" s="6">
        <f t="shared" si="256"/>
        <v>611.72339999999997</v>
      </c>
      <c r="H175" s="6">
        <f t="shared" si="256"/>
        <v>312.70934999999997</v>
      </c>
      <c r="I175" s="6">
        <f t="shared" si="256"/>
        <v>1018.77815</v>
      </c>
      <c r="J175" s="6">
        <f t="shared" si="256"/>
        <v>161.30019999999999</v>
      </c>
      <c r="K175" s="6">
        <f t="shared" si="256"/>
        <v>247.27625</v>
      </c>
      <c r="L175" s="6">
        <f t="shared" si="256"/>
        <v>130.10535000000002</v>
      </c>
      <c r="M175" s="6">
        <f t="shared" si="256"/>
        <v>197.821</v>
      </c>
      <c r="N175" s="6">
        <f t="shared" si="256"/>
        <v>1013.4522000000001</v>
      </c>
      <c r="O175" s="6">
        <f t="shared" si="256"/>
        <v>143.80064999999999</v>
      </c>
      <c r="P175" s="6">
        <f t="shared" ref="P175" si="257">$C174*P174</f>
        <v>0</v>
      </c>
      <c r="Q175" s="6">
        <f t="shared" ref="Q175" si="258">$C174*Q174</f>
        <v>293.68810000000002</v>
      </c>
      <c r="R175" s="6">
        <f t="shared" ref="R175:AB175" si="259">$C174*R174</f>
        <v>144.5615</v>
      </c>
      <c r="S175" s="6">
        <f t="shared" si="259"/>
        <v>31.955699999999997</v>
      </c>
      <c r="T175" s="6">
        <f t="shared" si="259"/>
        <v>410.85899999999998</v>
      </c>
      <c r="U175" s="6">
        <f t="shared" si="259"/>
        <v>135.43129999999999</v>
      </c>
      <c r="V175" s="6">
        <f t="shared" si="259"/>
        <v>279.23195000000004</v>
      </c>
      <c r="W175" s="6">
        <f t="shared" si="259"/>
        <v>359.12119999999999</v>
      </c>
      <c r="X175" s="6">
        <f t="shared" si="259"/>
        <v>486.18315000000001</v>
      </c>
      <c r="Y175" s="6">
        <f t="shared" si="259"/>
        <v>19.7821</v>
      </c>
      <c r="Z175" s="6">
        <f t="shared" si="259"/>
        <v>0</v>
      </c>
      <c r="AA175" s="6">
        <f t="shared" si="259"/>
        <v>6.0868000000000002</v>
      </c>
      <c r="AB175" s="6">
        <f t="shared" si="259"/>
        <v>0</v>
      </c>
      <c r="AC175" s="67"/>
      <c r="AD175" s="55"/>
    </row>
    <row r="176" spans="1:30" s="52" customFormat="1">
      <c r="A176" s="98" t="s">
        <v>469</v>
      </c>
      <c r="B176" s="176">
        <f>182604/2</f>
        <v>91302</v>
      </c>
      <c r="C176" s="211">
        <f t="shared" si="247"/>
        <v>7608.5</v>
      </c>
      <c r="D176" s="42">
        <v>5.0099999999999999E-2</v>
      </c>
      <c r="E176" s="42">
        <v>4.3900000000000002E-2</v>
      </c>
      <c r="F176" s="42">
        <v>9.2600000000000002E-2</v>
      </c>
      <c r="G176" s="42"/>
      <c r="H176" s="42">
        <v>4.4299999999999999E-2</v>
      </c>
      <c r="I176" s="42"/>
      <c r="J176" s="42"/>
      <c r="K176" s="42"/>
      <c r="L176" s="42">
        <v>2.0000000000000001E-4</v>
      </c>
      <c r="M176" s="42">
        <v>6.9099999999999995E-2</v>
      </c>
      <c r="N176" s="42">
        <v>0.1082</v>
      </c>
      <c r="O176" s="42"/>
      <c r="P176" s="42"/>
      <c r="Q176" s="42">
        <v>0.1164</v>
      </c>
      <c r="R176" s="42">
        <v>2.9399999999999999E-2</v>
      </c>
      <c r="S176" s="42">
        <v>1.12E-2</v>
      </c>
      <c r="T176" s="42">
        <v>0.14510000000000001</v>
      </c>
      <c r="U176" s="42"/>
      <c r="V176" s="42">
        <v>6.1100000000000002E-2</v>
      </c>
      <c r="W176" s="42">
        <v>6.3899999999999998E-2</v>
      </c>
      <c r="X176" s="42">
        <v>0.15859999999999999</v>
      </c>
      <c r="Y176" s="42">
        <v>5.8999999999999999E-3</v>
      </c>
      <c r="Z176" s="42"/>
      <c r="AA176" s="42"/>
      <c r="AB176" s="42"/>
      <c r="AC176" s="67"/>
      <c r="AD176" s="55"/>
    </row>
    <row r="177" spans="1:30" s="52" customFormat="1">
      <c r="A177" s="177"/>
      <c r="B177" s="179"/>
      <c r="C177" s="211"/>
      <c r="D177" s="6">
        <f t="shared" ref="D177" si="260">$C176*D176</f>
        <v>381.18585000000002</v>
      </c>
      <c r="E177" s="6">
        <f t="shared" ref="E177" si="261">$C176*E176</f>
        <v>334.01315</v>
      </c>
      <c r="F177" s="6">
        <f t="shared" ref="F177:O177" si="262">$C176*F176</f>
        <v>704.5471</v>
      </c>
      <c r="G177" s="6">
        <f t="shared" si="262"/>
        <v>0</v>
      </c>
      <c r="H177" s="6">
        <f t="shared" si="262"/>
        <v>337.05655000000002</v>
      </c>
      <c r="I177" s="6">
        <f t="shared" si="262"/>
        <v>0</v>
      </c>
      <c r="J177" s="6">
        <f t="shared" si="262"/>
        <v>0</v>
      </c>
      <c r="K177" s="6">
        <f t="shared" si="262"/>
        <v>0</v>
      </c>
      <c r="L177" s="6">
        <f t="shared" si="262"/>
        <v>1.5217000000000001</v>
      </c>
      <c r="M177" s="6">
        <f t="shared" si="262"/>
        <v>525.74734999999998</v>
      </c>
      <c r="N177" s="6">
        <f t="shared" si="262"/>
        <v>823.23970000000008</v>
      </c>
      <c r="O177" s="6">
        <f t="shared" si="262"/>
        <v>0</v>
      </c>
      <c r="P177" s="6">
        <f t="shared" ref="P177" si="263">$C176*P176</f>
        <v>0</v>
      </c>
      <c r="Q177" s="6">
        <f t="shared" ref="Q177" si="264">$C176*Q176</f>
        <v>885.62940000000003</v>
      </c>
      <c r="R177" s="6">
        <f t="shared" ref="R177:AB177" si="265">$C176*R176</f>
        <v>223.68989999999999</v>
      </c>
      <c r="S177" s="6">
        <f t="shared" si="265"/>
        <v>85.215199999999996</v>
      </c>
      <c r="T177" s="6">
        <f t="shared" si="265"/>
        <v>1103.99335</v>
      </c>
      <c r="U177" s="6">
        <f t="shared" si="265"/>
        <v>0</v>
      </c>
      <c r="V177" s="6">
        <f t="shared" si="265"/>
        <v>464.87934999999999</v>
      </c>
      <c r="W177" s="6">
        <f t="shared" si="265"/>
        <v>486.18315000000001</v>
      </c>
      <c r="X177" s="6">
        <f t="shared" si="265"/>
        <v>1206.7080999999998</v>
      </c>
      <c r="Y177" s="6">
        <f t="shared" si="265"/>
        <v>44.890149999999998</v>
      </c>
      <c r="Z177" s="6">
        <f t="shared" si="265"/>
        <v>0</v>
      </c>
      <c r="AA177" s="6">
        <f t="shared" si="265"/>
        <v>0</v>
      </c>
      <c r="AB177" s="6">
        <f t="shared" si="265"/>
        <v>0</v>
      </c>
      <c r="AC177" s="67"/>
      <c r="AD177" s="55"/>
    </row>
    <row r="178" spans="1:30" s="52" customFormat="1">
      <c r="A178" s="16" t="s">
        <v>50</v>
      </c>
      <c r="B178" s="128">
        <f>SUM(B170:B176)</f>
        <v>539569</v>
      </c>
      <c r="C178" s="237">
        <f>SUM(C170:C176)</f>
        <v>44964.08</v>
      </c>
      <c r="D178" s="9">
        <f>SUM(D171+D173+D175+D177)</f>
        <v>1497.303864</v>
      </c>
      <c r="E178" s="9">
        <f t="shared" ref="E178" si="266">SUM(E171+E173+E175+E177)</f>
        <v>4062.5046280000006</v>
      </c>
      <c r="F178" s="9">
        <f t="shared" ref="F178" si="267">SUM(F171+F173+F175+F177)</f>
        <v>3376.8024080000005</v>
      </c>
      <c r="G178" s="9">
        <f t="shared" ref="G178:AB178" si="268">SUM(G171+G173+G175+G177)</f>
        <v>1807.556016</v>
      </c>
      <c r="H178" s="9">
        <f t="shared" si="268"/>
        <v>1919.966216</v>
      </c>
      <c r="I178" s="9">
        <f t="shared" si="268"/>
        <v>3010.3451559999999</v>
      </c>
      <c r="J178" s="9">
        <f t="shared" si="268"/>
        <v>476.61924799999997</v>
      </c>
      <c r="K178" s="9">
        <f t="shared" si="268"/>
        <v>730.66630000000009</v>
      </c>
      <c r="L178" s="9">
        <f t="shared" si="268"/>
        <v>388.93929200000002</v>
      </c>
      <c r="M178" s="9">
        <f t="shared" si="268"/>
        <v>2138.0420039999999</v>
      </c>
      <c r="N178" s="9">
        <f t="shared" si="268"/>
        <v>5427.1644560000004</v>
      </c>
      <c r="O178" s="9">
        <f t="shared" si="268"/>
        <v>424.91055600000004</v>
      </c>
      <c r="P178" s="9">
        <f t="shared" si="268"/>
        <v>0</v>
      </c>
      <c r="Q178" s="9">
        <f t="shared" si="268"/>
        <v>3484.7161999999998</v>
      </c>
      <c r="R178" s="9">
        <f t="shared" si="268"/>
        <v>1088.1307360000001</v>
      </c>
      <c r="S178" s="9">
        <f t="shared" si="268"/>
        <v>346.22341599999999</v>
      </c>
      <c r="T178" s="9">
        <f t="shared" si="268"/>
        <v>4476.174164</v>
      </c>
      <c r="U178" s="9">
        <f t="shared" si="268"/>
        <v>400.18031199999996</v>
      </c>
      <c r="V178" s="9">
        <f t="shared" si="268"/>
        <v>2198.7435120000005</v>
      </c>
      <c r="W178" s="9">
        <f t="shared" si="268"/>
        <v>2497.7546440000001</v>
      </c>
      <c r="X178" s="9">
        <f t="shared" si="268"/>
        <v>5002.2538999999997</v>
      </c>
      <c r="Y178" s="9">
        <f t="shared" si="268"/>
        <v>191.09734000000003</v>
      </c>
      <c r="Z178" s="9">
        <f t="shared" si="268"/>
        <v>0</v>
      </c>
      <c r="AA178" s="9">
        <f t="shared" si="268"/>
        <v>17.985632000000003</v>
      </c>
      <c r="AB178" s="9">
        <f t="shared" si="268"/>
        <v>0</v>
      </c>
      <c r="AC178" s="67"/>
      <c r="AD178" s="55"/>
    </row>
    <row r="179" spans="1:30" s="52" customFormat="1">
      <c r="A179" s="87"/>
      <c r="B179" s="17"/>
      <c r="C179" s="238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67"/>
      <c r="AD179" s="55"/>
    </row>
    <row r="180" spans="1:30" s="52" customFormat="1">
      <c r="A180" s="87"/>
      <c r="B180" s="17"/>
      <c r="C180" s="238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67"/>
      <c r="AD180" s="55"/>
    </row>
    <row r="181" spans="1:30" s="52" customFormat="1" ht="13.8" thickBot="1">
      <c r="A181" s="80" t="s">
        <v>56</v>
      </c>
      <c r="B181" s="81"/>
      <c r="C181" s="234"/>
      <c r="D181" s="81"/>
      <c r="E181" s="81"/>
      <c r="F181" s="81"/>
      <c r="G181" s="22"/>
      <c r="H181" s="25"/>
      <c r="I181" s="25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67"/>
      <c r="AD181" s="55"/>
    </row>
    <row r="182" spans="1:30" s="52" customFormat="1" ht="13.8" thickBot="1">
      <c r="A182" s="113" t="s">
        <v>1</v>
      </c>
      <c r="B182" s="114" t="s">
        <v>2</v>
      </c>
      <c r="C182" s="239" t="s">
        <v>3</v>
      </c>
      <c r="D182" s="263" t="s">
        <v>4</v>
      </c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  <c r="Y182" s="264"/>
      <c r="Z182" s="123"/>
      <c r="AA182" s="123"/>
      <c r="AB182" s="123"/>
      <c r="AC182" s="67"/>
      <c r="AD182" s="55"/>
    </row>
    <row r="183" spans="1:30" s="52" customFormat="1">
      <c r="A183" s="115" t="s">
        <v>5</v>
      </c>
      <c r="B183" s="116" t="s">
        <v>6</v>
      </c>
      <c r="C183" s="240" t="s">
        <v>6</v>
      </c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9"/>
      <c r="Z183" s="116" t="s">
        <v>7</v>
      </c>
      <c r="AA183" s="116"/>
      <c r="AB183" s="116"/>
      <c r="AC183" s="67"/>
      <c r="AD183" s="55"/>
    </row>
    <row r="184" spans="1:30" s="52" customFormat="1">
      <c r="A184" s="115" t="s">
        <v>8</v>
      </c>
      <c r="B184" s="116" t="s">
        <v>9</v>
      </c>
      <c r="C184" s="240" t="s">
        <v>9</v>
      </c>
      <c r="D184" s="120" t="s">
        <v>10</v>
      </c>
      <c r="E184" s="116" t="s">
        <v>11</v>
      </c>
      <c r="F184" s="116" t="s">
        <v>12</v>
      </c>
      <c r="G184" s="116" t="s">
        <v>13</v>
      </c>
      <c r="H184" s="116" t="s">
        <v>14</v>
      </c>
      <c r="I184" s="116" t="s">
        <v>15</v>
      </c>
      <c r="J184" s="116" t="s">
        <v>16</v>
      </c>
      <c r="K184" s="116" t="s">
        <v>17</v>
      </c>
      <c r="L184" s="116" t="s">
        <v>18</v>
      </c>
      <c r="M184" s="116" t="s">
        <v>19</v>
      </c>
      <c r="N184" s="116" t="s">
        <v>20</v>
      </c>
      <c r="O184" s="116" t="s">
        <v>175</v>
      </c>
      <c r="P184" s="116" t="s">
        <v>21</v>
      </c>
      <c r="Q184" s="116" t="s">
        <v>22</v>
      </c>
      <c r="R184" s="116" t="s">
        <v>23</v>
      </c>
      <c r="S184" s="116" t="s">
        <v>24</v>
      </c>
      <c r="T184" s="116" t="s">
        <v>25</v>
      </c>
      <c r="U184" s="116" t="s">
        <v>26</v>
      </c>
      <c r="V184" s="116" t="s">
        <v>27</v>
      </c>
      <c r="W184" s="116" t="s">
        <v>28</v>
      </c>
      <c r="X184" s="116" t="s">
        <v>29</v>
      </c>
      <c r="Y184" s="116" t="s">
        <v>30</v>
      </c>
      <c r="Z184" s="116" t="s">
        <v>31</v>
      </c>
      <c r="AA184" s="116" t="s">
        <v>493</v>
      </c>
      <c r="AB184" s="116" t="s">
        <v>476</v>
      </c>
      <c r="AC184" s="67"/>
      <c r="AD184" s="55"/>
    </row>
    <row r="185" spans="1:30" s="52" customFormat="1">
      <c r="A185" s="115"/>
      <c r="B185" s="116"/>
      <c r="C185" s="240" t="s">
        <v>617</v>
      </c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67"/>
      <c r="AD185" s="55"/>
    </row>
    <row r="186" spans="1:30" s="52" customFormat="1">
      <c r="A186" s="96" t="s">
        <v>57</v>
      </c>
      <c r="B186" s="18">
        <v>5861805</v>
      </c>
      <c r="C186" s="242">
        <f>B186/12</f>
        <v>488483.75</v>
      </c>
      <c r="D186" s="5"/>
      <c r="E186" s="5"/>
      <c r="F186" s="5"/>
      <c r="G186" s="5"/>
      <c r="H186" s="5">
        <v>0.75849999999999995</v>
      </c>
      <c r="I186" s="5"/>
      <c r="J186" s="5"/>
      <c r="K186" s="5"/>
      <c r="L186" s="5"/>
      <c r="M186" s="5"/>
      <c r="N186" s="5">
        <v>0.1154</v>
      </c>
      <c r="O186" s="5"/>
      <c r="P186" s="5"/>
      <c r="Q186" s="5"/>
      <c r="R186" s="5">
        <v>4.7300000000000002E-2</v>
      </c>
      <c r="S186" s="5"/>
      <c r="T186" s="5"/>
      <c r="U186" s="5"/>
      <c r="V186" s="5">
        <v>7.8799999999999995E-2</v>
      </c>
      <c r="W186" s="5"/>
      <c r="X186" s="5"/>
      <c r="Y186" s="5"/>
      <c r="Z186" s="5"/>
      <c r="AA186" s="5"/>
      <c r="AB186" s="5"/>
      <c r="AC186" s="67"/>
      <c r="AD186" s="55"/>
    </row>
    <row r="187" spans="1:30" s="52" customFormat="1">
      <c r="A187" s="97"/>
      <c r="B187" s="12"/>
      <c r="C187" s="236"/>
      <c r="D187" s="6">
        <f t="shared" ref="D187" si="269">$C186*D186</f>
        <v>0</v>
      </c>
      <c r="E187" s="6">
        <f t="shared" ref="E187" si="270">$C186*E186</f>
        <v>0</v>
      </c>
      <c r="F187" s="6">
        <f t="shared" ref="F187:AB187" si="271">$C186*F186</f>
        <v>0</v>
      </c>
      <c r="G187" s="6">
        <f t="shared" si="271"/>
        <v>0</v>
      </c>
      <c r="H187" s="6">
        <f t="shared" si="271"/>
        <v>370514.924375</v>
      </c>
      <c r="I187" s="6">
        <f t="shared" si="271"/>
        <v>0</v>
      </c>
      <c r="J187" s="6">
        <f t="shared" si="271"/>
        <v>0</v>
      </c>
      <c r="K187" s="6">
        <f t="shared" si="271"/>
        <v>0</v>
      </c>
      <c r="L187" s="6">
        <f t="shared" si="271"/>
        <v>0</v>
      </c>
      <c r="M187" s="6">
        <f t="shared" si="271"/>
        <v>0</v>
      </c>
      <c r="N187" s="6">
        <f t="shared" si="271"/>
        <v>56371.024750000004</v>
      </c>
      <c r="O187" s="6">
        <f t="shared" si="271"/>
        <v>0</v>
      </c>
      <c r="P187" s="6">
        <f t="shared" si="271"/>
        <v>0</v>
      </c>
      <c r="Q187" s="6">
        <f t="shared" si="271"/>
        <v>0</v>
      </c>
      <c r="R187" s="6">
        <f t="shared" si="271"/>
        <v>23105.281375000002</v>
      </c>
      <c r="S187" s="6">
        <f t="shared" si="271"/>
        <v>0</v>
      </c>
      <c r="T187" s="6">
        <f t="shared" si="271"/>
        <v>0</v>
      </c>
      <c r="U187" s="6">
        <f t="shared" si="271"/>
        <v>0</v>
      </c>
      <c r="V187" s="6">
        <f t="shared" si="271"/>
        <v>38492.519499999995</v>
      </c>
      <c r="W187" s="6">
        <f t="shared" si="271"/>
        <v>0</v>
      </c>
      <c r="X187" s="6">
        <f t="shared" si="271"/>
        <v>0</v>
      </c>
      <c r="Y187" s="6">
        <f t="shared" si="271"/>
        <v>0</v>
      </c>
      <c r="Z187" s="6">
        <f t="shared" si="271"/>
        <v>0</v>
      </c>
      <c r="AA187" s="6">
        <f t="shared" si="271"/>
        <v>0</v>
      </c>
      <c r="AB187" s="6">
        <f t="shared" si="271"/>
        <v>0</v>
      </c>
      <c r="AC187" s="67"/>
      <c r="AD187" s="55"/>
    </row>
    <row r="188" spans="1:30" s="52" customFormat="1">
      <c r="A188" s="96" t="s">
        <v>58</v>
      </c>
      <c r="B188" s="18">
        <v>4370626</v>
      </c>
      <c r="C188" s="242">
        <f>B188/12</f>
        <v>364218.83333333331</v>
      </c>
      <c r="D188" s="5"/>
      <c r="E188" s="5"/>
      <c r="F188" s="5"/>
      <c r="G188" s="5"/>
      <c r="H188" s="5">
        <v>0.85560000000000003</v>
      </c>
      <c r="I188" s="5"/>
      <c r="J188" s="5"/>
      <c r="K188" s="5"/>
      <c r="L188" s="5"/>
      <c r="M188" s="5"/>
      <c r="N188" s="5"/>
      <c r="O188" s="5"/>
      <c r="P188" s="5"/>
      <c r="Q188" s="5"/>
      <c r="R188" s="5">
        <v>8.3000000000000001E-3</v>
      </c>
      <c r="S188" s="5"/>
      <c r="T188" s="5"/>
      <c r="U188" s="5"/>
      <c r="V188" s="5">
        <v>0.1361</v>
      </c>
      <c r="W188" s="5"/>
      <c r="X188" s="5"/>
      <c r="Y188" s="5"/>
      <c r="Z188" s="5"/>
      <c r="AA188" s="5"/>
      <c r="AB188" s="5"/>
      <c r="AC188" s="67"/>
      <c r="AD188" s="55"/>
    </row>
    <row r="189" spans="1:30" s="52" customFormat="1">
      <c r="A189" s="97"/>
      <c r="B189" s="12"/>
      <c r="C189" s="236"/>
      <c r="D189" s="6">
        <f t="shared" ref="D189" si="272">$C188*D188</f>
        <v>0</v>
      </c>
      <c r="E189" s="6">
        <f t="shared" ref="E189" si="273">$C188*E188</f>
        <v>0</v>
      </c>
      <c r="F189" s="6">
        <f t="shared" ref="F189:AB189" si="274">$C188*F188</f>
        <v>0</v>
      </c>
      <c r="G189" s="6">
        <f t="shared" si="274"/>
        <v>0</v>
      </c>
      <c r="H189" s="6">
        <f t="shared" si="274"/>
        <v>311625.63380000001</v>
      </c>
      <c r="I189" s="6">
        <f t="shared" si="274"/>
        <v>0</v>
      </c>
      <c r="J189" s="6">
        <f t="shared" si="274"/>
        <v>0</v>
      </c>
      <c r="K189" s="6">
        <f t="shared" si="274"/>
        <v>0</v>
      </c>
      <c r="L189" s="6">
        <f t="shared" si="274"/>
        <v>0</v>
      </c>
      <c r="M189" s="6">
        <f t="shared" si="274"/>
        <v>0</v>
      </c>
      <c r="N189" s="6">
        <f t="shared" si="274"/>
        <v>0</v>
      </c>
      <c r="O189" s="6">
        <f t="shared" si="274"/>
        <v>0</v>
      </c>
      <c r="P189" s="6">
        <f t="shared" si="274"/>
        <v>0</v>
      </c>
      <c r="Q189" s="6">
        <f t="shared" si="274"/>
        <v>0</v>
      </c>
      <c r="R189" s="6">
        <f t="shared" si="274"/>
        <v>3023.0163166666666</v>
      </c>
      <c r="S189" s="6">
        <f t="shared" si="274"/>
        <v>0</v>
      </c>
      <c r="T189" s="6">
        <f t="shared" si="274"/>
        <v>0</v>
      </c>
      <c r="U189" s="6">
        <f t="shared" si="274"/>
        <v>0</v>
      </c>
      <c r="V189" s="6">
        <f t="shared" si="274"/>
        <v>49570.183216666665</v>
      </c>
      <c r="W189" s="6">
        <f t="shared" si="274"/>
        <v>0</v>
      </c>
      <c r="X189" s="6">
        <f t="shared" si="274"/>
        <v>0</v>
      </c>
      <c r="Y189" s="6">
        <f t="shared" si="274"/>
        <v>0</v>
      </c>
      <c r="Z189" s="6">
        <f t="shared" si="274"/>
        <v>0</v>
      </c>
      <c r="AA189" s="6">
        <f t="shared" si="274"/>
        <v>0</v>
      </c>
      <c r="AB189" s="6">
        <f t="shared" si="274"/>
        <v>0</v>
      </c>
      <c r="AC189" s="67"/>
      <c r="AD189" s="55"/>
    </row>
    <row r="190" spans="1:30" s="52" customFormat="1">
      <c r="A190" s="96" t="s">
        <v>59</v>
      </c>
      <c r="B190" s="18">
        <v>2799443</v>
      </c>
      <c r="C190" s="242">
        <f>B190/12</f>
        <v>233286.91666666666</v>
      </c>
      <c r="D190" s="5"/>
      <c r="E190" s="5"/>
      <c r="F190" s="5"/>
      <c r="G190" s="5"/>
      <c r="H190" s="5">
        <v>0.90559999999999996</v>
      </c>
      <c r="I190" s="5"/>
      <c r="J190" s="5"/>
      <c r="K190" s="5"/>
      <c r="L190" s="5"/>
      <c r="M190" s="5"/>
      <c r="N190" s="5"/>
      <c r="O190" s="5"/>
      <c r="P190" s="5"/>
      <c r="Q190" s="5"/>
      <c r="R190" s="5">
        <v>1.5100000000000001E-2</v>
      </c>
      <c r="S190" s="5"/>
      <c r="T190" s="5">
        <v>9.1999999999999998E-3</v>
      </c>
      <c r="U190" s="5"/>
      <c r="V190" s="5">
        <v>4.0099999999999997E-2</v>
      </c>
      <c r="W190" s="5">
        <v>0.03</v>
      </c>
      <c r="X190" s="5"/>
      <c r="Y190" s="5"/>
      <c r="Z190" s="5"/>
      <c r="AA190" s="5"/>
      <c r="AB190" s="5"/>
      <c r="AC190" s="67"/>
      <c r="AD190" s="55"/>
    </row>
    <row r="191" spans="1:30" s="52" customFormat="1">
      <c r="A191" s="97"/>
      <c r="B191" s="12"/>
      <c r="C191" s="236"/>
      <c r="D191" s="6">
        <f t="shared" ref="D191" si="275">$C190*D190</f>
        <v>0</v>
      </c>
      <c r="E191" s="6">
        <f t="shared" ref="E191" si="276">$C190*E190</f>
        <v>0</v>
      </c>
      <c r="F191" s="6">
        <f t="shared" ref="F191:AB191" si="277">$C190*F190</f>
        <v>0</v>
      </c>
      <c r="G191" s="6">
        <f t="shared" si="277"/>
        <v>0</v>
      </c>
      <c r="H191" s="6">
        <f t="shared" si="277"/>
        <v>211264.63173333331</v>
      </c>
      <c r="I191" s="6">
        <f t="shared" si="277"/>
        <v>0</v>
      </c>
      <c r="J191" s="6">
        <f t="shared" si="277"/>
        <v>0</v>
      </c>
      <c r="K191" s="6">
        <f t="shared" si="277"/>
        <v>0</v>
      </c>
      <c r="L191" s="6">
        <f t="shared" si="277"/>
        <v>0</v>
      </c>
      <c r="M191" s="6">
        <f t="shared" si="277"/>
        <v>0</v>
      </c>
      <c r="N191" s="6">
        <f t="shared" si="277"/>
        <v>0</v>
      </c>
      <c r="O191" s="6">
        <f t="shared" si="277"/>
        <v>0</v>
      </c>
      <c r="P191" s="6">
        <f t="shared" si="277"/>
        <v>0</v>
      </c>
      <c r="Q191" s="6">
        <f t="shared" si="277"/>
        <v>0</v>
      </c>
      <c r="R191" s="6">
        <f t="shared" si="277"/>
        <v>3522.6324416666666</v>
      </c>
      <c r="S191" s="6">
        <f t="shared" si="277"/>
        <v>0</v>
      </c>
      <c r="T191" s="6">
        <f t="shared" si="277"/>
        <v>2146.2396333333331</v>
      </c>
      <c r="U191" s="6">
        <f t="shared" si="277"/>
        <v>0</v>
      </c>
      <c r="V191" s="6">
        <f t="shared" si="277"/>
        <v>9354.8053583333331</v>
      </c>
      <c r="W191" s="6">
        <f t="shared" si="277"/>
        <v>6998.6074999999992</v>
      </c>
      <c r="X191" s="6">
        <f t="shared" si="277"/>
        <v>0</v>
      </c>
      <c r="Y191" s="6">
        <f t="shared" si="277"/>
        <v>0</v>
      </c>
      <c r="Z191" s="6">
        <f t="shared" si="277"/>
        <v>0</v>
      </c>
      <c r="AA191" s="6">
        <f t="shared" si="277"/>
        <v>0</v>
      </c>
      <c r="AB191" s="6">
        <f t="shared" si="277"/>
        <v>0</v>
      </c>
      <c r="AC191" s="67"/>
      <c r="AD191" s="55"/>
    </row>
    <row r="192" spans="1:30" s="52" customFormat="1">
      <c r="A192" s="96" t="s">
        <v>315</v>
      </c>
      <c r="B192" s="18">
        <v>2685400</v>
      </c>
      <c r="C192" s="242">
        <f>B192/12</f>
        <v>223783.33333333334</v>
      </c>
      <c r="D192" s="40">
        <v>0.09</v>
      </c>
      <c r="E192" s="40"/>
      <c r="F192" s="40"/>
      <c r="G192" s="40"/>
      <c r="H192" s="40"/>
      <c r="I192" s="40"/>
      <c r="J192" s="40"/>
      <c r="K192" s="40"/>
      <c r="L192" s="40"/>
      <c r="M192" s="40">
        <v>0.16850000000000001</v>
      </c>
      <c r="N192" s="40"/>
      <c r="O192" s="40"/>
      <c r="P192" s="40"/>
      <c r="Q192" s="40">
        <v>9.64E-2</v>
      </c>
      <c r="R192" s="40">
        <v>1.4800000000000001E-2</v>
      </c>
      <c r="S192" s="40">
        <v>9.4999999999999998E-3</v>
      </c>
      <c r="T192" s="40">
        <v>0.30790000000000001</v>
      </c>
      <c r="U192" s="40"/>
      <c r="V192" s="40"/>
      <c r="W192" s="40">
        <v>0.1641</v>
      </c>
      <c r="X192" s="40">
        <v>0.14069999999999999</v>
      </c>
      <c r="Y192" s="40">
        <v>5.1999999999999998E-3</v>
      </c>
      <c r="Z192" s="40">
        <v>2.8999999999999998E-3</v>
      </c>
      <c r="AA192" s="40">
        <v>0</v>
      </c>
      <c r="AB192" s="40">
        <v>0</v>
      </c>
      <c r="AC192" s="67"/>
      <c r="AD192" s="55"/>
    </row>
    <row r="193" spans="1:30" s="52" customFormat="1">
      <c r="A193" s="97"/>
      <c r="B193" s="12"/>
      <c r="C193" s="236"/>
      <c r="D193" s="39">
        <f t="shared" ref="D193" si="278">$C192*D192</f>
        <v>20140.5</v>
      </c>
      <c r="E193" s="39">
        <f t="shared" ref="E193" si="279">$C192*E192</f>
        <v>0</v>
      </c>
      <c r="F193" s="39">
        <f t="shared" ref="F193:O193" si="280">$C192*F192</f>
        <v>0</v>
      </c>
      <c r="G193" s="39">
        <f t="shared" si="280"/>
        <v>0</v>
      </c>
      <c r="H193" s="39">
        <f t="shared" si="280"/>
        <v>0</v>
      </c>
      <c r="I193" s="39">
        <f t="shared" si="280"/>
        <v>0</v>
      </c>
      <c r="J193" s="39">
        <f t="shared" si="280"/>
        <v>0</v>
      </c>
      <c r="K193" s="39">
        <f t="shared" si="280"/>
        <v>0</v>
      </c>
      <c r="L193" s="39">
        <f t="shared" si="280"/>
        <v>0</v>
      </c>
      <c r="M193" s="39">
        <f t="shared" si="280"/>
        <v>37707.491666666669</v>
      </c>
      <c r="N193" s="39">
        <f t="shared" si="280"/>
        <v>0</v>
      </c>
      <c r="O193" s="39">
        <f t="shared" si="280"/>
        <v>0</v>
      </c>
      <c r="P193" s="39">
        <f t="shared" ref="P193" si="281">$C192*P192</f>
        <v>0</v>
      </c>
      <c r="Q193" s="39">
        <f t="shared" ref="Q193" si="282">$C192*Q192</f>
        <v>21572.713333333333</v>
      </c>
      <c r="R193" s="39">
        <f t="shared" ref="R193:AB193" si="283">$C192*R192</f>
        <v>3311.9933333333338</v>
      </c>
      <c r="S193" s="39">
        <f t="shared" si="283"/>
        <v>2125.9416666666666</v>
      </c>
      <c r="T193" s="39">
        <f t="shared" si="283"/>
        <v>68902.888333333336</v>
      </c>
      <c r="U193" s="39">
        <f t="shared" si="283"/>
        <v>0</v>
      </c>
      <c r="V193" s="39">
        <f t="shared" si="283"/>
        <v>0</v>
      </c>
      <c r="W193" s="39">
        <f t="shared" si="283"/>
        <v>36722.845000000001</v>
      </c>
      <c r="X193" s="39">
        <f t="shared" si="283"/>
        <v>31486.314999999999</v>
      </c>
      <c r="Y193" s="39">
        <f t="shared" si="283"/>
        <v>1163.6733333333334</v>
      </c>
      <c r="Z193" s="39">
        <f t="shared" si="283"/>
        <v>648.97166666666669</v>
      </c>
      <c r="AA193" s="39">
        <f t="shared" si="283"/>
        <v>0</v>
      </c>
      <c r="AB193" s="39">
        <f t="shared" si="283"/>
        <v>0</v>
      </c>
      <c r="AC193" s="67"/>
      <c r="AD193" s="55"/>
    </row>
    <row r="194" spans="1:30" s="52" customFormat="1">
      <c r="A194" s="96" t="s">
        <v>316</v>
      </c>
      <c r="B194" s="18">
        <v>11022811</v>
      </c>
      <c r="C194" s="242">
        <f>B194/12</f>
        <v>918567.58333333337</v>
      </c>
      <c r="D194" s="5"/>
      <c r="E194" s="5"/>
      <c r="F194" s="5">
        <v>2.0199999999999999E-2</v>
      </c>
      <c r="G194" s="5"/>
      <c r="H194" s="5">
        <v>0.75219999999999998</v>
      </c>
      <c r="I194" s="5"/>
      <c r="J194" s="5"/>
      <c r="K194" s="5"/>
      <c r="L194" s="5"/>
      <c r="M194" s="5"/>
      <c r="N194" s="5">
        <v>0.161</v>
      </c>
      <c r="O194" s="5"/>
      <c r="P194" s="5"/>
      <c r="Q194" s="5"/>
      <c r="R194" s="5"/>
      <c r="S194" s="5"/>
      <c r="T194" s="5"/>
      <c r="U194" s="5"/>
      <c r="V194" s="5">
        <v>6.6600000000000006E-2</v>
      </c>
      <c r="W194" s="5"/>
      <c r="X194" s="5"/>
      <c r="Y194" s="5"/>
      <c r="Z194" s="5"/>
      <c r="AA194" s="5"/>
      <c r="AB194" s="5"/>
      <c r="AC194" s="67"/>
      <c r="AD194" s="55"/>
    </row>
    <row r="195" spans="1:30" s="52" customFormat="1">
      <c r="A195" s="97"/>
      <c r="B195" s="12"/>
      <c r="C195" s="236"/>
      <c r="D195" s="6">
        <f t="shared" ref="D195" si="284">$C194*D194</f>
        <v>0</v>
      </c>
      <c r="E195" s="6">
        <f t="shared" ref="E195" si="285">$C194*E194</f>
        <v>0</v>
      </c>
      <c r="F195" s="6">
        <f t="shared" ref="F195:O195" si="286">$C194*F194</f>
        <v>18555.065183333332</v>
      </c>
      <c r="G195" s="6">
        <f t="shared" si="286"/>
        <v>0</v>
      </c>
      <c r="H195" s="6">
        <f t="shared" si="286"/>
        <v>690946.53618333337</v>
      </c>
      <c r="I195" s="6">
        <f t="shared" si="286"/>
        <v>0</v>
      </c>
      <c r="J195" s="6">
        <f t="shared" si="286"/>
        <v>0</v>
      </c>
      <c r="K195" s="6">
        <f t="shared" si="286"/>
        <v>0</v>
      </c>
      <c r="L195" s="6">
        <f t="shared" si="286"/>
        <v>0</v>
      </c>
      <c r="M195" s="6">
        <f t="shared" si="286"/>
        <v>0</v>
      </c>
      <c r="N195" s="6">
        <f t="shared" si="286"/>
        <v>147889.38091666668</v>
      </c>
      <c r="O195" s="6">
        <f t="shared" si="286"/>
        <v>0</v>
      </c>
      <c r="P195" s="6">
        <f t="shared" ref="P195" si="287">$C194*P194</f>
        <v>0</v>
      </c>
      <c r="Q195" s="6">
        <f t="shared" ref="Q195" si="288">$C194*Q194</f>
        <v>0</v>
      </c>
      <c r="R195" s="6">
        <f t="shared" ref="R195:AB195" si="289">$C194*R194</f>
        <v>0</v>
      </c>
      <c r="S195" s="6">
        <f t="shared" si="289"/>
        <v>0</v>
      </c>
      <c r="T195" s="6">
        <f t="shared" si="289"/>
        <v>0</v>
      </c>
      <c r="U195" s="6">
        <f t="shared" si="289"/>
        <v>0</v>
      </c>
      <c r="V195" s="6">
        <f t="shared" si="289"/>
        <v>61176.601050000012</v>
      </c>
      <c r="W195" s="6">
        <f t="shared" si="289"/>
        <v>0</v>
      </c>
      <c r="X195" s="6">
        <f t="shared" si="289"/>
        <v>0</v>
      </c>
      <c r="Y195" s="6">
        <f t="shared" si="289"/>
        <v>0</v>
      </c>
      <c r="Z195" s="6">
        <f t="shared" si="289"/>
        <v>0</v>
      </c>
      <c r="AA195" s="6">
        <f t="shared" si="289"/>
        <v>0</v>
      </c>
      <c r="AB195" s="6">
        <f t="shared" si="289"/>
        <v>0</v>
      </c>
      <c r="AC195" s="67"/>
      <c r="AD195" s="55"/>
    </row>
    <row r="196" spans="1:30" s="52" customFormat="1">
      <c r="A196" s="96" t="s">
        <v>317</v>
      </c>
      <c r="B196" s="18">
        <v>2957998</v>
      </c>
      <c r="C196" s="242">
        <f>B196/12</f>
        <v>246499.83333333334</v>
      </c>
      <c r="D196" s="5"/>
      <c r="E196" s="5"/>
      <c r="F196" s="5">
        <v>4.4200000000000003E-2</v>
      </c>
      <c r="G196" s="5"/>
      <c r="H196" s="5">
        <v>0.66949999999999998</v>
      </c>
      <c r="I196" s="5">
        <v>4.1200000000000001E-2</v>
      </c>
      <c r="J196" s="5">
        <v>4.8999999999999998E-3</v>
      </c>
      <c r="K196" s="5"/>
      <c r="L196" s="5"/>
      <c r="M196" s="5"/>
      <c r="N196" s="5">
        <v>0.18759999999999999</v>
      </c>
      <c r="O196" s="5"/>
      <c r="P196" s="5"/>
      <c r="Q196" s="5"/>
      <c r="R196" s="5"/>
      <c r="S196" s="5"/>
      <c r="T196" s="5"/>
      <c r="U196" s="5">
        <v>5.0000000000000001E-4</v>
      </c>
      <c r="V196" s="5">
        <v>5.21E-2</v>
      </c>
      <c r="W196" s="5"/>
      <c r="X196" s="5"/>
      <c r="Y196" s="5"/>
      <c r="Z196" s="5"/>
      <c r="AA196" s="5"/>
      <c r="AB196" s="5"/>
      <c r="AC196" s="67"/>
      <c r="AD196" s="55"/>
    </row>
    <row r="197" spans="1:30" s="52" customFormat="1">
      <c r="A197" s="97"/>
      <c r="B197" s="12"/>
      <c r="C197" s="236"/>
      <c r="D197" s="6">
        <f t="shared" ref="D197" si="290">$C196*D196</f>
        <v>0</v>
      </c>
      <c r="E197" s="6">
        <f t="shared" ref="E197" si="291">$C196*E196</f>
        <v>0</v>
      </c>
      <c r="F197" s="6">
        <f t="shared" ref="F197:O197" si="292">$C196*F196</f>
        <v>10895.292633333334</v>
      </c>
      <c r="G197" s="6">
        <f t="shared" si="292"/>
        <v>0</v>
      </c>
      <c r="H197" s="6">
        <f t="shared" si="292"/>
        <v>165031.63841666668</v>
      </c>
      <c r="I197" s="6">
        <f t="shared" si="292"/>
        <v>10155.793133333334</v>
      </c>
      <c r="J197" s="6">
        <f t="shared" si="292"/>
        <v>1207.8491833333333</v>
      </c>
      <c r="K197" s="6">
        <f t="shared" si="292"/>
        <v>0</v>
      </c>
      <c r="L197" s="6">
        <f t="shared" si="292"/>
        <v>0</v>
      </c>
      <c r="M197" s="6">
        <f t="shared" si="292"/>
        <v>0</v>
      </c>
      <c r="N197" s="6">
        <f t="shared" si="292"/>
        <v>46243.368733333329</v>
      </c>
      <c r="O197" s="6">
        <f t="shared" si="292"/>
        <v>0</v>
      </c>
      <c r="P197" s="6">
        <f t="shared" ref="P197" si="293">$C196*P196</f>
        <v>0</v>
      </c>
      <c r="Q197" s="6">
        <f t="shared" ref="Q197" si="294">$C196*Q196</f>
        <v>0</v>
      </c>
      <c r="R197" s="6">
        <f t="shared" ref="R197:AB197" si="295">$C196*R196</f>
        <v>0</v>
      </c>
      <c r="S197" s="6">
        <f t="shared" si="295"/>
        <v>0</v>
      </c>
      <c r="T197" s="6">
        <f t="shared" si="295"/>
        <v>0</v>
      </c>
      <c r="U197" s="6">
        <f t="shared" si="295"/>
        <v>123.24991666666668</v>
      </c>
      <c r="V197" s="6">
        <f t="shared" si="295"/>
        <v>12842.641316666668</v>
      </c>
      <c r="W197" s="6">
        <f t="shared" si="295"/>
        <v>0</v>
      </c>
      <c r="X197" s="6">
        <f t="shared" si="295"/>
        <v>0</v>
      </c>
      <c r="Y197" s="6">
        <f t="shared" si="295"/>
        <v>0</v>
      </c>
      <c r="Z197" s="6">
        <f t="shared" si="295"/>
        <v>0</v>
      </c>
      <c r="AA197" s="6">
        <f t="shared" si="295"/>
        <v>0</v>
      </c>
      <c r="AB197" s="6">
        <f t="shared" si="295"/>
        <v>0</v>
      </c>
      <c r="AC197" s="67"/>
      <c r="AD197" s="55"/>
    </row>
    <row r="198" spans="1:30" s="52" customFormat="1">
      <c r="A198" s="96" t="s">
        <v>388</v>
      </c>
      <c r="B198" s="18">
        <v>3711361</v>
      </c>
      <c r="C198" s="242">
        <f>B198/12</f>
        <v>309280.08333333331</v>
      </c>
      <c r="D198" s="5"/>
      <c r="E198" s="5"/>
      <c r="F198" s="5">
        <v>4.4200000000000003E-2</v>
      </c>
      <c r="G198" s="5"/>
      <c r="H198" s="5">
        <v>0.66949999999999998</v>
      </c>
      <c r="I198" s="5">
        <v>4.1200000000000001E-2</v>
      </c>
      <c r="J198" s="5">
        <v>4.8999999999999998E-3</v>
      </c>
      <c r="K198" s="5"/>
      <c r="L198" s="5"/>
      <c r="M198" s="5"/>
      <c r="N198" s="5">
        <v>0.18759999999999999</v>
      </c>
      <c r="O198" s="5"/>
      <c r="P198" s="5"/>
      <c r="Q198" s="5"/>
      <c r="R198" s="5"/>
      <c r="S198" s="5"/>
      <c r="T198" s="5"/>
      <c r="U198" s="5">
        <v>5.0000000000000001E-4</v>
      </c>
      <c r="V198" s="5">
        <v>5.21E-2</v>
      </c>
      <c r="W198" s="5"/>
      <c r="X198" s="5"/>
      <c r="Y198" s="5"/>
      <c r="Z198" s="5"/>
      <c r="AA198" s="5"/>
      <c r="AB198" s="5"/>
      <c r="AC198" s="67"/>
      <c r="AD198" s="55"/>
    </row>
    <row r="199" spans="1:30" s="52" customFormat="1">
      <c r="A199" s="97"/>
      <c r="B199" s="12"/>
      <c r="C199" s="236"/>
      <c r="D199" s="6">
        <f t="shared" ref="D199" si="296">$C198*D198</f>
        <v>0</v>
      </c>
      <c r="E199" s="6">
        <f t="shared" ref="E199" si="297">$C198*E198</f>
        <v>0</v>
      </c>
      <c r="F199" s="6">
        <f t="shared" ref="F199:O199" si="298">$C198*F198</f>
        <v>13670.179683333334</v>
      </c>
      <c r="G199" s="6">
        <f t="shared" si="298"/>
        <v>0</v>
      </c>
      <c r="H199" s="6">
        <f t="shared" si="298"/>
        <v>207063.01579166664</v>
      </c>
      <c r="I199" s="6">
        <f t="shared" si="298"/>
        <v>12742.339433333333</v>
      </c>
      <c r="J199" s="6">
        <f t="shared" si="298"/>
        <v>1515.4724083333331</v>
      </c>
      <c r="K199" s="6">
        <f t="shared" si="298"/>
        <v>0</v>
      </c>
      <c r="L199" s="6">
        <f t="shared" si="298"/>
        <v>0</v>
      </c>
      <c r="M199" s="6">
        <f t="shared" si="298"/>
        <v>0</v>
      </c>
      <c r="N199" s="6">
        <f t="shared" si="298"/>
        <v>58020.943633333329</v>
      </c>
      <c r="O199" s="6">
        <f t="shared" si="298"/>
        <v>0</v>
      </c>
      <c r="P199" s="6">
        <f t="shared" ref="P199" si="299">$C198*P198</f>
        <v>0</v>
      </c>
      <c r="Q199" s="6">
        <f t="shared" ref="Q199" si="300">$C198*Q198</f>
        <v>0</v>
      </c>
      <c r="R199" s="6">
        <f t="shared" ref="R199:AB199" si="301">$C198*R198</f>
        <v>0</v>
      </c>
      <c r="S199" s="6">
        <f t="shared" si="301"/>
        <v>0</v>
      </c>
      <c r="T199" s="6">
        <f t="shared" si="301"/>
        <v>0</v>
      </c>
      <c r="U199" s="6">
        <f t="shared" si="301"/>
        <v>154.64004166666666</v>
      </c>
      <c r="V199" s="6">
        <f t="shared" si="301"/>
        <v>16113.492341666666</v>
      </c>
      <c r="W199" s="6">
        <f t="shared" si="301"/>
        <v>0</v>
      </c>
      <c r="X199" s="6">
        <f t="shared" si="301"/>
        <v>0</v>
      </c>
      <c r="Y199" s="6">
        <f t="shared" si="301"/>
        <v>0</v>
      </c>
      <c r="Z199" s="6">
        <f t="shared" si="301"/>
        <v>0</v>
      </c>
      <c r="AA199" s="6">
        <f t="shared" si="301"/>
        <v>0</v>
      </c>
      <c r="AB199" s="6">
        <f t="shared" si="301"/>
        <v>0</v>
      </c>
      <c r="AC199" s="67"/>
      <c r="AD199" s="55"/>
    </row>
    <row r="200" spans="1:30" s="52" customFormat="1">
      <c r="A200" s="96" t="s">
        <v>601</v>
      </c>
      <c r="B200" s="18">
        <f>1107677/2</f>
        <v>553838.5</v>
      </c>
      <c r="C200" s="242">
        <f>B200/12</f>
        <v>46153.208333333336</v>
      </c>
      <c r="D200" s="170">
        <v>1.6500000000000001E-2</v>
      </c>
      <c r="E200" s="170">
        <v>0.1368</v>
      </c>
      <c r="F200" s="170">
        <v>5.7599999999999998E-2</v>
      </c>
      <c r="G200" s="170">
        <v>8.0399999999999999E-2</v>
      </c>
      <c r="H200" s="170">
        <v>4.1099999999999998E-2</v>
      </c>
      <c r="I200" s="170">
        <v>0.13389999999999999</v>
      </c>
      <c r="J200" s="170">
        <v>2.12E-2</v>
      </c>
      <c r="K200" s="170">
        <v>3.2500000000000001E-2</v>
      </c>
      <c r="L200" s="170">
        <v>1.7100000000000001E-2</v>
      </c>
      <c r="M200" s="170">
        <v>2.5999999999999999E-2</v>
      </c>
      <c r="N200" s="170">
        <v>0.13320000000000001</v>
      </c>
      <c r="O200" s="170">
        <v>1.89E-2</v>
      </c>
      <c r="P200" s="170">
        <v>0</v>
      </c>
      <c r="Q200" s="170">
        <v>3.8600000000000002E-2</v>
      </c>
      <c r="R200" s="170">
        <v>1.9E-2</v>
      </c>
      <c r="S200" s="170">
        <v>4.1999999999999997E-3</v>
      </c>
      <c r="T200" s="170">
        <v>5.3999999999999999E-2</v>
      </c>
      <c r="U200" s="170">
        <v>1.78E-2</v>
      </c>
      <c r="V200" s="170">
        <v>3.6700000000000003E-2</v>
      </c>
      <c r="W200" s="170">
        <v>4.7199999999999999E-2</v>
      </c>
      <c r="X200" s="170">
        <v>6.3899999999999998E-2</v>
      </c>
      <c r="Y200" s="170">
        <v>2.5999999999999999E-3</v>
      </c>
      <c r="Z200" s="171">
        <v>0</v>
      </c>
      <c r="AA200" s="171">
        <v>8.0000000000000004E-4</v>
      </c>
      <c r="AB200" s="171">
        <v>0</v>
      </c>
      <c r="AC200" s="67"/>
      <c r="AD200" s="55"/>
    </row>
    <row r="201" spans="1:30" s="52" customFormat="1">
      <c r="A201" s="97"/>
      <c r="B201" s="12"/>
      <c r="C201" s="236"/>
      <c r="D201" s="6">
        <f t="shared" ref="D201" si="302">$C200*D200</f>
        <v>761.52793750000012</v>
      </c>
      <c r="E201" s="6">
        <f t="shared" ref="E201" si="303">$C200*E200</f>
        <v>6313.7589000000007</v>
      </c>
      <c r="F201" s="6">
        <f t="shared" ref="F201:O201" si="304">$C200*F200</f>
        <v>2658.4248000000002</v>
      </c>
      <c r="G201" s="6">
        <f t="shared" si="304"/>
        <v>3710.7179500000002</v>
      </c>
      <c r="H201" s="6">
        <f t="shared" si="304"/>
        <v>1896.8968625</v>
      </c>
      <c r="I201" s="6">
        <f t="shared" si="304"/>
        <v>6179.9145958333329</v>
      </c>
      <c r="J201" s="6">
        <f t="shared" si="304"/>
        <v>978.44801666666672</v>
      </c>
      <c r="K201" s="6">
        <f t="shared" si="304"/>
        <v>1499.9792708333334</v>
      </c>
      <c r="L201" s="6">
        <f t="shared" si="304"/>
        <v>789.21986250000009</v>
      </c>
      <c r="M201" s="6">
        <f t="shared" si="304"/>
        <v>1199.9834166666667</v>
      </c>
      <c r="N201" s="6">
        <f t="shared" si="304"/>
        <v>6147.6073500000011</v>
      </c>
      <c r="O201" s="6">
        <f t="shared" si="304"/>
        <v>872.2956375</v>
      </c>
      <c r="P201" s="6">
        <f t="shared" ref="P201" si="305">$C200*P200</f>
        <v>0</v>
      </c>
      <c r="Q201" s="6">
        <f t="shared" ref="Q201" si="306">$C200*Q200</f>
        <v>1781.5138416666668</v>
      </c>
      <c r="R201" s="6">
        <f t="shared" ref="R201:AB201" si="307">$C200*R200</f>
        <v>876.91095833333338</v>
      </c>
      <c r="S201" s="6">
        <f t="shared" si="307"/>
        <v>193.84347500000001</v>
      </c>
      <c r="T201" s="6">
        <f t="shared" si="307"/>
        <v>2492.2732500000002</v>
      </c>
      <c r="U201" s="6">
        <f t="shared" si="307"/>
        <v>821.52710833333333</v>
      </c>
      <c r="V201" s="6">
        <f t="shared" si="307"/>
        <v>1693.8227458333336</v>
      </c>
      <c r="W201" s="6">
        <f t="shared" si="307"/>
        <v>2178.4314333333332</v>
      </c>
      <c r="X201" s="6">
        <f t="shared" si="307"/>
        <v>2949.1900125000002</v>
      </c>
      <c r="Y201" s="6">
        <f t="shared" si="307"/>
        <v>119.99834166666666</v>
      </c>
      <c r="Z201" s="6">
        <f t="shared" si="307"/>
        <v>0</v>
      </c>
      <c r="AA201" s="6">
        <f t="shared" si="307"/>
        <v>36.922566666666668</v>
      </c>
      <c r="AB201" s="6">
        <f t="shared" si="307"/>
        <v>0</v>
      </c>
      <c r="AC201" s="67"/>
      <c r="AD201" s="55"/>
    </row>
    <row r="202" spans="1:30" s="52" customFormat="1">
      <c r="A202" s="96" t="s">
        <v>604</v>
      </c>
      <c r="B202" s="18">
        <f>1107677/2</f>
        <v>553838.5</v>
      </c>
      <c r="C202" s="242">
        <f>B202/12</f>
        <v>46153.208333333336</v>
      </c>
      <c r="D202" s="171">
        <v>0</v>
      </c>
      <c r="E202" s="5"/>
      <c r="F202" s="171">
        <v>3.9800000000000002E-2</v>
      </c>
      <c r="G202" s="171">
        <v>2.9999999999999997E-4</v>
      </c>
      <c r="H202" s="171">
        <v>0.20979999999999999</v>
      </c>
      <c r="I202" s="5"/>
      <c r="J202" s="5"/>
      <c r="K202" s="5"/>
      <c r="L202" s="171">
        <v>1E-4</v>
      </c>
      <c r="M202" s="171">
        <v>2.0000000000000001E-4</v>
      </c>
      <c r="N202" s="171">
        <v>0.3206</v>
      </c>
      <c r="O202" s="5"/>
      <c r="P202" s="5"/>
      <c r="Q202" s="171">
        <v>7.0499999999999993E-2</v>
      </c>
      <c r="R202" s="5"/>
      <c r="S202" s="171">
        <v>8.0999999999999996E-3</v>
      </c>
      <c r="T202" s="171">
        <v>0</v>
      </c>
      <c r="U202" s="5"/>
      <c r="V202" s="171">
        <v>0.17699999999999999</v>
      </c>
      <c r="W202" s="171">
        <v>2.7199999999999998E-2</v>
      </c>
      <c r="X202" s="171">
        <v>0.14069999999999999</v>
      </c>
      <c r="Y202" s="171">
        <v>5.7000000000000002E-3</v>
      </c>
      <c r="Z202" s="5"/>
      <c r="AA202" s="5"/>
      <c r="AB202" s="5"/>
      <c r="AC202" s="67"/>
      <c r="AD202" s="55"/>
    </row>
    <row r="203" spans="1:30" s="52" customFormat="1">
      <c r="A203" s="97"/>
      <c r="B203" s="12"/>
      <c r="C203" s="236"/>
      <c r="D203" s="6">
        <f t="shared" ref="D203" si="308">$C202*D202</f>
        <v>0</v>
      </c>
      <c r="E203" s="6">
        <f t="shared" ref="E203" si="309">$C202*E202</f>
        <v>0</v>
      </c>
      <c r="F203" s="6">
        <f t="shared" ref="F203:O203" si="310">$C202*F202</f>
        <v>1836.8976916666668</v>
      </c>
      <c r="G203" s="6">
        <f t="shared" si="310"/>
        <v>13.845962499999999</v>
      </c>
      <c r="H203" s="6">
        <f t="shared" si="310"/>
        <v>9682.9431083333329</v>
      </c>
      <c r="I203" s="6">
        <f t="shared" si="310"/>
        <v>0</v>
      </c>
      <c r="J203" s="6">
        <f t="shared" si="310"/>
        <v>0</v>
      </c>
      <c r="K203" s="6">
        <f t="shared" si="310"/>
        <v>0</v>
      </c>
      <c r="L203" s="6">
        <f t="shared" si="310"/>
        <v>4.6153208333333335</v>
      </c>
      <c r="M203" s="6">
        <f t="shared" si="310"/>
        <v>9.2306416666666671</v>
      </c>
      <c r="N203" s="6">
        <f t="shared" si="310"/>
        <v>14796.718591666668</v>
      </c>
      <c r="O203" s="6">
        <f t="shared" si="310"/>
        <v>0</v>
      </c>
      <c r="P203" s="6">
        <f t="shared" ref="P203" si="311">$C202*P202</f>
        <v>0</v>
      </c>
      <c r="Q203" s="6">
        <f t="shared" ref="Q203" si="312">$C202*Q202</f>
        <v>3253.8011874999997</v>
      </c>
      <c r="R203" s="6">
        <f t="shared" ref="R203:AB203" si="313">$C202*R202</f>
        <v>0</v>
      </c>
      <c r="S203" s="6">
        <f t="shared" si="313"/>
        <v>373.84098749999998</v>
      </c>
      <c r="T203" s="6">
        <f t="shared" si="313"/>
        <v>0</v>
      </c>
      <c r="U203" s="6">
        <f t="shared" si="313"/>
        <v>0</v>
      </c>
      <c r="V203" s="6">
        <f t="shared" si="313"/>
        <v>8169.1178749999999</v>
      </c>
      <c r="W203" s="6">
        <f t="shared" si="313"/>
        <v>1255.3672666666666</v>
      </c>
      <c r="X203" s="6">
        <f t="shared" si="313"/>
        <v>6493.7564124999999</v>
      </c>
      <c r="Y203" s="6">
        <f t="shared" si="313"/>
        <v>263.07328750000005</v>
      </c>
      <c r="Z203" s="6">
        <f t="shared" si="313"/>
        <v>0</v>
      </c>
      <c r="AA203" s="6">
        <f t="shared" si="313"/>
        <v>0</v>
      </c>
      <c r="AB203" s="6">
        <f t="shared" si="313"/>
        <v>0</v>
      </c>
      <c r="AC203" s="67"/>
      <c r="AD203" s="55"/>
    </row>
    <row r="204" spans="1:30" s="52" customFormat="1">
      <c r="A204" s="96" t="s">
        <v>602</v>
      </c>
      <c r="B204" s="18">
        <v>44722</v>
      </c>
      <c r="C204" s="242">
        <f>B204/12</f>
        <v>3726.8333333333335</v>
      </c>
      <c r="D204" s="5"/>
      <c r="E204" s="5">
        <v>2.2499999999999999E-2</v>
      </c>
      <c r="F204" s="5">
        <v>2.58E-2</v>
      </c>
      <c r="G204" s="5"/>
      <c r="H204" s="5">
        <v>0.4461</v>
      </c>
      <c r="I204" s="5">
        <v>5.1000000000000004E-3</v>
      </c>
      <c r="J204" s="5">
        <v>4.0000000000000001E-3</v>
      </c>
      <c r="K204" s="5">
        <v>1.3899999999999999E-2</v>
      </c>
      <c r="L204" s="5">
        <v>1.4E-3</v>
      </c>
      <c r="M204" s="5"/>
      <c r="N204" s="5">
        <v>0.27050000000000002</v>
      </c>
      <c r="O204" s="5">
        <v>5.1999999999999998E-3</v>
      </c>
      <c r="P204" s="5"/>
      <c r="Q204" s="5"/>
      <c r="R204" s="5"/>
      <c r="S204" s="5"/>
      <c r="T204" s="5"/>
      <c r="U204" s="5">
        <v>2.0000000000000001E-4</v>
      </c>
      <c r="V204" s="5">
        <v>0.20530000000000001</v>
      </c>
      <c r="W204" s="5"/>
      <c r="X204" s="5"/>
      <c r="Y204" s="5"/>
      <c r="Z204" s="5"/>
      <c r="AA204" s="5"/>
      <c r="AB204" s="5"/>
      <c r="AC204" s="67"/>
      <c r="AD204" s="55"/>
    </row>
    <row r="205" spans="1:30" s="52" customFormat="1">
      <c r="A205" s="97"/>
      <c r="B205" s="12"/>
      <c r="C205" s="236"/>
      <c r="D205" s="6">
        <f t="shared" ref="D205" si="314">$C204*D204</f>
        <v>0</v>
      </c>
      <c r="E205" s="6">
        <f t="shared" ref="E205" si="315">$C204*E204</f>
        <v>83.853750000000005</v>
      </c>
      <c r="F205" s="6">
        <f t="shared" ref="F205:O205" si="316">$C204*F204</f>
        <v>96.152300000000011</v>
      </c>
      <c r="G205" s="6">
        <f t="shared" si="316"/>
        <v>0</v>
      </c>
      <c r="H205" s="6">
        <f t="shared" si="316"/>
        <v>1662.54035</v>
      </c>
      <c r="I205" s="6">
        <f t="shared" si="316"/>
        <v>19.006850000000004</v>
      </c>
      <c r="J205" s="6">
        <f t="shared" si="316"/>
        <v>14.907333333333334</v>
      </c>
      <c r="K205" s="6">
        <f t="shared" si="316"/>
        <v>51.80298333333333</v>
      </c>
      <c r="L205" s="6">
        <f t="shared" si="316"/>
        <v>5.2175666666666665</v>
      </c>
      <c r="M205" s="6">
        <f t="shared" si="316"/>
        <v>0</v>
      </c>
      <c r="N205" s="6">
        <f t="shared" si="316"/>
        <v>1008.1084166666668</v>
      </c>
      <c r="O205" s="6">
        <f t="shared" si="316"/>
        <v>19.379533333333335</v>
      </c>
      <c r="P205" s="6">
        <f t="shared" ref="P205" si="317">$C204*P204</f>
        <v>0</v>
      </c>
      <c r="Q205" s="6">
        <f t="shared" ref="Q205" si="318">$C204*Q204</f>
        <v>0</v>
      </c>
      <c r="R205" s="6">
        <f t="shared" ref="R205:AB205" si="319">$C204*R204</f>
        <v>0</v>
      </c>
      <c r="S205" s="6">
        <f t="shared" si="319"/>
        <v>0</v>
      </c>
      <c r="T205" s="6">
        <f t="shared" si="319"/>
        <v>0</v>
      </c>
      <c r="U205" s="6">
        <f t="shared" si="319"/>
        <v>0.74536666666666673</v>
      </c>
      <c r="V205" s="6">
        <f t="shared" si="319"/>
        <v>765.11888333333343</v>
      </c>
      <c r="W205" s="6">
        <f t="shared" si="319"/>
        <v>0</v>
      </c>
      <c r="X205" s="6">
        <f t="shared" si="319"/>
        <v>0</v>
      </c>
      <c r="Y205" s="6">
        <f t="shared" si="319"/>
        <v>0</v>
      </c>
      <c r="Z205" s="6">
        <f t="shared" si="319"/>
        <v>0</v>
      </c>
      <c r="AA205" s="6">
        <f t="shared" si="319"/>
        <v>0</v>
      </c>
      <c r="AB205" s="6">
        <f t="shared" si="319"/>
        <v>0</v>
      </c>
      <c r="AC205" s="67"/>
      <c r="AD205" s="55"/>
    </row>
    <row r="206" spans="1:30" s="52" customFormat="1">
      <c r="A206" s="96" t="s">
        <v>603</v>
      </c>
      <c r="B206" s="18">
        <v>1521876</v>
      </c>
      <c r="C206" s="242">
        <f>B206/12</f>
        <v>126823</v>
      </c>
      <c r="D206" s="5"/>
      <c r="E206" s="5">
        <v>2.2499999999999999E-2</v>
      </c>
      <c r="F206" s="5">
        <v>2.58E-2</v>
      </c>
      <c r="G206" s="5"/>
      <c r="H206" s="5">
        <v>0.4461</v>
      </c>
      <c r="I206" s="5">
        <v>5.1000000000000004E-3</v>
      </c>
      <c r="J206" s="5">
        <v>4.0000000000000001E-3</v>
      </c>
      <c r="K206" s="5">
        <v>1.3899999999999999E-2</v>
      </c>
      <c r="L206" s="5">
        <v>1.4E-3</v>
      </c>
      <c r="M206" s="5"/>
      <c r="N206" s="5">
        <v>0.27050000000000002</v>
      </c>
      <c r="O206" s="5">
        <v>5.1999999999999998E-3</v>
      </c>
      <c r="P206" s="5"/>
      <c r="Q206" s="5"/>
      <c r="R206" s="5"/>
      <c r="S206" s="5"/>
      <c r="T206" s="5"/>
      <c r="U206" s="5">
        <v>2.0000000000000001E-4</v>
      </c>
      <c r="V206" s="5">
        <v>0.20530000000000001</v>
      </c>
      <c r="W206" s="5"/>
      <c r="X206" s="5"/>
      <c r="Y206" s="5"/>
      <c r="Z206" s="5"/>
      <c r="AA206" s="5"/>
      <c r="AB206" s="5"/>
      <c r="AC206" s="67"/>
      <c r="AD206" s="55"/>
    </row>
    <row r="207" spans="1:30" s="52" customFormat="1">
      <c r="A207" s="97"/>
      <c r="B207" s="12"/>
      <c r="C207" s="236"/>
      <c r="D207" s="6">
        <f t="shared" ref="D207:O211" si="320">$C206*D206</f>
        <v>0</v>
      </c>
      <c r="E207" s="6">
        <f t="shared" ref="E207:O209" si="321">$C206*E206</f>
        <v>2853.5174999999999</v>
      </c>
      <c r="F207" s="6">
        <f t="shared" ref="F207:O207" si="322">$C206*F206</f>
        <v>3272.0333999999998</v>
      </c>
      <c r="G207" s="6">
        <f t="shared" si="322"/>
        <v>0</v>
      </c>
      <c r="H207" s="6">
        <f t="shared" si="322"/>
        <v>56575.740299999998</v>
      </c>
      <c r="I207" s="6">
        <f t="shared" si="322"/>
        <v>646.79730000000006</v>
      </c>
      <c r="J207" s="6">
        <f t="shared" si="322"/>
        <v>507.29200000000003</v>
      </c>
      <c r="K207" s="6">
        <f t="shared" si="322"/>
        <v>1762.8397</v>
      </c>
      <c r="L207" s="6">
        <f t="shared" si="322"/>
        <v>177.5522</v>
      </c>
      <c r="M207" s="6">
        <f t="shared" si="322"/>
        <v>0</v>
      </c>
      <c r="N207" s="6">
        <f t="shared" si="322"/>
        <v>34305.621500000001</v>
      </c>
      <c r="O207" s="6">
        <f t="shared" si="322"/>
        <v>659.4796</v>
      </c>
      <c r="P207" s="6">
        <f t="shared" ref="P207:AB211" si="323">$C206*P206</f>
        <v>0</v>
      </c>
      <c r="Q207" s="6">
        <f t="shared" ref="Q207:AB209" si="324">$C206*Q206</f>
        <v>0</v>
      </c>
      <c r="R207" s="6">
        <f t="shared" ref="R207:AB207" si="325">$C206*R206</f>
        <v>0</v>
      </c>
      <c r="S207" s="6">
        <f t="shared" si="325"/>
        <v>0</v>
      </c>
      <c r="T207" s="6">
        <f t="shared" si="325"/>
        <v>0</v>
      </c>
      <c r="U207" s="6">
        <f t="shared" si="325"/>
        <v>25.364600000000003</v>
      </c>
      <c r="V207" s="6">
        <f t="shared" si="325"/>
        <v>26036.761900000001</v>
      </c>
      <c r="W207" s="6">
        <f t="shared" si="325"/>
        <v>0</v>
      </c>
      <c r="X207" s="6">
        <f t="shared" si="325"/>
        <v>0</v>
      </c>
      <c r="Y207" s="6">
        <f t="shared" si="325"/>
        <v>0</v>
      </c>
      <c r="Z207" s="6">
        <f t="shared" si="325"/>
        <v>0</v>
      </c>
      <c r="AA207" s="6">
        <f t="shared" si="325"/>
        <v>0</v>
      </c>
      <c r="AB207" s="6">
        <f t="shared" si="325"/>
        <v>0</v>
      </c>
      <c r="AC207" s="67"/>
      <c r="AD207" s="55"/>
    </row>
    <row r="208" spans="1:30" s="52" customFormat="1">
      <c r="A208" s="96" t="s">
        <v>618</v>
      </c>
      <c r="B208" s="18">
        <v>4583248</v>
      </c>
      <c r="C208" s="242">
        <f>B208/12</f>
        <v>381937.33333333331</v>
      </c>
      <c r="D208" s="5"/>
      <c r="E208" s="5">
        <v>2.2499999999999999E-2</v>
      </c>
      <c r="F208" s="5">
        <v>2.58E-2</v>
      </c>
      <c r="G208" s="5"/>
      <c r="H208" s="5">
        <v>0.4461</v>
      </c>
      <c r="I208" s="5">
        <v>5.1000000000000004E-3</v>
      </c>
      <c r="J208" s="5">
        <v>4.0000000000000001E-3</v>
      </c>
      <c r="K208" s="5">
        <v>1.3899999999999999E-2</v>
      </c>
      <c r="L208" s="5">
        <v>1.4E-3</v>
      </c>
      <c r="M208" s="5"/>
      <c r="N208" s="5">
        <v>0.27050000000000002</v>
      </c>
      <c r="O208" s="5">
        <v>5.1999999999999998E-3</v>
      </c>
      <c r="P208" s="5"/>
      <c r="Q208" s="5"/>
      <c r="R208" s="5"/>
      <c r="S208" s="5"/>
      <c r="T208" s="5"/>
      <c r="U208" s="5">
        <v>2.0000000000000001E-4</v>
      </c>
      <c r="V208" s="5">
        <v>0.20530000000000001</v>
      </c>
      <c r="W208" s="5"/>
      <c r="X208" s="5"/>
      <c r="Y208" s="5"/>
      <c r="Z208" s="5"/>
      <c r="AA208" s="5"/>
      <c r="AB208" s="5"/>
      <c r="AC208" s="67"/>
      <c r="AD208" s="55"/>
    </row>
    <row r="209" spans="1:30" s="52" customFormat="1">
      <c r="A209" s="97"/>
      <c r="B209" s="12"/>
      <c r="C209" s="236"/>
      <c r="D209" s="6">
        <f t="shared" si="320"/>
        <v>0</v>
      </c>
      <c r="E209" s="6">
        <f t="shared" si="321"/>
        <v>8593.59</v>
      </c>
      <c r="F209" s="6">
        <f t="shared" si="321"/>
        <v>9853.9831999999988</v>
      </c>
      <c r="G209" s="6">
        <f t="shared" si="321"/>
        <v>0</v>
      </c>
      <c r="H209" s="6">
        <f t="shared" si="321"/>
        <v>170382.2444</v>
      </c>
      <c r="I209" s="6">
        <f t="shared" si="321"/>
        <v>1947.8804</v>
      </c>
      <c r="J209" s="6">
        <f t="shared" si="321"/>
        <v>1527.7493333333332</v>
      </c>
      <c r="K209" s="6">
        <f t="shared" si="321"/>
        <v>5308.9289333333327</v>
      </c>
      <c r="L209" s="6">
        <f t="shared" si="321"/>
        <v>534.71226666666666</v>
      </c>
      <c r="M209" s="6">
        <f t="shared" si="321"/>
        <v>0</v>
      </c>
      <c r="N209" s="6">
        <f t="shared" si="321"/>
        <v>103314.04866666667</v>
      </c>
      <c r="O209" s="6">
        <f t="shared" si="321"/>
        <v>1986.0741333333331</v>
      </c>
      <c r="P209" s="6">
        <f t="shared" si="323"/>
        <v>0</v>
      </c>
      <c r="Q209" s="6">
        <f t="shared" si="324"/>
        <v>0</v>
      </c>
      <c r="R209" s="6">
        <f t="shared" si="324"/>
        <v>0</v>
      </c>
      <c r="S209" s="6">
        <f t="shared" si="324"/>
        <v>0</v>
      </c>
      <c r="T209" s="6">
        <f t="shared" si="324"/>
        <v>0</v>
      </c>
      <c r="U209" s="6">
        <f t="shared" si="324"/>
        <v>76.387466666666668</v>
      </c>
      <c r="V209" s="6">
        <f t="shared" si="324"/>
        <v>78411.734533333336</v>
      </c>
      <c r="W209" s="6">
        <f t="shared" si="324"/>
        <v>0</v>
      </c>
      <c r="X209" s="6">
        <f t="shared" si="324"/>
        <v>0</v>
      </c>
      <c r="Y209" s="6">
        <f t="shared" si="324"/>
        <v>0</v>
      </c>
      <c r="Z209" s="6">
        <f t="shared" si="324"/>
        <v>0</v>
      </c>
      <c r="AA209" s="6">
        <f t="shared" si="324"/>
        <v>0</v>
      </c>
      <c r="AB209" s="6">
        <f t="shared" si="324"/>
        <v>0</v>
      </c>
      <c r="AC209" s="67"/>
      <c r="AD209" s="55"/>
    </row>
    <row r="210" spans="1:30" s="52" customFormat="1">
      <c r="A210" s="96" t="s">
        <v>619</v>
      </c>
      <c r="B210" s="18">
        <v>5922163</v>
      </c>
      <c r="C210" s="242">
        <f>B210/12</f>
        <v>493513.58333333331</v>
      </c>
      <c r="D210" s="5"/>
      <c r="E210" s="5">
        <v>2.2499999999999999E-2</v>
      </c>
      <c r="F210" s="5">
        <v>2.58E-2</v>
      </c>
      <c r="G210" s="5"/>
      <c r="H210" s="5">
        <v>0.4461</v>
      </c>
      <c r="I210" s="5">
        <v>5.1000000000000004E-3</v>
      </c>
      <c r="J210" s="5">
        <v>4.0000000000000001E-3</v>
      </c>
      <c r="K210" s="5">
        <v>1.3899999999999999E-2</v>
      </c>
      <c r="L210" s="5">
        <v>1.4E-3</v>
      </c>
      <c r="M210" s="5"/>
      <c r="N210" s="5">
        <v>0.27050000000000002</v>
      </c>
      <c r="O210" s="5">
        <v>5.1999999999999998E-3</v>
      </c>
      <c r="P210" s="5"/>
      <c r="Q210" s="5"/>
      <c r="R210" s="5"/>
      <c r="S210" s="5"/>
      <c r="T210" s="5"/>
      <c r="U210" s="5">
        <v>2.0000000000000001E-4</v>
      </c>
      <c r="V210" s="5">
        <v>0.20530000000000001</v>
      </c>
      <c r="W210" s="5"/>
      <c r="X210" s="5"/>
      <c r="Y210" s="5"/>
      <c r="Z210" s="5"/>
      <c r="AA210" s="5"/>
      <c r="AB210" s="5"/>
      <c r="AC210" s="67"/>
      <c r="AD210" s="55"/>
    </row>
    <row r="211" spans="1:30" s="52" customFormat="1">
      <c r="A211" s="97"/>
      <c r="B211" s="12"/>
      <c r="C211" s="236"/>
      <c r="D211" s="6">
        <f t="shared" si="320"/>
        <v>0</v>
      </c>
      <c r="E211" s="6">
        <f t="shared" si="320"/>
        <v>11104.055624999999</v>
      </c>
      <c r="F211" s="6">
        <f t="shared" si="320"/>
        <v>12732.650449999999</v>
      </c>
      <c r="G211" s="6">
        <f t="shared" si="320"/>
        <v>0</v>
      </c>
      <c r="H211" s="6">
        <f t="shared" si="320"/>
        <v>220156.409525</v>
      </c>
      <c r="I211" s="6">
        <f t="shared" si="320"/>
        <v>2516.9192750000002</v>
      </c>
      <c r="J211" s="6">
        <f t="shared" si="320"/>
        <v>1974.0543333333333</v>
      </c>
      <c r="K211" s="6">
        <f t="shared" si="320"/>
        <v>6859.838808333333</v>
      </c>
      <c r="L211" s="6">
        <f t="shared" si="320"/>
        <v>690.91901666666661</v>
      </c>
      <c r="M211" s="6">
        <f t="shared" si="320"/>
        <v>0</v>
      </c>
      <c r="N211" s="6">
        <f t="shared" si="320"/>
        <v>133495.42429166668</v>
      </c>
      <c r="O211" s="6">
        <f t="shared" si="320"/>
        <v>2566.2706333333331</v>
      </c>
      <c r="P211" s="6">
        <f t="shared" si="323"/>
        <v>0</v>
      </c>
      <c r="Q211" s="6">
        <f t="shared" si="323"/>
        <v>0</v>
      </c>
      <c r="R211" s="6">
        <f t="shared" si="323"/>
        <v>0</v>
      </c>
      <c r="S211" s="6">
        <f t="shared" si="323"/>
        <v>0</v>
      </c>
      <c r="T211" s="6">
        <f t="shared" si="323"/>
        <v>0</v>
      </c>
      <c r="U211" s="6">
        <f t="shared" si="323"/>
        <v>98.702716666666674</v>
      </c>
      <c r="V211" s="6">
        <f t="shared" si="323"/>
        <v>101318.33865833333</v>
      </c>
      <c r="W211" s="6">
        <f t="shared" si="323"/>
        <v>0</v>
      </c>
      <c r="X211" s="6">
        <f t="shared" si="323"/>
        <v>0</v>
      </c>
      <c r="Y211" s="6">
        <f t="shared" si="323"/>
        <v>0</v>
      </c>
      <c r="Z211" s="6">
        <f t="shared" si="323"/>
        <v>0</v>
      </c>
      <c r="AA211" s="6">
        <f t="shared" si="323"/>
        <v>0</v>
      </c>
      <c r="AB211" s="6">
        <f t="shared" si="323"/>
        <v>0</v>
      </c>
      <c r="AC211" s="67"/>
      <c r="AD211" s="55"/>
    </row>
    <row r="212" spans="1:30" s="52" customFormat="1">
      <c r="A212" s="16" t="s">
        <v>50</v>
      </c>
      <c r="B212" s="9">
        <f>SUM(B186:B210)</f>
        <v>46589130</v>
      </c>
      <c r="C212" s="237">
        <f>SUM(C186:C211)</f>
        <v>3882427.5000000009</v>
      </c>
      <c r="D212" s="9">
        <f>D187+D189+D191+D193+D195+D197+D199+D201+D203+D205+D207+D209+D211</f>
        <v>20902.027937499999</v>
      </c>
      <c r="E212" s="9">
        <f t="shared" ref="E212:AB212" si="326">E187+E189+E191+E193+E195+E197+E199+E201+E203+E205+E207+E209+E211</f>
        <v>28948.775775000002</v>
      </c>
      <c r="F212" s="9">
        <f t="shared" si="326"/>
        <v>73570.679341666662</v>
      </c>
      <c r="G212" s="9">
        <f t="shared" si="326"/>
        <v>3724.5639125000002</v>
      </c>
      <c r="H212" s="9">
        <f t="shared" si="326"/>
        <v>2416803.1548458333</v>
      </c>
      <c r="I212" s="9">
        <f t="shared" si="326"/>
        <v>34208.650987499997</v>
      </c>
      <c r="J212" s="9">
        <f t="shared" si="326"/>
        <v>7725.7726083333337</v>
      </c>
      <c r="K212" s="9">
        <f t="shared" si="326"/>
        <v>15483.389695833332</v>
      </c>
      <c r="L212" s="9">
        <f t="shared" si="326"/>
        <v>2202.2362333333335</v>
      </c>
      <c r="M212" s="9">
        <f t="shared" si="326"/>
        <v>38916.705725000007</v>
      </c>
      <c r="N212" s="9">
        <f t="shared" si="326"/>
        <v>601592.24685000011</v>
      </c>
      <c r="O212" s="9">
        <f t="shared" si="326"/>
        <v>6103.4995374999999</v>
      </c>
      <c r="P212" s="9">
        <f t="shared" si="326"/>
        <v>0</v>
      </c>
      <c r="Q212" s="9">
        <f t="shared" si="326"/>
        <v>26608.028362500001</v>
      </c>
      <c r="R212" s="9">
        <f t="shared" si="326"/>
        <v>33839.834425000001</v>
      </c>
      <c r="S212" s="9">
        <f t="shared" si="326"/>
        <v>2693.6261291666669</v>
      </c>
      <c r="T212" s="9">
        <f t="shared" si="326"/>
        <v>73541.401216666665</v>
      </c>
      <c r="U212" s="9">
        <f t="shared" si="326"/>
        <v>1300.6172166666668</v>
      </c>
      <c r="V212" s="9">
        <f t="shared" si="326"/>
        <v>403945.13737916673</v>
      </c>
      <c r="W212" s="9">
        <f t="shared" si="326"/>
        <v>47155.251199999999</v>
      </c>
      <c r="X212" s="9">
        <f t="shared" si="326"/>
        <v>40929.261424999997</v>
      </c>
      <c r="Y212" s="9">
        <f t="shared" si="326"/>
        <v>1546.7449625000002</v>
      </c>
      <c r="Z212" s="9">
        <f t="shared" si="326"/>
        <v>648.97166666666669</v>
      </c>
      <c r="AA212" s="9">
        <f t="shared" si="326"/>
        <v>36.922566666666668</v>
      </c>
      <c r="AB212" s="9">
        <f t="shared" si="326"/>
        <v>0</v>
      </c>
      <c r="AC212" s="67"/>
      <c r="AD212" s="55"/>
    </row>
    <row r="213" spans="1:30" s="52" customFormat="1">
      <c r="A213" s="34"/>
      <c r="B213" s="22"/>
      <c r="C213" s="237"/>
      <c r="D213" s="9"/>
      <c r="E213" s="36"/>
      <c r="F213" s="36"/>
      <c r="G213" s="36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9"/>
      <c r="X213" s="22"/>
      <c r="Y213" s="22"/>
      <c r="Z213" s="22"/>
      <c r="AA213" s="22"/>
      <c r="AB213" s="22"/>
      <c r="AC213" s="67"/>
      <c r="AD213" s="55"/>
    </row>
    <row r="214" spans="1:30" s="52" customFormat="1">
      <c r="A214" s="34"/>
      <c r="B214" s="22"/>
      <c r="C214" s="238"/>
      <c r="D214" s="9"/>
      <c r="E214" s="36"/>
      <c r="F214" s="22"/>
      <c r="G214" s="22"/>
      <c r="H214" s="41"/>
      <c r="I214" s="25"/>
      <c r="J214" s="22"/>
      <c r="K214" s="22"/>
      <c r="L214" s="22"/>
      <c r="M214" s="13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67"/>
      <c r="AD214" s="55"/>
    </row>
    <row r="215" spans="1:30" s="52" customFormat="1" ht="13.8" thickBot="1">
      <c r="A215" s="80" t="s">
        <v>599</v>
      </c>
      <c r="B215" s="81"/>
      <c r="C215" s="234"/>
      <c r="D215" s="81"/>
      <c r="E215" s="81"/>
      <c r="F215" s="8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67"/>
      <c r="AD215" s="55"/>
    </row>
    <row r="216" spans="1:30" s="52" customFormat="1" ht="13.8" thickBot="1">
      <c r="A216" s="113" t="s">
        <v>1</v>
      </c>
      <c r="B216" s="221" t="s">
        <v>2</v>
      </c>
      <c r="C216" s="243" t="s">
        <v>3</v>
      </c>
      <c r="D216" s="263" t="s">
        <v>4</v>
      </c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4"/>
      <c r="Y216" s="264"/>
      <c r="Z216" s="123"/>
      <c r="AA216" s="123"/>
      <c r="AB216" s="123"/>
      <c r="AC216" s="67"/>
      <c r="AD216" s="55"/>
    </row>
    <row r="217" spans="1:30" s="52" customFormat="1">
      <c r="A217" s="115" t="s">
        <v>5</v>
      </c>
      <c r="B217" s="222" t="s">
        <v>6</v>
      </c>
      <c r="C217" s="241" t="s">
        <v>6</v>
      </c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9"/>
      <c r="Z217" s="116" t="s">
        <v>7</v>
      </c>
      <c r="AA217" s="116"/>
      <c r="AB217" s="116"/>
      <c r="AC217" s="67"/>
      <c r="AD217" s="55"/>
    </row>
    <row r="218" spans="1:30" s="52" customFormat="1">
      <c r="A218" s="115" t="s">
        <v>8</v>
      </c>
      <c r="B218" s="222" t="s">
        <v>9</v>
      </c>
      <c r="C218" s="241" t="s">
        <v>9</v>
      </c>
      <c r="D218" s="120" t="s">
        <v>10</v>
      </c>
      <c r="E218" s="116" t="s">
        <v>11</v>
      </c>
      <c r="F218" s="116" t="s">
        <v>12</v>
      </c>
      <c r="G218" s="116" t="s">
        <v>13</v>
      </c>
      <c r="H218" s="116" t="s">
        <v>14</v>
      </c>
      <c r="I218" s="116" t="s">
        <v>15</v>
      </c>
      <c r="J218" s="116" t="s">
        <v>16</v>
      </c>
      <c r="K218" s="116" t="s">
        <v>17</v>
      </c>
      <c r="L218" s="116" t="s">
        <v>18</v>
      </c>
      <c r="M218" s="116" t="s">
        <v>19</v>
      </c>
      <c r="N218" s="116" t="s">
        <v>20</v>
      </c>
      <c r="O218" s="116" t="s">
        <v>175</v>
      </c>
      <c r="P218" s="116" t="s">
        <v>21</v>
      </c>
      <c r="Q218" s="116" t="s">
        <v>22</v>
      </c>
      <c r="R218" s="116" t="s">
        <v>23</v>
      </c>
      <c r="S218" s="116" t="s">
        <v>24</v>
      </c>
      <c r="T218" s="116" t="s">
        <v>25</v>
      </c>
      <c r="U218" s="116" t="s">
        <v>26</v>
      </c>
      <c r="V218" s="116" t="s">
        <v>27</v>
      </c>
      <c r="W218" s="116" t="s">
        <v>28</v>
      </c>
      <c r="X218" s="116" t="s">
        <v>29</v>
      </c>
      <c r="Y218" s="116" t="s">
        <v>30</v>
      </c>
      <c r="Z218" s="116" t="s">
        <v>31</v>
      </c>
      <c r="AA218" s="116" t="s">
        <v>493</v>
      </c>
      <c r="AB218" s="116" t="s">
        <v>476</v>
      </c>
      <c r="AC218" s="67"/>
      <c r="AD218" s="55"/>
    </row>
    <row r="219" spans="1:30" s="52" customFormat="1">
      <c r="A219" s="115"/>
      <c r="B219" s="230"/>
      <c r="C219" s="244" t="s">
        <v>639</v>
      </c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67"/>
      <c r="AD219" s="55"/>
    </row>
    <row r="220" spans="1:30" s="52" customFormat="1">
      <c r="A220" s="96" t="s">
        <v>60</v>
      </c>
      <c r="B220" s="181">
        <f>185569.02/2</f>
        <v>92784.51</v>
      </c>
      <c r="C220" s="211">
        <f>ROUND(B220/12,2)+ROUND(3732.76/2,2)</f>
        <v>9598.42</v>
      </c>
      <c r="D220" s="170">
        <v>1.6500000000000001E-2</v>
      </c>
      <c r="E220" s="170">
        <v>0.1368</v>
      </c>
      <c r="F220" s="170">
        <v>5.7599999999999998E-2</v>
      </c>
      <c r="G220" s="170">
        <v>8.0399999999999999E-2</v>
      </c>
      <c r="H220" s="170">
        <v>4.1099999999999998E-2</v>
      </c>
      <c r="I220" s="170">
        <v>0.13389999999999999</v>
      </c>
      <c r="J220" s="170">
        <v>2.12E-2</v>
      </c>
      <c r="K220" s="170">
        <v>3.2500000000000001E-2</v>
      </c>
      <c r="L220" s="170">
        <v>1.7100000000000001E-2</v>
      </c>
      <c r="M220" s="170">
        <v>2.5999999999999999E-2</v>
      </c>
      <c r="N220" s="170">
        <v>0.13320000000000001</v>
      </c>
      <c r="O220" s="170">
        <v>1.89E-2</v>
      </c>
      <c r="P220" s="170">
        <v>0</v>
      </c>
      <c r="Q220" s="170">
        <v>3.8600000000000002E-2</v>
      </c>
      <c r="R220" s="170">
        <v>1.9E-2</v>
      </c>
      <c r="S220" s="170">
        <v>4.1999999999999997E-3</v>
      </c>
      <c r="T220" s="170">
        <v>5.3999999999999999E-2</v>
      </c>
      <c r="U220" s="170">
        <v>1.78E-2</v>
      </c>
      <c r="V220" s="170">
        <v>3.6700000000000003E-2</v>
      </c>
      <c r="W220" s="170">
        <v>4.7199999999999999E-2</v>
      </c>
      <c r="X220" s="170">
        <v>6.3899999999999998E-2</v>
      </c>
      <c r="Y220" s="170">
        <v>2.5999999999999999E-3</v>
      </c>
      <c r="Z220" s="171">
        <v>0</v>
      </c>
      <c r="AA220" s="171">
        <v>8.0000000000000004E-4</v>
      </c>
      <c r="AB220" s="171">
        <v>0</v>
      </c>
      <c r="AC220" s="67"/>
      <c r="AD220" s="55"/>
    </row>
    <row r="221" spans="1:30" s="52" customFormat="1">
      <c r="A221" s="97"/>
      <c r="B221" s="84"/>
      <c r="C221" s="211"/>
      <c r="D221" s="6">
        <f t="shared" ref="D221" si="327">$C220*D220</f>
        <v>158.37393</v>
      </c>
      <c r="E221" s="6">
        <f t="shared" ref="E221" si="328">$C220*E220</f>
        <v>1313.063856</v>
      </c>
      <c r="F221" s="6">
        <f t="shared" ref="F221:O221" si="329">$C220*F220</f>
        <v>552.86899199999993</v>
      </c>
      <c r="G221" s="6">
        <f t="shared" si="329"/>
        <v>771.71296800000005</v>
      </c>
      <c r="H221" s="6">
        <f t="shared" si="329"/>
        <v>394.49506199999996</v>
      </c>
      <c r="I221" s="6">
        <f t="shared" si="329"/>
        <v>1285.2284379999999</v>
      </c>
      <c r="J221" s="6">
        <f t="shared" si="329"/>
        <v>203.486504</v>
      </c>
      <c r="K221" s="6">
        <f t="shared" si="329"/>
        <v>311.94864999999999</v>
      </c>
      <c r="L221" s="6">
        <f t="shared" si="329"/>
        <v>164.132982</v>
      </c>
      <c r="M221" s="6">
        <f t="shared" si="329"/>
        <v>249.55892</v>
      </c>
      <c r="N221" s="6">
        <f t="shared" si="329"/>
        <v>1278.5095440000002</v>
      </c>
      <c r="O221" s="6">
        <f t="shared" si="329"/>
        <v>181.41013799999999</v>
      </c>
      <c r="P221" s="6">
        <f t="shared" ref="P221" si="330">$C220*P220</f>
        <v>0</v>
      </c>
      <c r="Q221" s="6">
        <f t="shared" ref="Q221" si="331">$C220*Q220</f>
        <v>370.49901200000005</v>
      </c>
      <c r="R221" s="6">
        <f t="shared" ref="R221:AB221" si="332">$C220*R220</f>
        <v>182.36998</v>
      </c>
      <c r="S221" s="6">
        <f t="shared" si="332"/>
        <v>40.313364</v>
      </c>
      <c r="T221" s="6">
        <f t="shared" si="332"/>
        <v>518.31467999999995</v>
      </c>
      <c r="U221" s="6">
        <f t="shared" si="332"/>
        <v>170.851876</v>
      </c>
      <c r="V221" s="6">
        <f t="shared" si="332"/>
        <v>352.26201400000002</v>
      </c>
      <c r="W221" s="6">
        <f t="shared" si="332"/>
        <v>453.04542399999997</v>
      </c>
      <c r="X221" s="6">
        <f t="shared" si="332"/>
        <v>613.33903799999996</v>
      </c>
      <c r="Y221" s="6">
        <f t="shared" si="332"/>
        <v>24.955891999999999</v>
      </c>
      <c r="Z221" s="6">
        <f t="shared" si="332"/>
        <v>0</v>
      </c>
      <c r="AA221" s="6">
        <f t="shared" si="332"/>
        <v>7.6787360000000007</v>
      </c>
      <c r="AB221" s="6">
        <f t="shared" si="332"/>
        <v>0</v>
      </c>
      <c r="AC221" s="67"/>
      <c r="AD221" s="55"/>
    </row>
    <row r="222" spans="1:30" s="52" customFormat="1">
      <c r="A222" s="98" t="s">
        <v>409</v>
      </c>
      <c r="B222" s="181">
        <f>185569.02/2</f>
        <v>92784.51</v>
      </c>
      <c r="C222" s="211">
        <f>ROUND(B222/12,2)+ROUND(3732.76/2,2)</f>
        <v>9598.42</v>
      </c>
      <c r="D222" s="42"/>
      <c r="E222" s="42"/>
      <c r="F222" s="172">
        <v>0.16109999999999999</v>
      </c>
      <c r="G222" s="42"/>
      <c r="H222" s="172">
        <v>0.13320000000000001</v>
      </c>
      <c r="I222" s="42"/>
      <c r="J222" s="42"/>
      <c r="K222" s="42"/>
      <c r="L222" s="42"/>
      <c r="M222" s="42"/>
      <c r="N222" s="172">
        <v>0.55420000000000003</v>
      </c>
      <c r="O222" s="42"/>
      <c r="P222" s="42"/>
      <c r="Q222" s="42"/>
      <c r="R222" s="42"/>
      <c r="S222" s="42"/>
      <c r="T222" s="42"/>
      <c r="U222" s="42"/>
      <c r="V222" s="172">
        <v>0.1515</v>
      </c>
      <c r="W222" s="42"/>
      <c r="X222" s="42"/>
      <c r="Y222" s="42"/>
      <c r="Z222" s="42"/>
      <c r="AA222" s="42"/>
      <c r="AB222" s="42"/>
      <c r="AC222" s="67"/>
      <c r="AD222" s="55"/>
    </row>
    <row r="223" spans="1:30" s="52" customFormat="1">
      <c r="A223" s="98"/>
      <c r="B223" s="74"/>
      <c r="C223" s="211"/>
      <c r="D223" s="6">
        <f t="shared" ref="D223" si="333">$C222*D222</f>
        <v>0</v>
      </c>
      <c r="E223" s="6">
        <f t="shared" ref="E223" si="334">$C222*E222</f>
        <v>0</v>
      </c>
      <c r="F223" s="6">
        <f t="shared" ref="F223:O223" si="335">$C222*F222</f>
        <v>1546.305462</v>
      </c>
      <c r="G223" s="6">
        <f t="shared" si="335"/>
        <v>0</v>
      </c>
      <c r="H223" s="6">
        <f t="shared" si="335"/>
        <v>1278.5095440000002</v>
      </c>
      <c r="I223" s="6">
        <f t="shared" si="335"/>
        <v>0</v>
      </c>
      <c r="J223" s="6">
        <f t="shared" si="335"/>
        <v>0</v>
      </c>
      <c r="K223" s="6">
        <f t="shared" si="335"/>
        <v>0</v>
      </c>
      <c r="L223" s="6">
        <f t="shared" si="335"/>
        <v>0</v>
      </c>
      <c r="M223" s="6">
        <f t="shared" si="335"/>
        <v>0</v>
      </c>
      <c r="N223" s="6">
        <f t="shared" si="335"/>
        <v>5319.444364</v>
      </c>
      <c r="O223" s="6">
        <f t="shared" si="335"/>
        <v>0</v>
      </c>
      <c r="P223" s="6">
        <f t="shared" ref="P223" si="336">$C222*P222</f>
        <v>0</v>
      </c>
      <c r="Q223" s="6">
        <f t="shared" ref="Q223" si="337">$C222*Q222</f>
        <v>0</v>
      </c>
      <c r="R223" s="6">
        <f t="shared" ref="R223:AB223" si="338">$C222*R222</f>
        <v>0</v>
      </c>
      <c r="S223" s="6">
        <f t="shared" si="338"/>
        <v>0</v>
      </c>
      <c r="T223" s="6">
        <f t="shared" si="338"/>
        <v>0</v>
      </c>
      <c r="U223" s="6">
        <f t="shared" si="338"/>
        <v>0</v>
      </c>
      <c r="V223" s="6">
        <f t="shared" si="338"/>
        <v>1454.1606300000001</v>
      </c>
      <c r="W223" s="6">
        <f t="shared" si="338"/>
        <v>0</v>
      </c>
      <c r="X223" s="6">
        <f t="shared" si="338"/>
        <v>0</v>
      </c>
      <c r="Y223" s="6">
        <f t="shared" si="338"/>
        <v>0</v>
      </c>
      <c r="Z223" s="6">
        <f t="shared" si="338"/>
        <v>0</v>
      </c>
      <c r="AA223" s="6">
        <f t="shared" si="338"/>
        <v>0</v>
      </c>
      <c r="AB223" s="6">
        <f t="shared" si="338"/>
        <v>0</v>
      </c>
      <c r="AC223" s="67"/>
      <c r="AD223" s="55"/>
    </row>
    <row r="224" spans="1:30" s="52" customFormat="1">
      <c r="A224" s="96" t="s">
        <v>61</v>
      </c>
      <c r="B224" s="181">
        <f>152868.55/2</f>
        <v>76434.274999999994</v>
      </c>
      <c r="C224" s="211">
        <f>ROUND(B224/12,2)+ROUND(3014.75/2,2)</f>
        <v>7876.9000000000005</v>
      </c>
      <c r="D224" s="170">
        <v>1.6500000000000001E-2</v>
      </c>
      <c r="E224" s="170">
        <v>0.1368</v>
      </c>
      <c r="F224" s="170">
        <v>5.7599999999999998E-2</v>
      </c>
      <c r="G224" s="170">
        <v>8.0399999999999999E-2</v>
      </c>
      <c r="H224" s="170">
        <v>4.1099999999999998E-2</v>
      </c>
      <c r="I224" s="170">
        <v>0.13389999999999999</v>
      </c>
      <c r="J224" s="170">
        <v>2.12E-2</v>
      </c>
      <c r="K224" s="170">
        <v>3.2500000000000001E-2</v>
      </c>
      <c r="L224" s="170">
        <v>1.7100000000000001E-2</v>
      </c>
      <c r="M224" s="170">
        <v>2.5999999999999999E-2</v>
      </c>
      <c r="N224" s="170">
        <v>0.13320000000000001</v>
      </c>
      <c r="O224" s="170">
        <v>1.89E-2</v>
      </c>
      <c r="P224" s="170">
        <v>0</v>
      </c>
      <c r="Q224" s="170">
        <v>3.8600000000000002E-2</v>
      </c>
      <c r="R224" s="170">
        <v>1.9E-2</v>
      </c>
      <c r="S224" s="170">
        <v>4.1999999999999997E-3</v>
      </c>
      <c r="T224" s="170">
        <v>5.3999999999999999E-2</v>
      </c>
      <c r="U224" s="170">
        <v>1.78E-2</v>
      </c>
      <c r="V224" s="170">
        <v>3.6700000000000003E-2</v>
      </c>
      <c r="W224" s="170">
        <v>4.7199999999999999E-2</v>
      </c>
      <c r="X224" s="170">
        <v>6.3899999999999998E-2</v>
      </c>
      <c r="Y224" s="170">
        <v>2.5999999999999999E-3</v>
      </c>
      <c r="Z224" s="171">
        <v>0</v>
      </c>
      <c r="AA224" s="171">
        <v>8.0000000000000004E-4</v>
      </c>
      <c r="AB224" s="171">
        <v>0</v>
      </c>
      <c r="AC224" s="67"/>
      <c r="AD224" s="55"/>
    </row>
    <row r="225" spans="1:30" s="52" customFormat="1">
      <c r="A225" s="97"/>
      <c r="B225" s="84"/>
      <c r="C225" s="211"/>
      <c r="D225" s="6">
        <f t="shared" ref="D225" si="339">$C224*D224</f>
        <v>129.96885</v>
      </c>
      <c r="E225" s="6">
        <f t="shared" ref="E225" si="340">$C224*E224</f>
        <v>1077.5599200000001</v>
      </c>
      <c r="F225" s="6">
        <f t="shared" ref="F225:O225" si="341">$C224*F224</f>
        <v>453.70944000000003</v>
      </c>
      <c r="G225" s="6">
        <f t="shared" si="341"/>
        <v>633.30276000000003</v>
      </c>
      <c r="H225" s="6">
        <f t="shared" si="341"/>
        <v>323.74059</v>
      </c>
      <c r="I225" s="6">
        <f t="shared" si="341"/>
        <v>1054.7169100000001</v>
      </c>
      <c r="J225" s="6">
        <f t="shared" si="341"/>
        <v>166.99028000000001</v>
      </c>
      <c r="K225" s="6">
        <f t="shared" si="341"/>
        <v>255.99925000000002</v>
      </c>
      <c r="L225" s="6">
        <f t="shared" si="341"/>
        <v>134.69499000000002</v>
      </c>
      <c r="M225" s="6">
        <f t="shared" si="341"/>
        <v>204.79939999999999</v>
      </c>
      <c r="N225" s="6">
        <f t="shared" si="341"/>
        <v>1049.2030800000002</v>
      </c>
      <c r="O225" s="6">
        <f t="shared" si="341"/>
        <v>148.87341000000001</v>
      </c>
      <c r="P225" s="6">
        <f t="shared" ref="P225" si="342">$C224*P224</f>
        <v>0</v>
      </c>
      <c r="Q225" s="6">
        <f t="shared" ref="Q225" si="343">$C224*Q224</f>
        <v>304.04834000000005</v>
      </c>
      <c r="R225" s="6">
        <f t="shared" ref="R225:AB225" si="344">$C224*R224</f>
        <v>149.6611</v>
      </c>
      <c r="S225" s="6">
        <f t="shared" si="344"/>
        <v>33.082979999999999</v>
      </c>
      <c r="T225" s="6">
        <f t="shared" si="344"/>
        <v>425.35260000000005</v>
      </c>
      <c r="U225" s="6">
        <f t="shared" si="344"/>
        <v>140.20882</v>
      </c>
      <c r="V225" s="6">
        <f t="shared" si="344"/>
        <v>289.08223000000004</v>
      </c>
      <c r="W225" s="6">
        <f t="shared" si="344"/>
        <v>371.78968000000003</v>
      </c>
      <c r="X225" s="6">
        <f t="shared" si="344"/>
        <v>503.33391</v>
      </c>
      <c r="Y225" s="6">
        <f t="shared" si="344"/>
        <v>20.479939999999999</v>
      </c>
      <c r="Z225" s="6">
        <f t="shared" si="344"/>
        <v>0</v>
      </c>
      <c r="AA225" s="6">
        <f t="shared" si="344"/>
        <v>6.3015200000000009</v>
      </c>
      <c r="AB225" s="6">
        <f t="shared" si="344"/>
        <v>0</v>
      </c>
      <c r="AC225" s="67"/>
      <c r="AD225" s="55"/>
    </row>
    <row r="226" spans="1:30" s="52" customFormat="1">
      <c r="A226" s="98" t="s">
        <v>410</v>
      </c>
      <c r="B226" s="181">
        <f>152868.55/2</f>
        <v>76434.274999999994</v>
      </c>
      <c r="C226" s="211">
        <f>ROUND(B226/12,2)+ROUND(3014.75/2,2)</f>
        <v>7876.9000000000005</v>
      </c>
      <c r="D226" s="42"/>
      <c r="E226" s="42"/>
      <c r="F226" s="42"/>
      <c r="G226" s="42"/>
      <c r="H226" s="172">
        <v>7.6100000000000001E-2</v>
      </c>
      <c r="I226" s="42"/>
      <c r="J226" s="42"/>
      <c r="K226" s="42"/>
      <c r="L226" s="42"/>
      <c r="M226" s="42"/>
      <c r="N226" s="172">
        <v>0.80369999999999997</v>
      </c>
      <c r="O226" s="42"/>
      <c r="P226" s="42"/>
      <c r="Q226" s="42"/>
      <c r="R226" s="42"/>
      <c r="S226" s="42"/>
      <c r="T226" s="42"/>
      <c r="U226" s="42"/>
      <c r="V226" s="172">
        <v>0.1202</v>
      </c>
      <c r="W226" s="42"/>
      <c r="X226" s="42"/>
      <c r="Y226" s="42"/>
      <c r="Z226" s="42"/>
      <c r="AA226" s="42"/>
      <c r="AB226" s="42"/>
      <c r="AC226" s="67"/>
      <c r="AD226" s="55"/>
    </row>
    <row r="227" spans="1:30" s="52" customFormat="1">
      <c r="A227" s="98"/>
      <c r="B227" s="74"/>
      <c r="C227" s="211"/>
      <c r="D227" s="6">
        <f t="shared" ref="D227" si="345">$C226*D226</f>
        <v>0</v>
      </c>
      <c r="E227" s="6">
        <f t="shared" ref="E227" si="346">$C226*E226</f>
        <v>0</v>
      </c>
      <c r="F227" s="6">
        <f t="shared" ref="F227:O227" si="347">$C226*F226</f>
        <v>0</v>
      </c>
      <c r="G227" s="6">
        <f t="shared" si="347"/>
        <v>0</v>
      </c>
      <c r="H227" s="6">
        <f t="shared" si="347"/>
        <v>599.43209000000002</v>
      </c>
      <c r="I227" s="6">
        <f t="shared" si="347"/>
        <v>0</v>
      </c>
      <c r="J227" s="6">
        <f t="shared" si="347"/>
        <v>0</v>
      </c>
      <c r="K227" s="6">
        <f t="shared" si="347"/>
        <v>0</v>
      </c>
      <c r="L227" s="6">
        <f t="shared" si="347"/>
        <v>0</v>
      </c>
      <c r="M227" s="6">
        <f t="shared" si="347"/>
        <v>0</v>
      </c>
      <c r="N227" s="6">
        <f t="shared" si="347"/>
        <v>6330.66453</v>
      </c>
      <c r="O227" s="6">
        <f t="shared" si="347"/>
        <v>0</v>
      </c>
      <c r="P227" s="6">
        <f t="shared" ref="P227" si="348">$C226*P226</f>
        <v>0</v>
      </c>
      <c r="Q227" s="6">
        <f t="shared" ref="Q227" si="349">$C226*Q226</f>
        <v>0</v>
      </c>
      <c r="R227" s="6">
        <f t="shared" ref="R227:AB227" si="350">$C226*R226</f>
        <v>0</v>
      </c>
      <c r="S227" s="6">
        <f t="shared" si="350"/>
        <v>0</v>
      </c>
      <c r="T227" s="6">
        <f t="shared" si="350"/>
        <v>0</v>
      </c>
      <c r="U227" s="6">
        <f t="shared" si="350"/>
        <v>0</v>
      </c>
      <c r="V227" s="6">
        <f t="shared" si="350"/>
        <v>946.80338000000006</v>
      </c>
      <c r="W227" s="6">
        <f t="shared" si="350"/>
        <v>0</v>
      </c>
      <c r="X227" s="6">
        <f t="shared" si="350"/>
        <v>0</v>
      </c>
      <c r="Y227" s="6">
        <f t="shared" si="350"/>
        <v>0</v>
      </c>
      <c r="Z227" s="6">
        <f t="shared" si="350"/>
        <v>0</v>
      </c>
      <c r="AA227" s="6">
        <f t="shared" si="350"/>
        <v>0</v>
      </c>
      <c r="AB227" s="6">
        <f t="shared" si="350"/>
        <v>0</v>
      </c>
      <c r="AC227" s="67"/>
      <c r="AD227" s="55"/>
    </row>
    <row r="228" spans="1:30" s="52" customFormat="1">
      <c r="A228" s="96" t="s">
        <v>62</v>
      </c>
      <c r="B228" s="181">
        <v>763610.13</v>
      </c>
      <c r="C228" s="211">
        <f>ROUND(B228/12,2)+15208.42</f>
        <v>78842.600000000006</v>
      </c>
      <c r="D228" s="5"/>
      <c r="E228" s="5"/>
      <c r="F228" s="5">
        <v>3.6900000000000002E-2</v>
      </c>
      <c r="G228" s="5"/>
      <c r="H228" s="5">
        <v>3.5400000000000001E-2</v>
      </c>
      <c r="I228" s="5"/>
      <c r="J228" s="5"/>
      <c r="K228" s="5"/>
      <c r="L228" s="5"/>
      <c r="M228" s="5"/>
      <c r="N228" s="5">
        <v>0.85729999999999995</v>
      </c>
      <c r="O228" s="5"/>
      <c r="P228" s="5"/>
      <c r="Q228" s="5"/>
      <c r="R228" s="5"/>
      <c r="S228" s="5"/>
      <c r="T228" s="5"/>
      <c r="U228" s="5"/>
      <c r="V228" s="5">
        <v>7.0400000000000004E-2</v>
      </c>
      <c r="W228" s="5"/>
      <c r="X228" s="5"/>
      <c r="Y228" s="5"/>
      <c r="Z228" s="5"/>
      <c r="AA228" s="5"/>
      <c r="AB228" s="5"/>
      <c r="AC228" s="67"/>
      <c r="AD228" s="55"/>
    </row>
    <row r="229" spans="1:30" s="52" customFormat="1">
      <c r="A229" s="97"/>
      <c r="B229" s="84"/>
      <c r="C229" s="211"/>
      <c r="D229" s="6">
        <f t="shared" ref="D229" si="351">$C228*D228</f>
        <v>0</v>
      </c>
      <c r="E229" s="6">
        <f t="shared" ref="E229" si="352">$C228*E228</f>
        <v>0</v>
      </c>
      <c r="F229" s="6">
        <f t="shared" ref="F229:AB229" si="353">$C228*F228</f>
        <v>2909.2919400000005</v>
      </c>
      <c r="G229" s="6">
        <f t="shared" si="353"/>
        <v>0</v>
      </c>
      <c r="H229" s="6">
        <f t="shared" si="353"/>
        <v>2791.0280400000001</v>
      </c>
      <c r="I229" s="6">
        <f t="shared" si="353"/>
        <v>0</v>
      </c>
      <c r="J229" s="6">
        <f t="shared" si="353"/>
        <v>0</v>
      </c>
      <c r="K229" s="6">
        <f t="shared" si="353"/>
        <v>0</v>
      </c>
      <c r="L229" s="6">
        <f t="shared" si="353"/>
        <v>0</v>
      </c>
      <c r="M229" s="6">
        <f t="shared" si="353"/>
        <v>0</v>
      </c>
      <c r="N229" s="6">
        <f t="shared" si="353"/>
        <v>67591.760980000006</v>
      </c>
      <c r="O229" s="6">
        <f t="shared" si="353"/>
        <v>0</v>
      </c>
      <c r="P229" s="6">
        <f t="shared" si="353"/>
        <v>0</v>
      </c>
      <c r="Q229" s="6">
        <f t="shared" si="353"/>
        <v>0</v>
      </c>
      <c r="R229" s="6">
        <f t="shared" si="353"/>
        <v>0</v>
      </c>
      <c r="S229" s="6">
        <f t="shared" si="353"/>
        <v>0</v>
      </c>
      <c r="T229" s="6">
        <f t="shared" si="353"/>
        <v>0</v>
      </c>
      <c r="U229" s="6">
        <f t="shared" si="353"/>
        <v>0</v>
      </c>
      <c r="V229" s="6">
        <f t="shared" si="353"/>
        <v>5550.519040000001</v>
      </c>
      <c r="W229" s="6">
        <f t="shared" si="353"/>
        <v>0</v>
      </c>
      <c r="X229" s="6">
        <f t="shared" si="353"/>
        <v>0</v>
      </c>
      <c r="Y229" s="6">
        <f t="shared" si="353"/>
        <v>0</v>
      </c>
      <c r="Z229" s="6">
        <f t="shared" si="353"/>
        <v>0</v>
      </c>
      <c r="AA229" s="6">
        <f t="shared" si="353"/>
        <v>0</v>
      </c>
      <c r="AB229" s="6">
        <f t="shared" si="353"/>
        <v>0</v>
      </c>
      <c r="AC229" s="67"/>
      <c r="AD229" s="55"/>
    </row>
    <row r="230" spans="1:30" s="52" customFormat="1">
      <c r="A230" s="96" t="s">
        <v>63</v>
      </c>
      <c r="B230" s="181">
        <v>770599.99</v>
      </c>
      <c r="C230" s="211">
        <f>ROUND(B230/12,2)+16666.54</f>
        <v>80883.209999999992</v>
      </c>
      <c r="D230" s="5"/>
      <c r="E230" s="5"/>
      <c r="F230" s="5">
        <v>3.3500000000000002E-2</v>
      </c>
      <c r="G230" s="5"/>
      <c r="H230" s="5">
        <v>4.2200000000000001E-2</v>
      </c>
      <c r="I230" s="5"/>
      <c r="J230" s="5"/>
      <c r="K230" s="5"/>
      <c r="L230" s="5"/>
      <c r="M230" s="5">
        <v>1.0999999999999999E-2</v>
      </c>
      <c r="N230" s="5">
        <v>0.83940000000000003</v>
      </c>
      <c r="O230" s="5"/>
      <c r="P230" s="5"/>
      <c r="Q230" s="5"/>
      <c r="R230" s="5"/>
      <c r="S230" s="5"/>
      <c r="T230" s="5"/>
      <c r="U230" s="5"/>
      <c r="V230" s="5">
        <v>7.3899999999999993E-2</v>
      </c>
      <c r="W230" s="5"/>
      <c r="X230" s="5"/>
      <c r="Y230" s="5"/>
      <c r="Z230" s="5"/>
      <c r="AA230" s="5"/>
      <c r="AB230" s="5"/>
      <c r="AC230" s="67"/>
      <c r="AD230" s="55"/>
    </row>
    <row r="231" spans="1:30" s="52" customFormat="1">
      <c r="A231" s="97"/>
      <c r="B231" s="84"/>
      <c r="C231" s="211"/>
      <c r="D231" s="6">
        <f t="shared" ref="D231" si="354">$C230*D230</f>
        <v>0</v>
      </c>
      <c r="E231" s="6">
        <f t="shared" ref="E231" si="355">$C230*E230</f>
        <v>0</v>
      </c>
      <c r="F231" s="6">
        <f t="shared" ref="F231:AB231" si="356">$C230*F230</f>
        <v>2709.5875349999997</v>
      </c>
      <c r="G231" s="6">
        <f t="shared" si="356"/>
        <v>0</v>
      </c>
      <c r="H231" s="6">
        <f t="shared" si="356"/>
        <v>3413.2714619999997</v>
      </c>
      <c r="I231" s="6">
        <f t="shared" si="356"/>
        <v>0</v>
      </c>
      <c r="J231" s="6">
        <f t="shared" si="356"/>
        <v>0</v>
      </c>
      <c r="K231" s="6">
        <f t="shared" si="356"/>
        <v>0</v>
      </c>
      <c r="L231" s="6">
        <f t="shared" si="356"/>
        <v>0</v>
      </c>
      <c r="M231" s="6">
        <f t="shared" si="356"/>
        <v>889.71530999999982</v>
      </c>
      <c r="N231" s="6">
        <f t="shared" si="356"/>
        <v>67893.366473999995</v>
      </c>
      <c r="O231" s="6">
        <f t="shared" si="356"/>
        <v>0</v>
      </c>
      <c r="P231" s="6">
        <f t="shared" si="356"/>
        <v>0</v>
      </c>
      <c r="Q231" s="6">
        <f t="shared" si="356"/>
        <v>0</v>
      </c>
      <c r="R231" s="6">
        <f t="shared" si="356"/>
        <v>0</v>
      </c>
      <c r="S231" s="6">
        <f t="shared" si="356"/>
        <v>0</v>
      </c>
      <c r="T231" s="6">
        <f t="shared" si="356"/>
        <v>0</v>
      </c>
      <c r="U231" s="6">
        <f t="shared" si="356"/>
        <v>0</v>
      </c>
      <c r="V231" s="6">
        <f t="shared" si="356"/>
        <v>5977.2692189999989</v>
      </c>
      <c r="W231" s="6">
        <f t="shared" si="356"/>
        <v>0</v>
      </c>
      <c r="X231" s="6">
        <f t="shared" si="356"/>
        <v>0</v>
      </c>
      <c r="Y231" s="6">
        <f t="shared" si="356"/>
        <v>0</v>
      </c>
      <c r="Z231" s="6">
        <f t="shared" si="356"/>
        <v>0</v>
      </c>
      <c r="AA231" s="6">
        <f t="shared" si="356"/>
        <v>0</v>
      </c>
      <c r="AB231" s="6">
        <f t="shared" si="356"/>
        <v>0</v>
      </c>
      <c r="AC231" s="67"/>
      <c r="AD231" s="55"/>
    </row>
    <row r="232" spans="1:30" s="52" customFormat="1">
      <c r="A232" s="96" t="s">
        <v>34</v>
      </c>
      <c r="B232" s="181">
        <f>23038955.1/2</f>
        <v>11519477.550000001</v>
      </c>
      <c r="C232" s="211">
        <f>ROUND(B232/12,2)+ROUND(460612.91/2,2)</f>
        <v>1190262.92</v>
      </c>
      <c r="D232" s="170">
        <v>1.6500000000000001E-2</v>
      </c>
      <c r="E232" s="170">
        <v>0.1368</v>
      </c>
      <c r="F232" s="170">
        <v>5.7599999999999998E-2</v>
      </c>
      <c r="G232" s="170">
        <v>8.0399999999999999E-2</v>
      </c>
      <c r="H232" s="170">
        <v>4.1099999999999998E-2</v>
      </c>
      <c r="I232" s="170">
        <v>0.13389999999999999</v>
      </c>
      <c r="J232" s="170">
        <v>2.12E-2</v>
      </c>
      <c r="K232" s="170">
        <v>3.2500000000000001E-2</v>
      </c>
      <c r="L232" s="170">
        <v>1.7100000000000001E-2</v>
      </c>
      <c r="M232" s="170">
        <v>2.5999999999999999E-2</v>
      </c>
      <c r="N232" s="170">
        <v>0.13320000000000001</v>
      </c>
      <c r="O232" s="170">
        <v>1.89E-2</v>
      </c>
      <c r="P232" s="170">
        <v>0</v>
      </c>
      <c r="Q232" s="170">
        <v>3.8600000000000002E-2</v>
      </c>
      <c r="R232" s="170">
        <v>1.9E-2</v>
      </c>
      <c r="S232" s="170">
        <v>4.1999999999999997E-3</v>
      </c>
      <c r="T232" s="170">
        <v>5.3999999999999999E-2</v>
      </c>
      <c r="U232" s="170">
        <v>1.78E-2</v>
      </c>
      <c r="V232" s="170">
        <v>3.6700000000000003E-2</v>
      </c>
      <c r="W232" s="170">
        <v>4.7199999999999999E-2</v>
      </c>
      <c r="X232" s="170">
        <v>6.3899999999999998E-2</v>
      </c>
      <c r="Y232" s="170">
        <v>2.5999999999999999E-3</v>
      </c>
      <c r="Z232" s="171">
        <v>0</v>
      </c>
      <c r="AA232" s="171">
        <v>8.0000000000000004E-4</v>
      </c>
      <c r="AB232" s="171">
        <v>0</v>
      </c>
      <c r="AC232" s="67"/>
      <c r="AD232" s="55"/>
    </row>
    <row r="233" spans="1:30" s="52" customFormat="1">
      <c r="A233" s="97"/>
      <c r="B233" s="84"/>
      <c r="C233" s="211"/>
      <c r="D233" s="6">
        <f t="shared" ref="D233" si="357">$C232*D232</f>
        <v>19639.338179999999</v>
      </c>
      <c r="E233" s="6">
        <f t="shared" ref="E233" si="358">$C232*E232</f>
        <v>162827.96745599998</v>
      </c>
      <c r="F233" s="6">
        <f t="shared" ref="F233:O233" si="359">$C232*F232</f>
        <v>68559.144191999992</v>
      </c>
      <c r="G233" s="6">
        <f t="shared" si="359"/>
        <v>95697.13876799999</v>
      </c>
      <c r="H233" s="6">
        <f t="shared" si="359"/>
        <v>48919.806011999994</v>
      </c>
      <c r="I233" s="6">
        <f t="shared" si="359"/>
        <v>159376.20498799998</v>
      </c>
      <c r="J233" s="6">
        <f t="shared" si="359"/>
        <v>25233.573903999997</v>
      </c>
      <c r="K233" s="6">
        <f t="shared" si="359"/>
        <v>38683.544900000001</v>
      </c>
      <c r="L233" s="6">
        <f t="shared" si="359"/>
        <v>20353.495931999998</v>
      </c>
      <c r="M233" s="6">
        <f t="shared" si="359"/>
        <v>30946.835919999998</v>
      </c>
      <c r="N233" s="6">
        <f t="shared" si="359"/>
        <v>158543.02094400002</v>
      </c>
      <c r="O233" s="6">
        <f t="shared" si="359"/>
        <v>22495.969187999999</v>
      </c>
      <c r="P233" s="6">
        <f t="shared" ref="P233" si="360">$C232*P232</f>
        <v>0</v>
      </c>
      <c r="Q233" s="6">
        <f t="shared" ref="Q233" si="361">$C232*Q232</f>
        <v>45944.148712000002</v>
      </c>
      <c r="R233" s="6">
        <f t="shared" ref="R233:AB233" si="362">$C232*R232</f>
        <v>22614.995479999998</v>
      </c>
      <c r="S233" s="6">
        <f t="shared" si="362"/>
        <v>4999.1042639999996</v>
      </c>
      <c r="T233" s="6">
        <f t="shared" si="362"/>
        <v>64274.197679999997</v>
      </c>
      <c r="U233" s="6">
        <f t="shared" si="362"/>
        <v>21186.679975999999</v>
      </c>
      <c r="V233" s="6">
        <f t="shared" si="362"/>
        <v>43682.649164000002</v>
      </c>
      <c r="W233" s="6">
        <f t="shared" si="362"/>
        <v>56180.409823999995</v>
      </c>
      <c r="X233" s="6">
        <f t="shared" si="362"/>
        <v>76057.800587999998</v>
      </c>
      <c r="Y233" s="6">
        <f t="shared" si="362"/>
        <v>3094.6835919999999</v>
      </c>
      <c r="Z233" s="6">
        <f t="shared" si="362"/>
        <v>0</v>
      </c>
      <c r="AA233" s="6">
        <f t="shared" si="362"/>
        <v>952.21033599999998</v>
      </c>
      <c r="AB233" s="6">
        <f t="shared" si="362"/>
        <v>0</v>
      </c>
      <c r="AC233" s="67"/>
      <c r="AD233" s="55"/>
    </row>
    <row r="234" spans="1:30" s="52" customFormat="1">
      <c r="A234" s="98" t="s">
        <v>398</v>
      </c>
      <c r="B234" s="181">
        <f>23038955.1/2</f>
        <v>11519477.550000001</v>
      </c>
      <c r="C234" s="211">
        <f>ROUND(B234/12,2)+ROUND(460612.91/2,2)</f>
        <v>1190262.92</v>
      </c>
      <c r="D234" s="42"/>
      <c r="E234" s="42"/>
      <c r="F234" s="42"/>
      <c r="G234" s="42"/>
      <c r="H234" s="172">
        <v>7.6100000000000001E-2</v>
      </c>
      <c r="I234" s="42"/>
      <c r="J234" s="42"/>
      <c r="K234" s="42"/>
      <c r="L234" s="42"/>
      <c r="M234" s="42"/>
      <c r="N234" s="172">
        <v>0.80369999999999997</v>
      </c>
      <c r="O234" s="42"/>
      <c r="P234" s="42"/>
      <c r="Q234" s="42"/>
      <c r="R234" s="42"/>
      <c r="S234" s="42"/>
      <c r="T234" s="42"/>
      <c r="U234" s="42"/>
      <c r="V234" s="172">
        <v>0.1202</v>
      </c>
      <c r="W234" s="42"/>
      <c r="X234" s="42"/>
      <c r="Y234" s="42"/>
      <c r="Z234" s="42"/>
      <c r="AA234" s="42"/>
      <c r="AB234" s="42"/>
      <c r="AC234" s="67"/>
      <c r="AD234" s="55"/>
    </row>
    <row r="235" spans="1:30" s="52" customFormat="1">
      <c r="A235" s="98"/>
      <c r="B235" s="74"/>
      <c r="C235" s="211"/>
      <c r="D235" s="6">
        <f t="shared" ref="D235" si="363">$C234*D234</f>
        <v>0</v>
      </c>
      <c r="E235" s="6">
        <f t="shared" ref="E235" si="364">$C234*E234</f>
        <v>0</v>
      </c>
      <c r="F235" s="6">
        <f t="shared" ref="F235:O235" si="365">$C234*F234</f>
        <v>0</v>
      </c>
      <c r="G235" s="6">
        <f t="shared" si="365"/>
        <v>0</v>
      </c>
      <c r="H235" s="6">
        <f t="shared" si="365"/>
        <v>90579.008212000001</v>
      </c>
      <c r="I235" s="6">
        <f t="shared" si="365"/>
        <v>0</v>
      </c>
      <c r="J235" s="6">
        <f t="shared" si="365"/>
        <v>0</v>
      </c>
      <c r="K235" s="6">
        <f t="shared" si="365"/>
        <v>0</v>
      </c>
      <c r="L235" s="6">
        <f t="shared" si="365"/>
        <v>0</v>
      </c>
      <c r="M235" s="6">
        <f t="shared" si="365"/>
        <v>0</v>
      </c>
      <c r="N235" s="6">
        <f t="shared" si="365"/>
        <v>956614.30880399991</v>
      </c>
      <c r="O235" s="6">
        <f t="shared" si="365"/>
        <v>0</v>
      </c>
      <c r="P235" s="6">
        <f t="shared" ref="P235" si="366">$C234*P234</f>
        <v>0</v>
      </c>
      <c r="Q235" s="6">
        <f t="shared" ref="Q235" si="367">$C234*Q234</f>
        <v>0</v>
      </c>
      <c r="R235" s="6">
        <f t="shared" ref="R235:AB235" si="368">$C234*R234</f>
        <v>0</v>
      </c>
      <c r="S235" s="6">
        <f t="shared" si="368"/>
        <v>0</v>
      </c>
      <c r="T235" s="6">
        <f t="shared" si="368"/>
        <v>0</v>
      </c>
      <c r="U235" s="6">
        <f t="shared" si="368"/>
        <v>0</v>
      </c>
      <c r="V235" s="6">
        <f t="shared" si="368"/>
        <v>143069.602984</v>
      </c>
      <c r="W235" s="6">
        <f t="shared" si="368"/>
        <v>0</v>
      </c>
      <c r="X235" s="6">
        <f t="shared" si="368"/>
        <v>0</v>
      </c>
      <c r="Y235" s="6">
        <f t="shared" si="368"/>
        <v>0</v>
      </c>
      <c r="Z235" s="6">
        <f t="shared" si="368"/>
        <v>0</v>
      </c>
      <c r="AA235" s="6">
        <f t="shared" si="368"/>
        <v>0</v>
      </c>
      <c r="AB235" s="6">
        <f t="shared" si="368"/>
        <v>0</v>
      </c>
      <c r="AC235" s="67"/>
      <c r="AD235" s="55"/>
    </row>
    <row r="236" spans="1:30" s="52" customFormat="1">
      <c r="A236" s="96" t="s">
        <v>64</v>
      </c>
      <c r="B236" s="181">
        <f>1410339.3/2</f>
        <v>705169.65</v>
      </c>
      <c r="C236" s="211">
        <f>ROUND(B236/12,2)+ROUND(28280.69/2,2)</f>
        <v>72904.490000000005</v>
      </c>
      <c r="D236" s="170">
        <v>1.6500000000000001E-2</v>
      </c>
      <c r="E236" s="170">
        <v>0.1368</v>
      </c>
      <c r="F236" s="170">
        <v>5.7599999999999998E-2</v>
      </c>
      <c r="G236" s="170">
        <v>8.0399999999999999E-2</v>
      </c>
      <c r="H236" s="170">
        <v>4.1099999999999998E-2</v>
      </c>
      <c r="I236" s="170">
        <v>0.13389999999999999</v>
      </c>
      <c r="J236" s="170">
        <v>2.12E-2</v>
      </c>
      <c r="K236" s="170">
        <v>3.2500000000000001E-2</v>
      </c>
      <c r="L236" s="170">
        <v>1.7100000000000001E-2</v>
      </c>
      <c r="M236" s="170">
        <v>2.5999999999999999E-2</v>
      </c>
      <c r="N236" s="170">
        <v>0.13320000000000001</v>
      </c>
      <c r="O236" s="170">
        <v>1.89E-2</v>
      </c>
      <c r="P236" s="170">
        <v>0</v>
      </c>
      <c r="Q236" s="170">
        <v>3.8600000000000002E-2</v>
      </c>
      <c r="R236" s="170">
        <v>1.9E-2</v>
      </c>
      <c r="S236" s="170">
        <v>4.1999999999999997E-3</v>
      </c>
      <c r="T236" s="170">
        <v>5.3999999999999999E-2</v>
      </c>
      <c r="U236" s="170">
        <v>1.78E-2</v>
      </c>
      <c r="V236" s="170">
        <v>3.6700000000000003E-2</v>
      </c>
      <c r="W236" s="170">
        <v>4.7199999999999999E-2</v>
      </c>
      <c r="X236" s="170">
        <v>6.3899999999999998E-2</v>
      </c>
      <c r="Y236" s="170">
        <v>2.5999999999999999E-3</v>
      </c>
      <c r="Z236" s="171">
        <v>0</v>
      </c>
      <c r="AA236" s="171">
        <v>8.0000000000000004E-4</v>
      </c>
      <c r="AB236" s="171">
        <v>0</v>
      </c>
      <c r="AC236" s="67"/>
      <c r="AD236" s="55"/>
    </row>
    <row r="237" spans="1:30" s="52" customFormat="1">
      <c r="A237" s="97"/>
      <c r="B237" s="84"/>
      <c r="C237" s="211"/>
      <c r="D237" s="6">
        <f t="shared" ref="D237" si="369">$C236*D236</f>
        <v>1202.9240850000001</v>
      </c>
      <c r="E237" s="6">
        <f t="shared" ref="E237" si="370">$C236*E236</f>
        <v>9973.3342320000011</v>
      </c>
      <c r="F237" s="6">
        <f t="shared" ref="F237:O237" si="371">$C236*F236</f>
        <v>4199.298624</v>
      </c>
      <c r="G237" s="6">
        <f t="shared" si="371"/>
        <v>5861.5209960000002</v>
      </c>
      <c r="H237" s="6">
        <f t="shared" si="371"/>
        <v>2996.3745389999999</v>
      </c>
      <c r="I237" s="6">
        <f t="shared" si="371"/>
        <v>9761.9112110000005</v>
      </c>
      <c r="J237" s="6">
        <f t="shared" si="371"/>
        <v>1545.575188</v>
      </c>
      <c r="K237" s="6">
        <f t="shared" si="371"/>
        <v>2369.3959250000003</v>
      </c>
      <c r="L237" s="6">
        <f t="shared" si="371"/>
        <v>1246.6667790000001</v>
      </c>
      <c r="M237" s="6">
        <f t="shared" si="371"/>
        <v>1895.51674</v>
      </c>
      <c r="N237" s="6">
        <f t="shared" si="371"/>
        <v>9710.8780680000018</v>
      </c>
      <c r="O237" s="6">
        <f t="shared" si="371"/>
        <v>1377.8948610000002</v>
      </c>
      <c r="P237" s="6">
        <f t="shared" ref="P237" si="372">$C236*P236</f>
        <v>0</v>
      </c>
      <c r="Q237" s="6">
        <f t="shared" ref="Q237" si="373">$C236*Q236</f>
        <v>2814.1133140000002</v>
      </c>
      <c r="R237" s="6">
        <f t="shared" ref="R237:AB237" si="374">$C236*R236</f>
        <v>1385.1853100000001</v>
      </c>
      <c r="S237" s="6">
        <f t="shared" si="374"/>
        <v>306.19885800000003</v>
      </c>
      <c r="T237" s="6">
        <f t="shared" si="374"/>
        <v>3936.8424600000003</v>
      </c>
      <c r="U237" s="6">
        <f t="shared" si="374"/>
        <v>1297.699922</v>
      </c>
      <c r="V237" s="6">
        <f t="shared" si="374"/>
        <v>2675.5947830000005</v>
      </c>
      <c r="W237" s="6">
        <f t="shared" si="374"/>
        <v>3441.0919280000003</v>
      </c>
      <c r="X237" s="6">
        <f t="shared" si="374"/>
        <v>4658.5969110000005</v>
      </c>
      <c r="Y237" s="6">
        <f t="shared" si="374"/>
        <v>189.55167399999999</v>
      </c>
      <c r="Z237" s="6">
        <f t="shared" si="374"/>
        <v>0</v>
      </c>
      <c r="AA237" s="6">
        <f t="shared" si="374"/>
        <v>58.323592000000005</v>
      </c>
      <c r="AB237" s="6">
        <f t="shared" si="374"/>
        <v>0</v>
      </c>
      <c r="AC237" s="67"/>
      <c r="AD237" s="55"/>
    </row>
    <row r="238" spans="1:30" s="52" customFormat="1">
      <c r="A238" s="96" t="s">
        <v>411</v>
      </c>
      <c r="B238" s="181">
        <f>1410339.3/2</f>
        <v>705169.65</v>
      </c>
      <c r="C238" s="211">
        <f>ROUND(B238/12,2)+ROUND(28280.69/2,2)</f>
        <v>72904.490000000005</v>
      </c>
      <c r="D238" s="5"/>
      <c r="E238" s="5"/>
      <c r="F238" s="171">
        <v>0.22570000000000001</v>
      </c>
      <c r="G238" s="5"/>
      <c r="H238" s="171">
        <v>7.2700000000000001E-2</v>
      </c>
      <c r="I238" s="5"/>
      <c r="J238" s="5"/>
      <c r="K238" s="5"/>
      <c r="L238" s="5"/>
      <c r="M238" s="5"/>
      <c r="N238" s="171">
        <v>0.56769999999999998</v>
      </c>
      <c r="O238" s="5"/>
      <c r="P238" s="5"/>
      <c r="Q238" s="5"/>
      <c r="R238" s="5"/>
      <c r="S238" s="5"/>
      <c r="T238" s="5"/>
      <c r="U238" s="5"/>
      <c r="V238" s="171">
        <v>0.13389999999999999</v>
      </c>
      <c r="W238" s="5"/>
      <c r="X238" s="5"/>
      <c r="Y238" s="5"/>
      <c r="Z238" s="5"/>
      <c r="AA238" s="5"/>
      <c r="AB238" s="5"/>
      <c r="AC238" s="67"/>
      <c r="AD238" s="55"/>
    </row>
    <row r="239" spans="1:30" s="52" customFormat="1">
      <c r="A239" s="97"/>
      <c r="B239" s="74"/>
      <c r="C239" s="211"/>
      <c r="D239" s="6">
        <f t="shared" ref="D239" si="375">$C238*D238</f>
        <v>0</v>
      </c>
      <c r="E239" s="6">
        <f t="shared" ref="E239" si="376">$C238*E238</f>
        <v>0</v>
      </c>
      <c r="F239" s="6">
        <f t="shared" ref="F239:O239" si="377">$C238*F238</f>
        <v>16454.543393000004</v>
      </c>
      <c r="G239" s="6">
        <f t="shared" si="377"/>
        <v>0</v>
      </c>
      <c r="H239" s="6">
        <f t="shared" si="377"/>
        <v>5300.1564230000004</v>
      </c>
      <c r="I239" s="6">
        <f t="shared" si="377"/>
        <v>0</v>
      </c>
      <c r="J239" s="6">
        <f t="shared" si="377"/>
        <v>0</v>
      </c>
      <c r="K239" s="6">
        <f t="shared" si="377"/>
        <v>0</v>
      </c>
      <c r="L239" s="6">
        <f t="shared" si="377"/>
        <v>0</v>
      </c>
      <c r="M239" s="6">
        <f t="shared" si="377"/>
        <v>0</v>
      </c>
      <c r="N239" s="6">
        <f t="shared" si="377"/>
        <v>41387.878972999999</v>
      </c>
      <c r="O239" s="6">
        <f t="shared" si="377"/>
        <v>0</v>
      </c>
      <c r="P239" s="6">
        <f t="shared" ref="P239" si="378">$C238*P238</f>
        <v>0</v>
      </c>
      <c r="Q239" s="6">
        <f t="shared" ref="Q239" si="379">$C238*Q238</f>
        <v>0</v>
      </c>
      <c r="R239" s="6">
        <f t="shared" ref="R239:AB239" si="380">$C238*R238</f>
        <v>0</v>
      </c>
      <c r="S239" s="6">
        <f t="shared" si="380"/>
        <v>0</v>
      </c>
      <c r="T239" s="6">
        <f t="shared" si="380"/>
        <v>0</v>
      </c>
      <c r="U239" s="6">
        <f t="shared" si="380"/>
        <v>0</v>
      </c>
      <c r="V239" s="6">
        <f t="shared" si="380"/>
        <v>9761.9112110000005</v>
      </c>
      <c r="W239" s="6">
        <f t="shared" si="380"/>
        <v>0</v>
      </c>
      <c r="X239" s="6">
        <f t="shared" si="380"/>
        <v>0</v>
      </c>
      <c r="Y239" s="6">
        <f t="shared" si="380"/>
        <v>0</v>
      </c>
      <c r="Z239" s="6">
        <f t="shared" si="380"/>
        <v>0</v>
      </c>
      <c r="AA239" s="6">
        <f t="shared" si="380"/>
        <v>0</v>
      </c>
      <c r="AB239" s="6">
        <f t="shared" si="380"/>
        <v>0</v>
      </c>
      <c r="AC239" s="67"/>
      <c r="AD239" s="55"/>
    </row>
    <row r="240" spans="1:30" s="52" customFormat="1">
      <c r="A240" s="96" t="s">
        <v>65</v>
      </c>
      <c r="B240" s="181">
        <f>318264.54/2</f>
        <v>159132.26999999999</v>
      </c>
      <c r="C240" s="211">
        <f>ROUND(B240/12,2)+ROUND(6378.82/2,2)</f>
        <v>16450.43</v>
      </c>
      <c r="D240" s="170">
        <v>1.6500000000000001E-2</v>
      </c>
      <c r="E240" s="170">
        <v>0.1368</v>
      </c>
      <c r="F240" s="170">
        <v>5.7599999999999998E-2</v>
      </c>
      <c r="G240" s="170">
        <v>8.0399999999999999E-2</v>
      </c>
      <c r="H240" s="170">
        <v>4.1099999999999998E-2</v>
      </c>
      <c r="I240" s="170">
        <v>0.13389999999999999</v>
      </c>
      <c r="J240" s="170">
        <v>2.12E-2</v>
      </c>
      <c r="K240" s="170">
        <v>3.2500000000000001E-2</v>
      </c>
      <c r="L240" s="170">
        <v>1.7100000000000001E-2</v>
      </c>
      <c r="M240" s="170">
        <v>2.5999999999999999E-2</v>
      </c>
      <c r="N240" s="170">
        <v>0.13320000000000001</v>
      </c>
      <c r="O240" s="170">
        <v>1.89E-2</v>
      </c>
      <c r="P240" s="170">
        <v>0</v>
      </c>
      <c r="Q240" s="170">
        <v>3.8600000000000002E-2</v>
      </c>
      <c r="R240" s="170">
        <v>1.9E-2</v>
      </c>
      <c r="S240" s="170">
        <v>4.1999999999999997E-3</v>
      </c>
      <c r="T240" s="170">
        <v>5.3999999999999999E-2</v>
      </c>
      <c r="U240" s="170">
        <v>1.78E-2</v>
      </c>
      <c r="V240" s="170">
        <v>3.6700000000000003E-2</v>
      </c>
      <c r="W240" s="170">
        <v>4.7199999999999999E-2</v>
      </c>
      <c r="X240" s="170">
        <v>6.3899999999999998E-2</v>
      </c>
      <c r="Y240" s="170">
        <v>2.5999999999999999E-3</v>
      </c>
      <c r="Z240" s="171">
        <v>0</v>
      </c>
      <c r="AA240" s="171">
        <v>8.0000000000000004E-4</v>
      </c>
      <c r="AB240" s="171">
        <v>0</v>
      </c>
      <c r="AC240" s="67"/>
      <c r="AD240" s="55"/>
    </row>
    <row r="241" spans="1:30" s="52" customFormat="1">
      <c r="A241" s="97"/>
      <c r="B241" s="84"/>
      <c r="C241" s="211"/>
      <c r="D241" s="6">
        <f t="shared" ref="D241" si="381">$C240*D240</f>
        <v>271.432095</v>
      </c>
      <c r="E241" s="6">
        <f t="shared" ref="E241" si="382">$C240*E240</f>
        <v>2250.4188240000003</v>
      </c>
      <c r="F241" s="6">
        <f t="shared" ref="F241:O241" si="383">$C240*F240</f>
        <v>947.54476799999998</v>
      </c>
      <c r="G241" s="6">
        <f t="shared" si="383"/>
        <v>1322.614572</v>
      </c>
      <c r="H241" s="6">
        <f t="shared" si="383"/>
        <v>676.11267299999997</v>
      </c>
      <c r="I241" s="6">
        <f t="shared" si="383"/>
        <v>2202.7125769999998</v>
      </c>
      <c r="J241" s="6">
        <f t="shared" si="383"/>
        <v>348.74911600000001</v>
      </c>
      <c r="K241" s="6">
        <f t="shared" si="383"/>
        <v>534.63897500000007</v>
      </c>
      <c r="L241" s="6">
        <f t="shared" si="383"/>
        <v>281.30235300000004</v>
      </c>
      <c r="M241" s="6">
        <f t="shared" si="383"/>
        <v>427.71118000000001</v>
      </c>
      <c r="N241" s="6">
        <f t="shared" si="383"/>
        <v>2191.1972760000003</v>
      </c>
      <c r="O241" s="6">
        <f t="shared" si="383"/>
        <v>310.91312700000003</v>
      </c>
      <c r="P241" s="6">
        <f t="shared" ref="P241" si="384">$C240*P240</f>
        <v>0</v>
      </c>
      <c r="Q241" s="6">
        <f t="shared" ref="Q241" si="385">$C240*Q240</f>
        <v>634.98659800000007</v>
      </c>
      <c r="R241" s="6">
        <f t="shared" ref="R241:AB241" si="386">$C240*R240</f>
        <v>312.55817000000002</v>
      </c>
      <c r="S241" s="6">
        <f t="shared" si="386"/>
        <v>69.091805999999991</v>
      </c>
      <c r="T241" s="6">
        <f t="shared" si="386"/>
        <v>888.32321999999999</v>
      </c>
      <c r="U241" s="6">
        <f t="shared" si="386"/>
        <v>292.817654</v>
      </c>
      <c r="V241" s="6">
        <f t="shared" si="386"/>
        <v>603.73078100000009</v>
      </c>
      <c r="W241" s="6">
        <f t="shared" si="386"/>
        <v>776.46029599999997</v>
      </c>
      <c r="X241" s="6">
        <f t="shared" si="386"/>
        <v>1051.1824770000001</v>
      </c>
      <c r="Y241" s="6">
        <f t="shared" si="386"/>
        <v>42.771118000000001</v>
      </c>
      <c r="Z241" s="6">
        <f t="shared" si="386"/>
        <v>0</v>
      </c>
      <c r="AA241" s="6">
        <f t="shared" si="386"/>
        <v>13.160344</v>
      </c>
      <c r="AB241" s="6">
        <f t="shared" si="386"/>
        <v>0</v>
      </c>
      <c r="AC241" s="67"/>
      <c r="AD241" s="55"/>
    </row>
    <row r="242" spans="1:30" s="52" customFormat="1">
      <c r="A242" s="96" t="s">
        <v>412</v>
      </c>
      <c r="B242" s="181">
        <f>318264.54/2</f>
        <v>159132.26999999999</v>
      </c>
      <c r="C242" s="211">
        <f>ROUND(B242/12,2)+ROUND(6378.82/2,2)</f>
        <v>16450.43</v>
      </c>
      <c r="D242" s="5"/>
      <c r="E242" s="5"/>
      <c r="F242" s="5"/>
      <c r="G242" s="5"/>
      <c r="H242" s="171">
        <v>7.6100000000000001E-2</v>
      </c>
      <c r="I242" s="5"/>
      <c r="J242" s="5"/>
      <c r="K242" s="5"/>
      <c r="L242" s="5"/>
      <c r="M242" s="5"/>
      <c r="N242" s="171">
        <v>0.80369999999999997</v>
      </c>
      <c r="O242" s="5"/>
      <c r="P242" s="5"/>
      <c r="Q242" s="5"/>
      <c r="R242" s="5"/>
      <c r="S242" s="5"/>
      <c r="T242" s="5"/>
      <c r="U242" s="5"/>
      <c r="V242" s="171">
        <v>0.1202</v>
      </c>
      <c r="W242" s="5"/>
      <c r="X242" s="5"/>
      <c r="Y242" s="5"/>
      <c r="Z242" s="5"/>
      <c r="AA242" s="5"/>
      <c r="AB242" s="5"/>
      <c r="AC242" s="67"/>
      <c r="AD242" s="55"/>
    </row>
    <row r="243" spans="1:30" s="52" customFormat="1">
      <c r="A243" s="97"/>
      <c r="B243" s="74"/>
      <c r="C243" s="211"/>
      <c r="D243" s="6">
        <f t="shared" ref="D243" si="387">$C242*D242</f>
        <v>0</v>
      </c>
      <c r="E243" s="6">
        <f t="shared" ref="E243" si="388">$C242*E242</f>
        <v>0</v>
      </c>
      <c r="F243" s="6">
        <f t="shared" ref="F243:O243" si="389">$C242*F242</f>
        <v>0</v>
      </c>
      <c r="G243" s="6">
        <f t="shared" si="389"/>
        <v>0</v>
      </c>
      <c r="H243" s="6">
        <f t="shared" si="389"/>
        <v>1251.8777230000001</v>
      </c>
      <c r="I243" s="6">
        <f t="shared" si="389"/>
        <v>0</v>
      </c>
      <c r="J243" s="6">
        <f t="shared" si="389"/>
        <v>0</v>
      </c>
      <c r="K243" s="6">
        <f t="shared" si="389"/>
        <v>0</v>
      </c>
      <c r="L243" s="6">
        <f t="shared" si="389"/>
        <v>0</v>
      </c>
      <c r="M243" s="6">
        <f t="shared" si="389"/>
        <v>0</v>
      </c>
      <c r="N243" s="6">
        <f t="shared" si="389"/>
        <v>13221.210590999999</v>
      </c>
      <c r="O243" s="6">
        <f t="shared" si="389"/>
        <v>0</v>
      </c>
      <c r="P243" s="6">
        <f t="shared" ref="P243" si="390">$C242*P242</f>
        <v>0</v>
      </c>
      <c r="Q243" s="6">
        <f t="shared" ref="Q243" si="391">$C242*Q242</f>
        <v>0</v>
      </c>
      <c r="R243" s="6">
        <f t="shared" ref="R243:AB243" si="392">$C242*R242</f>
        <v>0</v>
      </c>
      <c r="S243" s="6">
        <f t="shared" si="392"/>
        <v>0</v>
      </c>
      <c r="T243" s="6">
        <f t="shared" si="392"/>
        <v>0</v>
      </c>
      <c r="U243" s="6">
        <f t="shared" si="392"/>
        <v>0</v>
      </c>
      <c r="V243" s="6">
        <f t="shared" si="392"/>
        <v>1977.341686</v>
      </c>
      <c r="W243" s="6">
        <f t="shared" si="392"/>
        <v>0</v>
      </c>
      <c r="X243" s="6">
        <f t="shared" si="392"/>
        <v>0</v>
      </c>
      <c r="Y243" s="6">
        <f t="shared" si="392"/>
        <v>0</v>
      </c>
      <c r="Z243" s="6">
        <f t="shared" si="392"/>
        <v>0</v>
      </c>
      <c r="AA243" s="6">
        <f t="shared" si="392"/>
        <v>0</v>
      </c>
      <c r="AB243" s="6">
        <f t="shared" si="392"/>
        <v>0</v>
      </c>
      <c r="AC243" s="67"/>
      <c r="AD243" s="55"/>
    </row>
    <row r="244" spans="1:30" s="52" customFormat="1">
      <c r="A244" s="96" t="s">
        <v>66</v>
      </c>
      <c r="B244" s="181">
        <v>2392346.1800000002</v>
      </c>
      <c r="C244" s="211">
        <f>ROUND(B244/12,2)+47994.95</f>
        <v>247357.13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>
        <v>1</v>
      </c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7"/>
      <c r="AD244" s="55"/>
    </row>
    <row r="245" spans="1:30" s="52" customFormat="1">
      <c r="A245" s="97"/>
      <c r="B245" s="84"/>
      <c r="C245" s="211"/>
      <c r="D245" s="6">
        <f t="shared" ref="D245" si="393">$C244*D244</f>
        <v>0</v>
      </c>
      <c r="E245" s="6">
        <f t="shared" ref="E245" si="394">$C244*E244</f>
        <v>0</v>
      </c>
      <c r="F245" s="6">
        <f t="shared" ref="F245:AB245" si="395">$C244*F244</f>
        <v>0</v>
      </c>
      <c r="G245" s="6">
        <f t="shared" si="395"/>
        <v>0</v>
      </c>
      <c r="H245" s="6">
        <f t="shared" si="395"/>
        <v>0</v>
      </c>
      <c r="I245" s="6">
        <f t="shared" si="395"/>
        <v>0</v>
      </c>
      <c r="J245" s="6">
        <f t="shared" si="395"/>
        <v>0</v>
      </c>
      <c r="K245" s="6">
        <f t="shared" si="395"/>
        <v>0</v>
      </c>
      <c r="L245" s="6">
        <f t="shared" si="395"/>
        <v>0</v>
      </c>
      <c r="M245" s="6">
        <f t="shared" si="395"/>
        <v>0</v>
      </c>
      <c r="N245" s="6">
        <f t="shared" si="395"/>
        <v>247357.13</v>
      </c>
      <c r="O245" s="6">
        <f t="shared" si="395"/>
        <v>0</v>
      </c>
      <c r="P245" s="6">
        <f t="shared" si="395"/>
        <v>0</v>
      </c>
      <c r="Q245" s="6">
        <f t="shared" si="395"/>
        <v>0</v>
      </c>
      <c r="R245" s="6">
        <f t="shared" si="395"/>
        <v>0</v>
      </c>
      <c r="S245" s="6">
        <f t="shared" si="395"/>
        <v>0</v>
      </c>
      <c r="T245" s="6">
        <f t="shared" si="395"/>
        <v>0</v>
      </c>
      <c r="U245" s="6">
        <f t="shared" si="395"/>
        <v>0</v>
      </c>
      <c r="V245" s="6">
        <f t="shared" si="395"/>
        <v>0</v>
      </c>
      <c r="W245" s="6">
        <f t="shared" si="395"/>
        <v>0</v>
      </c>
      <c r="X245" s="6">
        <f t="shared" si="395"/>
        <v>0</v>
      </c>
      <c r="Y245" s="6">
        <f t="shared" si="395"/>
        <v>0</v>
      </c>
      <c r="Z245" s="6">
        <f t="shared" si="395"/>
        <v>0</v>
      </c>
      <c r="AA245" s="6">
        <f t="shared" si="395"/>
        <v>0</v>
      </c>
      <c r="AB245" s="6">
        <f t="shared" si="395"/>
        <v>0</v>
      </c>
      <c r="AC245" s="67"/>
      <c r="AD245" s="55"/>
    </row>
    <row r="246" spans="1:30" s="52" customFormat="1">
      <c r="A246" s="96" t="s">
        <v>67</v>
      </c>
      <c r="B246" s="181">
        <v>614327.38</v>
      </c>
      <c r="C246" s="211">
        <f>ROUND(B246/12,2)+12225.35</f>
        <v>63419.299999999996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>
        <v>1</v>
      </c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7"/>
      <c r="AD246" s="55"/>
    </row>
    <row r="247" spans="1:30" s="52" customFormat="1">
      <c r="A247" s="97"/>
      <c r="B247" s="84"/>
      <c r="C247" s="211"/>
      <c r="D247" s="6">
        <f t="shared" ref="D247" si="396">$C246*D246</f>
        <v>0</v>
      </c>
      <c r="E247" s="6">
        <f t="shared" ref="E247" si="397">$C246*E246</f>
        <v>0</v>
      </c>
      <c r="F247" s="6">
        <f t="shared" ref="F247:AB247" si="398">$C246*F246</f>
        <v>0</v>
      </c>
      <c r="G247" s="6">
        <f t="shared" si="398"/>
        <v>0</v>
      </c>
      <c r="H247" s="6">
        <f t="shared" si="398"/>
        <v>0</v>
      </c>
      <c r="I247" s="6">
        <f t="shared" si="398"/>
        <v>0</v>
      </c>
      <c r="J247" s="6">
        <f t="shared" si="398"/>
        <v>0</v>
      </c>
      <c r="K247" s="6">
        <f t="shared" si="398"/>
        <v>0</v>
      </c>
      <c r="L247" s="6">
        <f t="shared" si="398"/>
        <v>0</v>
      </c>
      <c r="M247" s="6">
        <f t="shared" si="398"/>
        <v>0</v>
      </c>
      <c r="N247" s="6">
        <f t="shared" si="398"/>
        <v>63419.299999999996</v>
      </c>
      <c r="O247" s="6">
        <f t="shared" si="398"/>
        <v>0</v>
      </c>
      <c r="P247" s="6">
        <f t="shared" si="398"/>
        <v>0</v>
      </c>
      <c r="Q247" s="6">
        <f t="shared" si="398"/>
        <v>0</v>
      </c>
      <c r="R247" s="6">
        <f t="shared" si="398"/>
        <v>0</v>
      </c>
      <c r="S247" s="6">
        <f t="shared" si="398"/>
        <v>0</v>
      </c>
      <c r="T247" s="6">
        <f t="shared" si="398"/>
        <v>0</v>
      </c>
      <c r="U247" s="6">
        <f t="shared" si="398"/>
        <v>0</v>
      </c>
      <c r="V247" s="6">
        <f t="shared" si="398"/>
        <v>0</v>
      </c>
      <c r="W247" s="6">
        <f t="shared" si="398"/>
        <v>0</v>
      </c>
      <c r="X247" s="6">
        <f t="shared" si="398"/>
        <v>0</v>
      </c>
      <c r="Y247" s="6">
        <f t="shared" si="398"/>
        <v>0</v>
      </c>
      <c r="Z247" s="6">
        <f t="shared" si="398"/>
        <v>0</v>
      </c>
      <c r="AA247" s="6">
        <f t="shared" si="398"/>
        <v>0</v>
      </c>
      <c r="AB247" s="6">
        <f t="shared" si="398"/>
        <v>0</v>
      </c>
      <c r="AC247" s="67"/>
      <c r="AD247" s="55"/>
    </row>
    <row r="248" spans="1:30" s="52" customFormat="1">
      <c r="A248" s="96" t="s">
        <v>68</v>
      </c>
      <c r="B248" s="181">
        <v>310218.90999999997</v>
      </c>
      <c r="C248" s="211">
        <f>ROUND(B248/12,2)+6183.17</f>
        <v>32034.75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>
        <v>1</v>
      </c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7"/>
      <c r="AD248" s="55"/>
    </row>
    <row r="249" spans="1:30" s="52" customFormat="1">
      <c r="A249" s="97"/>
      <c r="B249" s="84"/>
      <c r="C249" s="211"/>
      <c r="D249" s="6">
        <f t="shared" ref="D249" si="399">$C248*D248</f>
        <v>0</v>
      </c>
      <c r="E249" s="6">
        <f t="shared" ref="E249" si="400">$C248*E248</f>
        <v>0</v>
      </c>
      <c r="F249" s="6">
        <f t="shared" ref="F249:AB249" si="401">$C248*F248</f>
        <v>0</v>
      </c>
      <c r="G249" s="6">
        <f t="shared" si="401"/>
        <v>0</v>
      </c>
      <c r="H249" s="6">
        <f t="shared" si="401"/>
        <v>0</v>
      </c>
      <c r="I249" s="6">
        <f t="shared" si="401"/>
        <v>0</v>
      </c>
      <c r="J249" s="6">
        <f t="shared" si="401"/>
        <v>0</v>
      </c>
      <c r="K249" s="6">
        <f t="shared" si="401"/>
        <v>0</v>
      </c>
      <c r="L249" s="6">
        <f t="shared" si="401"/>
        <v>0</v>
      </c>
      <c r="M249" s="6">
        <f t="shared" si="401"/>
        <v>0</v>
      </c>
      <c r="N249" s="6">
        <f t="shared" si="401"/>
        <v>32034.75</v>
      </c>
      <c r="O249" s="6">
        <f t="shared" si="401"/>
        <v>0</v>
      </c>
      <c r="P249" s="6">
        <f t="shared" si="401"/>
        <v>0</v>
      </c>
      <c r="Q249" s="6">
        <f t="shared" si="401"/>
        <v>0</v>
      </c>
      <c r="R249" s="6">
        <f t="shared" si="401"/>
        <v>0</v>
      </c>
      <c r="S249" s="6">
        <f t="shared" si="401"/>
        <v>0</v>
      </c>
      <c r="T249" s="6">
        <f t="shared" si="401"/>
        <v>0</v>
      </c>
      <c r="U249" s="6">
        <f t="shared" si="401"/>
        <v>0</v>
      </c>
      <c r="V249" s="6">
        <f t="shared" si="401"/>
        <v>0</v>
      </c>
      <c r="W249" s="6">
        <f t="shared" si="401"/>
        <v>0</v>
      </c>
      <c r="X249" s="6">
        <f t="shared" si="401"/>
        <v>0</v>
      </c>
      <c r="Y249" s="6">
        <f t="shared" si="401"/>
        <v>0</v>
      </c>
      <c r="Z249" s="6">
        <f t="shared" si="401"/>
        <v>0</v>
      </c>
      <c r="AA249" s="6">
        <f t="shared" si="401"/>
        <v>0</v>
      </c>
      <c r="AB249" s="6">
        <f t="shared" si="401"/>
        <v>0</v>
      </c>
      <c r="AC249" s="67"/>
      <c r="AD249" s="55"/>
    </row>
    <row r="250" spans="1:30" s="52" customFormat="1">
      <c r="A250" s="96" t="s">
        <v>69</v>
      </c>
      <c r="B250" s="181">
        <f>2119210.11/2</f>
        <v>1059605.0549999999</v>
      </c>
      <c r="C250" s="211">
        <f>ROUND(B250/12,2)+ROUND(42472.01/2,2)</f>
        <v>109536.43</v>
      </c>
      <c r="D250" s="170">
        <v>1.6500000000000001E-2</v>
      </c>
      <c r="E250" s="170">
        <v>0.1368</v>
      </c>
      <c r="F250" s="170">
        <v>5.7599999999999998E-2</v>
      </c>
      <c r="G250" s="170">
        <v>8.0399999999999999E-2</v>
      </c>
      <c r="H250" s="170">
        <v>4.1099999999999998E-2</v>
      </c>
      <c r="I250" s="170">
        <v>0.13389999999999999</v>
      </c>
      <c r="J250" s="170">
        <v>2.12E-2</v>
      </c>
      <c r="K250" s="170">
        <v>3.2500000000000001E-2</v>
      </c>
      <c r="L250" s="170">
        <v>1.7100000000000001E-2</v>
      </c>
      <c r="M250" s="170">
        <v>2.5999999999999999E-2</v>
      </c>
      <c r="N250" s="170">
        <v>0.13320000000000001</v>
      </c>
      <c r="O250" s="170">
        <v>1.89E-2</v>
      </c>
      <c r="P250" s="170">
        <v>0</v>
      </c>
      <c r="Q250" s="170">
        <v>3.8600000000000002E-2</v>
      </c>
      <c r="R250" s="170">
        <v>1.9E-2</v>
      </c>
      <c r="S250" s="170">
        <v>4.1999999999999997E-3</v>
      </c>
      <c r="T250" s="170">
        <v>5.3999999999999999E-2</v>
      </c>
      <c r="U250" s="170">
        <v>1.78E-2</v>
      </c>
      <c r="V250" s="170">
        <v>3.6700000000000003E-2</v>
      </c>
      <c r="W250" s="170">
        <v>4.7199999999999999E-2</v>
      </c>
      <c r="X250" s="170">
        <v>6.3899999999999998E-2</v>
      </c>
      <c r="Y250" s="170">
        <v>2.5999999999999999E-3</v>
      </c>
      <c r="Z250" s="171">
        <v>0</v>
      </c>
      <c r="AA250" s="171">
        <v>8.0000000000000004E-4</v>
      </c>
      <c r="AB250" s="171">
        <v>0</v>
      </c>
      <c r="AC250" s="67"/>
      <c r="AD250" s="55"/>
    </row>
    <row r="251" spans="1:30" s="52" customFormat="1">
      <c r="A251" s="97"/>
      <c r="B251" s="84"/>
      <c r="C251" s="211"/>
      <c r="D251" s="6">
        <f t="shared" ref="D251" si="402">$C250*D250</f>
        <v>1807.351095</v>
      </c>
      <c r="E251" s="6">
        <f t="shared" ref="E251" si="403">$C250*E250</f>
        <v>14984.583623999999</v>
      </c>
      <c r="F251" s="6">
        <f t="shared" ref="F251:O251" si="404">$C250*F250</f>
        <v>6309.2983679999998</v>
      </c>
      <c r="G251" s="6">
        <f t="shared" si="404"/>
        <v>8806.728971999999</v>
      </c>
      <c r="H251" s="6">
        <f t="shared" si="404"/>
        <v>4501.9472729999998</v>
      </c>
      <c r="I251" s="6">
        <f t="shared" si="404"/>
        <v>14666.927976999998</v>
      </c>
      <c r="J251" s="6">
        <f t="shared" si="404"/>
        <v>2322.1723159999997</v>
      </c>
      <c r="K251" s="6">
        <f t="shared" si="404"/>
        <v>3559.9339749999999</v>
      </c>
      <c r="L251" s="6">
        <f t="shared" si="404"/>
        <v>1873.0729529999999</v>
      </c>
      <c r="M251" s="6">
        <f t="shared" si="404"/>
        <v>2847.9471799999997</v>
      </c>
      <c r="N251" s="6">
        <f t="shared" si="404"/>
        <v>14590.252476</v>
      </c>
      <c r="O251" s="6">
        <f t="shared" si="404"/>
        <v>2070.238527</v>
      </c>
      <c r="P251" s="6">
        <f t="shared" ref="P251" si="405">$C250*P250</f>
        <v>0</v>
      </c>
      <c r="Q251" s="6">
        <f t="shared" ref="Q251" si="406">$C250*Q250</f>
        <v>4228.1061980000004</v>
      </c>
      <c r="R251" s="6">
        <f t="shared" ref="R251:AB251" si="407">$C250*R250</f>
        <v>2081.1921699999998</v>
      </c>
      <c r="S251" s="6">
        <f t="shared" si="407"/>
        <v>460.05300599999993</v>
      </c>
      <c r="T251" s="6">
        <f t="shared" si="407"/>
        <v>5914.9672199999995</v>
      </c>
      <c r="U251" s="6">
        <f t="shared" si="407"/>
        <v>1949.7484539999998</v>
      </c>
      <c r="V251" s="6">
        <f t="shared" si="407"/>
        <v>4019.986981</v>
      </c>
      <c r="W251" s="6">
        <f t="shared" si="407"/>
        <v>5170.1194959999993</v>
      </c>
      <c r="X251" s="6">
        <f t="shared" si="407"/>
        <v>6999.377876999999</v>
      </c>
      <c r="Y251" s="6">
        <f t="shared" si="407"/>
        <v>284.79471799999999</v>
      </c>
      <c r="Z251" s="6">
        <f t="shared" si="407"/>
        <v>0</v>
      </c>
      <c r="AA251" s="6">
        <f t="shared" si="407"/>
        <v>87.629143999999997</v>
      </c>
      <c r="AB251" s="6">
        <f t="shared" si="407"/>
        <v>0</v>
      </c>
      <c r="AC251" s="67"/>
      <c r="AD251" s="55"/>
    </row>
    <row r="252" spans="1:30" s="52" customFormat="1">
      <c r="A252" s="96" t="s">
        <v>413</v>
      </c>
      <c r="B252" s="181">
        <f>2119210.11/2</f>
        <v>1059605.0549999999</v>
      </c>
      <c r="C252" s="211">
        <f>ROUND(B252/12,2)+ROUND(42472.01/2,2)</f>
        <v>109536.43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7"/>
      <c r="AD252" s="55"/>
    </row>
    <row r="253" spans="1:30" s="52" customFormat="1">
      <c r="A253" s="97"/>
      <c r="B253" s="74"/>
      <c r="C253" s="211"/>
      <c r="D253" s="6">
        <f t="shared" ref="D253" si="408">$C252*D252</f>
        <v>0</v>
      </c>
      <c r="E253" s="6">
        <f t="shared" ref="E253" si="409">$C252*E252</f>
        <v>0</v>
      </c>
      <c r="F253" s="6">
        <f t="shared" ref="F253:O253" si="410">$C252*F252</f>
        <v>0</v>
      </c>
      <c r="G253" s="6">
        <f t="shared" si="410"/>
        <v>0</v>
      </c>
      <c r="H253" s="6">
        <f t="shared" si="410"/>
        <v>0</v>
      </c>
      <c r="I253" s="6">
        <f t="shared" si="410"/>
        <v>0</v>
      </c>
      <c r="J253" s="6">
        <f t="shared" si="410"/>
        <v>0</v>
      </c>
      <c r="K253" s="6">
        <f t="shared" si="410"/>
        <v>0</v>
      </c>
      <c r="L253" s="6">
        <f t="shared" si="410"/>
        <v>0</v>
      </c>
      <c r="M253" s="6">
        <f t="shared" si="410"/>
        <v>0</v>
      </c>
      <c r="N253" s="6">
        <f t="shared" si="410"/>
        <v>109536.43</v>
      </c>
      <c r="O253" s="6">
        <f t="shared" si="410"/>
        <v>0</v>
      </c>
      <c r="P253" s="6">
        <f t="shared" ref="P253" si="411">$C252*P252</f>
        <v>0</v>
      </c>
      <c r="Q253" s="6">
        <f t="shared" ref="Q253" si="412">$C252*Q252</f>
        <v>0</v>
      </c>
      <c r="R253" s="6">
        <f t="shared" ref="R253:AB253" si="413">$C252*R252</f>
        <v>0</v>
      </c>
      <c r="S253" s="6">
        <f t="shared" si="413"/>
        <v>0</v>
      </c>
      <c r="T253" s="6">
        <f t="shared" si="413"/>
        <v>0</v>
      </c>
      <c r="U253" s="6">
        <f t="shared" si="413"/>
        <v>0</v>
      </c>
      <c r="V253" s="6">
        <f t="shared" si="413"/>
        <v>0</v>
      </c>
      <c r="W253" s="6">
        <f t="shared" si="413"/>
        <v>0</v>
      </c>
      <c r="X253" s="6">
        <f t="shared" si="413"/>
        <v>0</v>
      </c>
      <c r="Y253" s="6">
        <f t="shared" si="413"/>
        <v>0</v>
      </c>
      <c r="Z253" s="6">
        <f t="shared" si="413"/>
        <v>0</v>
      </c>
      <c r="AA253" s="6">
        <f t="shared" si="413"/>
        <v>0</v>
      </c>
      <c r="AB253" s="6">
        <f t="shared" si="413"/>
        <v>0</v>
      </c>
      <c r="AC253" s="67"/>
      <c r="AD253" s="55"/>
    </row>
    <row r="254" spans="1:30" s="52" customFormat="1">
      <c r="A254" s="96" t="s">
        <v>70</v>
      </c>
      <c r="B254" s="181">
        <v>448608.58</v>
      </c>
      <c r="C254" s="211">
        <f>ROUND(B254/12,2)+8978.99</f>
        <v>46363.040000000001</v>
      </c>
      <c r="D254" s="5"/>
      <c r="E254" s="5"/>
      <c r="F254" s="5">
        <v>0.33689999999999998</v>
      </c>
      <c r="G254" s="5"/>
      <c r="H254" s="5">
        <v>0.12180000000000001</v>
      </c>
      <c r="I254" s="5"/>
      <c r="J254" s="5"/>
      <c r="K254" s="5"/>
      <c r="L254" s="5"/>
      <c r="M254" s="5"/>
      <c r="N254" s="5">
        <v>0.40079999999999999</v>
      </c>
      <c r="O254" s="5"/>
      <c r="P254" s="5"/>
      <c r="Q254" s="5"/>
      <c r="R254" s="5"/>
      <c r="S254" s="5"/>
      <c r="T254" s="5"/>
      <c r="U254" s="5"/>
      <c r="V254" s="5">
        <v>0.14050000000000001</v>
      </c>
      <c r="W254" s="5"/>
      <c r="X254" s="5"/>
      <c r="Y254" s="5"/>
      <c r="Z254" s="5"/>
      <c r="AA254" s="5"/>
      <c r="AB254" s="5"/>
      <c r="AC254" s="67"/>
      <c r="AD254" s="55"/>
    </row>
    <row r="255" spans="1:30" s="52" customFormat="1">
      <c r="A255" s="97"/>
      <c r="B255" s="84"/>
      <c r="C255" s="211"/>
      <c r="D255" s="6">
        <f t="shared" ref="D255" si="414">$C254*D254</f>
        <v>0</v>
      </c>
      <c r="E255" s="6">
        <f t="shared" ref="E255" si="415">$C254*E254</f>
        <v>0</v>
      </c>
      <c r="F255" s="6">
        <f t="shared" ref="F255:AB255" si="416">$C254*F254</f>
        <v>15619.708176</v>
      </c>
      <c r="G255" s="6">
        <f t="shared" si="416"/>
        <v>0</v>
      </c>
      <c r="H255" s="6">
        <f t="shared" si="416"/>
        <v>5647.0182720000003</v>
      </c>
      <c r="I255" s="6">
        <f t="shared" si="416"/>
        <v>0</v>
      </c>
      <c r="J255" s="6">
        <f t="shared" si="416"/>
        <v>0</v>
      </c>
      <c r="K255" s="6">
        <f t="shared" si="416"/>
        <v>0</v>
      </c>
      <c r="L255" s="6">
        <f t="shared" si="416"/>
        <v>0</v>
      </c>
      <c r="M255" s="6">
        <f t="shared" si="416"/>
        <v>0</v>
      </c>
      <c r="N255" s="6">
        <f t="shared" si="416"/>
        <v>18582.306432000001</v>
      </c>
      <c r="O255" s="6">
        <f t="shared" si="416"/>
        <v>0</v>
      </c>
      <c r="P255" s="6">
        <f t="shared" si="416"/>
        <v>0</v>
      </c>
      <c r="Q255" s="6">
        <f t="shared" si="416"/>
        <v>0</v>
      </c>
      <c r="R255" s="6">
        <f t="shared" si="416"/>
        <v>0</v>
      </c>
      <c r="S255" s="6">
        <f t="shared" si="416"/>
        <v>0</v>
      </c>
      <c r="T255" s="6">
        <f t="shared" si="416"/>
        <v>0</v>
      </c>
      <c r="U255" s="6">
        <f t="shared" si="416"/>
        <v>0</v>
      </c>
      <c r="V255" s="6">
        <f t="shared" si="416"/>
        <v>6514.0071200000011</v>
      </c>
      <c r="W255" s="6">
        <f t="shared" si="416"/>
        <v>0</v>
      </c>
      <c r="X255" s="6">
        <f t="shared" si="416"/>
        <v>0</v>
      </c>
      <c r="Y255" s="6">
        <f t="shared" si="416"/>
        <v>0</v>
      </c>
      <c r="Z255" s="6">
        <f t="shared" si="416"/>
        <v>0</v>
      </c>
      <c r="AA255" s="6">
        <f t="shared" si="416"/>
        <v>0</v>
      </c>
      <c r="AB255" s="6">
        <f t="shared" si="416"/>
        <v>0</v>
      </c>
      <c r="AC255" s="67"/>
      <c r="AD255" s="55"/>
    </row>
    <row r="256" spans="1:30" s="52" customFormat="1">
      <c r="A256" s="96" t="s">
        <v>71</v>
      </c>
      <c r="B256" s="181">
        <v>1936483.84</v>
      </c>
      <c r="C256" s="211">
        <f>ROUND(B256/12,2)+38693.3</f>
        <v>200066.95</v>
      </c>
      <c r="D256" s="5">
        <v>7.1000000000000004E-3</v>
      </c>
      <c r="E256" s="5"/>
      <c r="F256" s="5">
        <v>3.3599999999999998E-2</v>
      </c>
      <c r="G256" s="5"/>
      <c r="H256" s="5">
        <v>0.10929999999999999</v>
      </c>
      <c r="I256" s="5"/>
      <c r="J256" s="5"/>
      <c r="K256" s="5"/>
      <c r="L256" s="5"/>
      <c r="M256" s="5">
        <v>1.66E-2</v>
      </c>
      <c r="N256" s="5">
        <v>0.67379999999999995</v>
      </c>
      <c r="O256" s="5"/>
      <c r="P256" s="5"/>
      <c r="Q256" s="5"/>
      <c r="R256" s="5">
        <v>8.8999999999999999E-3</v>
      </c>
      <c r="S256" s="5"/>
      <c r="T256" s="5">
        <v>2.3300000000000001E-2</v>
      </c>
      <c r="U256" s="5"/>
      <c r="V256" s="5">
        <v>0.122</v>
      </c>
      <c r="W256" s="5">
        <v>5.4000000000000003E-3</v>
      </c>
      <c r="X256" s="5"/>
      <c r="Y256" s="5"/>
      <c r="Z256" s="5"/>
      <c r="AA256" s="5"/>
      <c r="AB256" s="5"/>
      <c r="AC256" s="67"/>
      <c r="AD256" s="55"/>
    </row>
    <row r="257" spans="1:30" s="52" customFormat="1">
      <c r="A257" s="97"/>
      <c r="B257" s="84"/>
      <c r="C257" s="211"/>
      <c r="D257" s="6">
        <f t="shared" ref="D257" si="417">$C256*D256</f>
        <v>1420.4753450000001</v>
      </c>
      <c r="E257" s="6">
        <f t="shared" ref="E257" si="418">$C256*E256</f>
        <v>0</v>
      </c>
      <c r="F257" s="6">
        <f t="shared" ref="F257:AB257" si="419">$C256*F256</f>
        <v>6722.2495200000003</v>
      </c>
      <c r="G257" s="6">
        <f t="shared" si="419"/>
        <v>0</v>
      </c>
      <c r="H257" s="6">
        <f t="shared" si="419"/>
        <v>21867.317634999999</v>
      </c>
      <c r="I257" s="6">
        <f t="shared" si="419"/>
        <v>0</v>
      </c>
      <c r="J257" s="6">
        <f t="shared" si="419"/>
        <v>0</v>
      </c>
      <c r="K257" s="6">
        <f t="shared" si="419"/>
        <v>0</v>
      </c>
      <c r="L257" s="6">
        <f t="shared" si="419"/>
        <v>0</v>
      </c>
      <c r="M257" s="6">
        <f t="shared" si="419"/>
        <v>3321.1113700000001</v>
      </c>
      <c r="N257" s="6">
        <f t="shared" si="419"/>
        <v>134805.11090999999</v>
      </c>
      <c r="O257" s="6">
        <f t="shared" si="419"/>
        <v>0</v>
      </c>
      <c r="P257" s="6">
        <f t="shared" si="419"/>
        <v>0</v>
      </c>
      <c r="Q257" s="6">
        <f t="shared" si="419"/>
        <v>0</v>
      </c>
      <c r="R257" s="6">
        <f t="shared" si="419"/>
        <v>1780.595855</v>
      </c>
      <c r="S257" s="6">
        <f t="shared" si="419"/>
        <v>0</v>
      </c>
      <c r="T257" s="6">
        <f t="shared" si="419"/>
        <v>4661.5599350000002</v>
      </c>
      <c r="U257" s="6">
        <f t="shared" si="419"/>
        <v>0</v>
      </c>
      <c r="V257" s="6">
        <f t="shared" si="419"/>
        <v>24408.1679</v>
      </c>
      <c r="W257" s="6">
        <f t="shared" si="419"/>
        <v>1080.3615300000001</v>
      </c>
      <c r="X257" s="6">
        <f t="shared" si="419"/>
        <v>0</v>
      </c>
      <c r="Y257" s="6">
        <f t="shared" si="419"/>
        <v>0</v>
      </c>
      <c r="Z257" s="6">
        <f t="shared" si="419"/>
        <v>0</v>
      </c>
      <c r="AA257" s="6">
        <f t="shared" si="419"/>
        <v>0</v>
      </c>
      <c r="AB257" s="6">
        <f t="shared" si="419"/>
        <v>0</v>
      </c>
      <c r="AC257" s="67"/>
      <c r="AD257" s="55"/>
    </row>
    <row r="258" spans="1:30" s="52" customFormat="1">
      <c r="A258" s="96" t="s">
        <v>72</v>
      </c>
      <c r="B258" s="181">
        <v>313468.24</v>
      </c>
      <c r="C258" s="211">
        <f>ROUND(B258/12,2)+6261.32</f>
        <v>32383.67</v>
      </c>
      <c r="D258" s="5"/>
      <c r="E258" s="5"/>
      <c r="F258" s="5">
        <v>0.32700000000000001</v>
      </c>
      <c r="G258" s="5"/>
      <c r="H258" s="5">
        <v>7.0099999999999996E-2</v>
      </c>
      <c r="I258" s="5"/>
      <c r="J258" s="5"/>
      <c r="K258" s="5"/>
      <c r="L258" s="5"/>
      <c r="M258" s="5">
        <v>1.7999999999999999E-2</v>
      </c>
      <c r="N258" s="5">
        <v>0.50819999999999999</v>
      </c>
      <c r="O258" s="5"/>
      <c r="P258" s="5"/>
      <c r="Q258" s="5"/>
      <c r="R258" s="5"/>
      <c r="S258" s="5"/>
      <c r="T258" s="5"/>
      <c r="U258" s="5"/>
      <c r="V258" s="5">
        <v>7.6700000000000004E-2</v>
      </c>
      <c r="W258" s="5"/>
      <c r="X258" s="5"/>
      <c r="Y258" s="5"/>
      <c r="Z258" s="5"/>
      <c r="AA258" s="5"/>
      <c r="AB258" s="5"/>
      <c r="AC258" s="67"/>
      <c r="AD258" s="55"/>
    </row>
    <row r="259" spans="1:30" s="52" customFormat="1">
      <c r="A259" s="97"/>
      <c r="B259" s="84"/>
      <c r="C259" s="211"/>
      <c r="D259" s="6">
        <f t="shared" ref="D259" si="420">$C258*D258</f>
        <v>0</v>
      </c>
      <c r="E259" s="6">
        <f t="shared" ref="E259" si="421">$C258*E258</f>
        <v>0</v>
      </c>
      <c r="F259" s="6">
        <f t="shared" ref="F259:AB259" si="422">$C258*F258</f>
        <v>10589.46009</v>
      </c>
      <c r="G259" s="6">
        <f t="shared" si="422"/>
        <v>0</v>
      </c>
      <c r="H259" s="6">
        <f t="shared" si="422"/>
        <v>2270.0952669999997</v>
      </c>
      <c r="I259" s="6">
        <f t="shared" si="422"/>
        <v>0</v>
      </c>
      <c r="J259" s="6">
        <f t="shared" si="422"/>
        <v>0</v>
      </c>
      <c r="K259" s="6">
        <f t="shared" si="422"/>
        <v>0</v>
      </c>
      <c r="L259" s="6">
        <f t="shared" si="422"/>
        <v>0</v>
      </c>
      <c r="M259" s="6">
        <f t="shared" si="422"/>
        <v>582.90605999999991</v>
      </c>
      <c r="N259" s="6">
        <f t="shared" si="422"/>
        <v>16457.381094</v>
      </c>
      <c r="O259" s="6">
        <f t="shared" si="422"/>
        <v>0</v>
      </c>
      <c r="P259" s="6">
        <f t="shared" si="422"/>
        <v>0</v>
      </c>
      <c r="Q259" s="6">
        <f t="shared" si="422"/>
        <v>0</v>
      </c>
      <c r="R259" s="6">
        <f t="shared" si="422"/>
        <v>0</v>
      </c>
      <c r="S259" s="6">
        <f t="shared" si="422"/>
        <v>0</v>
      </c>
      <c r="T259" s="6">
        <f t="shared" si="422"/>
        <v>0</v>
      </c>
      <c r="U259" s="6">
        <f t="shared" si="422"/>
        <v>0</v>
      </c>
      <c r="V259" s="6">
        <f t="shared" si="422"/>
        <v>2483.8274889999998</v>
      </c>
      <c r="W259" s="6">
        <f t="shared" si="422"/>
        <v>0</v>
      </c>
      <c r="X259" s="6">
        <f t="shared" si="422"/>
        <v>0</v>
      </c>
      <c r="Y259" s="6">
        <f t="shared" si="422"/>
        <v>0</v>
      </c>
      <c r="Z259" s="6">
        <f t="shared" si="422"/>
        <v>0</v>
      </c>
      <c r="AA259" s="6">
        <f t="shared" si="422"/>
        <v>0</v>
      </c>
      <c r="AB259" s="6">
        <f t="shared" si="422"/>
        <v>0</v>
      </c>
      <c r="AC259" s="67"/>
      <c r="AD259" s="55"/>
    </row>
    <row r="260" spans="1:30" s="52" customFormat="1">
      <c r="A260" s="96" t="s">
        <v>73</v>
      </c>
      <c r="B260" s="181">
        <v>146358.07</v>
      </c>
      <c r="C260" s="211">
        <f>ROUND(B260/12,2)+2928.65</f>
        <v>15125.16</v>
      </c>
      <c r="D260" s="5"/>
      <c r="E260" s="5"/>
      <c r="F260" s="5">
        <v>3.0999999999999999E-3</v>
      </c>
      <c r="G260" s="5"/>
      <c r="H260" s="5">
        <v>3.0099999999999998E-2</v>
      </c>
      <c r="I260" s="5"/>
      <c r="J260" s="5"/>
      <c r="K260" s="5"/>
      <c r="L260" s="5"/>
      <c r="M260" s="5">
        <v>4.0000000000000002E-4</v>
      </c>
      <c r="N260" s="5">
        <v>0.92749999999999999</v>
      </c>
      <c r="O260" s="5"/>
      <c r="P260" s="5"/>
      <c r="Q260" s="5"/>
      <c r="R260" s="5">
        <v>2.9999999999999997E-4</v>
      </c>
      <c r="S260" s="5"/>
      <c r="T260" s="5"/>
      <c r="U260" s="5"/>
      <c r="V260" s="5">
        <v>3.8600000000000002E-2</v>
      </c>
      <c r="W260" s="5"/>
      <c r="X260" s="5"/>
      <c r="Y260" s="5"/>
      <c r="Z260" s="5"/>
      <c r="AA260" s="5"/>
      <c r="AB260" s="5"/>
      <c r="AC260" s="67"/>
      <c r="AD260" s="55"/>
    </row>
    <row r="261" spans="1:30" s="52" customFormat="1">
      <c r="A261" s="97"/>
      <c r="B261" s="84"/>
      <c r="C261" s="211"/>
      <c r="D261" s="6">
        <f t="shared" ref="D261" si="423">$C260*D260</f>
        <v>0</v>
      </c>
      <c r="E261" s="6">
        <f t="shared" ref="E261" si="424">$C260*E260</f>
        <v>0</v>
      </c>
      <c r="F261" s="6">
        <f t="shared" ref="F261:AB261" si="425">$C260*F260</f>
        <v>46.887996000000001</v>
      </c>
      <c r="G261" s="6">
        <f t="shared" si="425"/>
        <v>0</v>
      </c>
      <c r="H261" s="6">
        <f t="shared" si="425"/>
        <v>455.26731599999999</v>
      </c>
      <c r="I261" s="6">
        <f t="shared" si="425"/>
        <v>0</v>
      </c>
      <c r="J261" s="6">
        <f t="shared" si="425"/>
        <v>0</v>
      </c>
      <c r="K261" s="6">
        <f t="shared" si="425"/>
        <v>0</v>
      </c>
      <c r="L261" s="6">
        <f t="shared" si="425"/>
        <v>0</v>
      </c>
      <c r="M261" s="6">
        <f t="shared" si="425"/>
        <v>6.0500639999999999</v>
      </c>
      <c r="N261" s="6">
        <f t="shared" si="425"/>
        <v>14028.5859</v>
      </c>
      <c r="O261" s="6">
        <f t="shared" si="425"/>
        <v>0</v>
      </c>
      <c r="P261" s="6">
        <f t="shared" si="425"/>
        <v>0</v>
      </c>
      <c r="Q261" s="6">
        <f t="shared" si="425"/>
        <v>0</v>
      </c>
      <c r="R261" s="6">
        <f t="shared" si="425"/>
        <v>4.5375479999999992</v>
      </c>
      <c r="S261" s="6">
        <f t="shared" si="425"/>
        <v>0</v>
      </c>
      <c r="T261" s="6">
        <f t="shared" si="425"/>
        <v>0</v>
      </c>
      <c r="U261" s="6">
        <f t="shared" si="425"/>
        <v>0</v>
      </c>
      <c r="V261" s="6">
        <f t="shared" si="425"/>
        <v>583.83117600000003</v>
      </c>
      <c r="W261" s="6">
        <f t="shared" si="425"/>
        <v>0</v>
      </c>
      <c r="X261" s="6">
        <f t="shared" si="425"/>
        <v>0</v>
      </c>
      <c r="Y261" s="6">
        <f t="shared" si="425"/>
        <v>0</v>
      </c>
      <c r="Z261" s="6">
        <f t="shared" si="425"/>
        <v>0</v>
      </c>
      <c r="AA261" s="6">
        <f t="shared" si="425"/>
        <v>0</v>
      </c>
      <c r="AB261" s="6">
        <f t="shared" si="425"/>
        <v>0</v>
      </c>
      <c r="AC261" s="67"/>
      <c r="AD261" s="55"/>
    </row>
    <row r="262" spans="1:30" s="52" customFormat="1">
      <c r="A262" s="96" t="s">
        <v>74</v>
      </c>
      <c r="B262" s="181">
        <v>1396487.41</v>
      </c>
      <c r="C262" s="211">
        <f>ROUND(B262/12,2)+28103.08</f>
        <v>144477.03</v>
      </c>
      <c r="D262" s="5"/>
      <c r="E262" s="5"/>
      <c r="F262" s="5">
        <v>3.0999999999999999E-3</v>
      </c>
      <c r="G262" s="5"/>
      <c r="H262" s="5">
        <v>3.0099999999999998E-2</v>
      </c>
      <c r="I262" s="5"/>
      <c r="J262" s="5"/>
      <c r="K262" s="5"/>
      <c r="L262" s="5"/>
      <c r="M262" s="5">
        <v>4.0000000000000002E-4</v>
      </c>
      <c r="N262" s="5">
        <v>0.92749999999999999</v>
      </c>
      <c r="O262" s="5"/>
      <c r="P262" s="5"/>
      <c r="Q262" s="5"/>
      <c r="R262" s="5">
        <v>2.9999999999999997E-4</v>
      </c>
      <c r="S262" s="5"/>
      <c r="T262" s="5"/>
      <c r="U262" s="5"/>
      <c r="V262" s="5">
        <v>3.8600000000000002E-2</v>
      </c>
      <c r="W262" s="5"/>
      <c r="X262" s="5"/>
      <c r="Y262" s="5"/>
      <c r="Z262" s="5"/>
      <c r="AA262" s="5"/>
      <c r="AB262" s="5"/>
      <c r="AC262" s="67"/>
      <c r="AD262" s="55"/>
    </row>
    <row r="263" spans="1:30" s="52" customFormat="1">
      <c r="A263" s="97"/>
      <c r="B263" s="84"/>
      <c r="C263" s="211"/>
      <c r="D263" s="6">
        <f t="shared" ref="D263" si="426">$C262*D262</f>
        <v>0</v>
      </c>
      <c r="E263" s="6">
        <f t="shared" ref="E263" si="427">$C262*E262</f>
        <v>0</v>
      </c>
      <c r="F263" s="6">
        <f>$C262*F262</f>
        <v>447.87879299999997</v>
      </c>
      <c r="G263" s="6">
        <f t="shared" ref="G263:AB263" si="428">$C262*G262</f>
        <v>0</v>
      </c>
      <c r="H263" s="6">
        <f t="shared" si="428"/>
        <v>4348.7586029999993</v>
      </c>
      <c r="I263" s="6">
        <f t="shared" si="428"/>
        <v>0</v>
      </c>
      <c r="J263" s="6">
        <f t="shared" si="428"/>
        <v>0</v>
      </c>
      <c r="K263" s="6">
        <f t="shared" si="428"/>
        <v>0</v>
      </c>
      <c r="L263" s="6">
        <f t="shared" si="428"/>
        <v>0</v>
      </c>
      <c r="M263" s="6">
        <f t="shared" si="428"/>
        <v>57.790812000000003</v>
      </c>
      <c r="N263" s="6">
        <f t="shared" si="428"/>
        <v>134002.44532500001</v>
      </c>
      <c r="O263" s="6">
        <f t="shared" si="428"/>
        <v>0</v>
      </c>
      <c r="P263" s="6">
        <f t="shared" si="428"/>
        <v>0</v>
      </c>
      <c r="Q263" s="6">
        <f t="shared" si="428"/>
        <v>0</v>
      </c>
      <c r="R263" s="6">
        <f t="shared" si="428"/>
        <v>43.343108999999998</v>
      </c>
      <c r="S263" s="6">
        <f t="shared" si="428"/>
        <v>0</v>
      </c>
      <c r="T263" s="6">
        <f t="shared" si="428"/>
        <v>0</v>
      </c>
      <c r="U263" s="6">
        <f t="shared" si="428"/>
        <v>0</v>
      </c>
      <c r="V263" s="6">
        <f t="shared" si="428"/>
        <v>5576.8133580000003</v>
      </c>
      <c r="W263" s="6">
        <f t="shared" si="428"/>
        <v>0</v>
      </c>
      <c r="X263" s="6">
        <f t="shared" si="428"/>
        <v>0</v>
      </c>
      <c r="Y263" s="6">
        <f t="shared" si="428"/>
        <v>0</v>
      </c>
      <c r="Z263" s="6">
        <f t="shared" si="428"/>
        <v>0</v>
      </c>
      <c r="AA263" s="6">
        <f t="shared" si="428"/>
        <v>0</v>
      </c>
      <c r="AB263" s="6">
        <f t="shared" si="428"/>
        <v>0</v>
      </c>
      <c r="AC263" s="67"/>
      <c r="AD263" s="55"/>
    </row>
    <row r="264" spans="1:30" s="52" customFormat="1">
      <c r="A264" s="96" t="s">
        <v>75</v>
      </c>
      <c r="B264" s="181">
        <v>326244.27</v>
      </c>
      <c r="C264" s="211">
        <f>ROUND(B264/12,2)+6504.59</f>
        <v>33691.61</v>
      </c>
      <c r="D264" s="5"/>
      <c r="E264" s="5"/>
      <c r="F264" s="5">
        <v>3.0999999999999999E-3</v>
      </c>
      <c r="G264" s="5"/>
      <c r="H264" s="5">
        <v>3.0099999999999998E-2</v>
      </c>
      <c r="I264" s="5"/>
      <c r="J264" s="5"/>
      <c r="K264" s="5"/>
      <c r="L264" s="5"/>
      <c r="M264" s="5">
        <v>4.0000000000000002E-4</v>
      </c>
      <c r="N264" s="5">
        <v>0.92749999999999999</v>
      </c>
      <c r="O264" s="5"/>
      <c r="P264" s="5"/>
      <c r="Q264" s="5"/>
      <c r="R264" s="5">
        <v>2.9999999999999997E-4</v>
      </c>
      <c r="S264" s="5"/>
      <c r="T264" s="5"/>
      <c r="U264" s="5"/>
      <c r="V264" s="5">
        <v>3.8600000000000002E-2</v>
      </c>
      <c r="W264" s="5"/>
      <c r="X264" s="5"/>
      <c r="Y264" s="5"/>
      <c r="Z264" s="5"/>
      <c r="AA264" s="5"/>
      <c r="AB264" s="5"/>
      <c r="AC264" s="67"/>
      <c r="AD264" s="55"/>
    </row>
    <row r="265" spans="1:30" s="52" customFormat="1">
      <c r="A265" s="97"/>
      <c r="B265" s="84"/>
      <c r="C265" s="211"/>
      <c r="D265" s="6">
        <f t="shared" ref="D265" si="429">$C264*D264</f>
        <v>0</v>
      </c>
      <c r="E265" s="6">
        <f t="shared" ref="E265" si="430">$C264*E264</f>
        <v>0</v>
      </c>
      <c r="F265" s="6">
        <f t="shared" ref="F265:AB265" si="431">$C264*F264</f>
        <v>104.443991</v>
      </c>
      <c r="G265" s="6">
        <f t="shared" si="431"/>
        <v>0</v>
      </c>
      <c r="H265" s="6">
        <f t="shared" si="431"/>
        <v>1014.1174609999999</v>
      </c>
      <c r="I265" s="6">
        <f t="shared" si="431"/>
        <v>0</v>
      </c>
      <c r="J265" s="6">
        <f t="shared" si="431"/>
        <v>0</v>
      </c>
      <c r="K265" s="6">
        <f t="shared" si="431"/>
        <v>0</v>
      </c>
      <c r="L265" s="6">
        <f t="shared" si="431"/>
        <v>0</v>
      </c>
      <c r="M265" s="6">
        <f t="shared" si="431"/>
        <v>13.476644</v>
      </c>
      <c r="N265" s="6">
        <f t="shared" si="431"/>
        <v>31248.968274999999</v>
      </c>
      <c r="O265" s="6">
        <f t="shared" si="431"/>
        <v>0</v>
      </c>
      <c r="P265" s="6">
        <f t="shared" si="431"/>
        <v>0</v>
      </c>
      <c r="Q265" s="6">
        <f t="shared" si="431"/>
        <v>0</v>
      </c>
      <c r="R265" s="6">
        <f t="shared" si="431"/>
        <v>10.107482999999998</v>
      </c>
      <c r="S265" s="6">
        <f t="shared" si="431"/>
        <v>0</v>
      </c>
      <c r="T265" s="6">
        <f t="shared" si="431"/>
        <v>0</v>
      </c>
      <c r="U265" s="6">
        <f t="shared" si="431"/>
        <v>0</v>
      </c>
      <c r="V265" s="6">
        <f t="shared" si="431"/>
        <v>1300.4961460000002</v>
      </c>
      <c r="W265" s="6">
        <f t="shared" si="431"/>
        <v>0</v>
      </c>
      <c r="X265" s="6">
        <f t="shared" si="431"/>
        <v>0</v>
      </c>
      <c r="Y265" s="6">
        <f t="shared" si="431"/>
        <v>0</v>
      </c>
      <c r="Z265" s="6">
        <f t="shared" si="431"/>
        <v>0</v>
      </c>
      <c r="AA265" s="6">
        <f t="shared" si="431"/>
        <v>0</v>
      </c>
      <c r="AB265" s="6">
        <f t="shared" si="431"/>
        <v>0</v>
      </c>
      <c r="AC265" s="67"/>
      <c r="AD265" s="55"/>
    </row>
    <row r="266" spans="1:30" s="52" customFormat="1">
      <c r="A266" s="96" t="s">
        <v>76</v>
      </c>
      <c r="B266" s="181">
        <f>71451.54/2</f>
        <v>35725.769999999997</v>
      </c>
      <c r="C266" s="211">
        <f>ROUND(B266/12,2)+ROUND(1427.69/2,2)</f>
        <v>3691</v>
      </c>
      <c r="D266" s="170">
        <v>1.6500000000000001E-2</v>
      </c>
      <c r="E266" s="170">
        <v>0.1368</v>
      </c>
      <c r="F266" s="170">
        <v>5.7599999999999998E-2</v>
      </c>
      <c r="G266" s="170">
        <v>8.0399999999999999E-2</v>
      </c>
      <c r="H266" s="170">
        <v>4.1099999999999998E-2</v>
      </c>
      <c r="I266" s="170">
        <v>0.13389999999999999</v>
      </c>
      <c r="J266" s="170">
        <v>2.12E-2</v>
      </c>
      <c r="K266" s="170">
        <v>3.2500000000000001E-2</v>
      </c>
      <c r="L266" s="170">
        <v>1.7100000000000001E-2</v>
      </c>
      <c r="M266" s="170">
        <v>2.5999999999999999E-2</v>
      </c>
      <c r="N266" s="170">
        <v>0.13320000000000001</v>
      </c>
      <c r="O266" s="170">
        <v>1.89E-2</v>
      </c>
      <c r="P266" s="170">
        <v>0</v>
      </c>
      <c r="Q266" s="170">
        <v>3.8600000000000002E-2</v>
      </c>
      <c r="R266" s="170">
        <v>1.9E-2</v>
      </c>
      <c r="S266" s="170">
        <v>4.1999999999999997E-3</v>
      </c>
      <c r="T266" s="170">
        <v>5.3999999999999999E-2</v>
      </c>
      <c r="U266" s="170">
        <v>1.78E-2</v>
      </c>
      <c r="V266" s="170">
        <v>3.6700000000000003E-2</v>
      </c>
      <c r="W266" s="170">
        <v>4.7199999999999999E-2</v>
      </c>
      <c r="X266" s="170">
        <v>6.3899999999999998E-2</v>
      </c>
      <c r="Y266" s="170">
        <v>2.5999999999999999E-3</v>
      </c>
      <c r="Z266" s="171">
        <v>0</v>
      </c>
      <c r="AA266" s="171">
        <v>8.0000000000000004E-4</v>
      </c>
      <c r="AB266" s="171">
        <v>0</v>
      </c>
      <c r="AC266" s="67"/>
      <c r="AD266" s="55"/>
    </row>
    <row r="267" spans="1:30" s="52" customFormat="1">
      <c r="A267" s="97"/>
      <c r="B267" s="84"/>
      <c r="C267" s="211"/>
      <c r="D267" s="6">
        <f t="shared" ref="D267" si="432">$C266*D266</f>
        <v>60.901500000000006</v>
      </c>
      <c r="E267" s="6">
        <f t="shared" ref="E267" si="433">$C266*E266</f>
        <v>504.92880000000002</v>
      </c>
      <c r="F267" s="6">
        <f t="shared" ref="F267:O267" si="434">$C266*F266</f>
        <v>212.60159999999999</v>
      </c>
      <c r="G267" s="6">
        <f t="shared" si="434"/>
        <v>296.75639999999999</v>
      </c>
      <c r="H267" s="6">
        <f t="shared" si="434"/>
        <v>151.70009999999999</v>
      </c>
      <c r="I267" s="6">
        <f t="shared" si="434"/>
        <v>494.22489999999999</v>
      </c>
      <c r="J267" s="6">
        <f t="shared" si="434"/>
        <v>78.249200000000002</v>
      </c>
      <c r="K267" s="6">
        <f t="shared" si="434"/>
        <v>119.95750000000001</v>
      </c>
      <c r="L267" s="6">
        <f t="shared" si="434"/>
        <v>63.116100000000003</v>
      </c>
      <c r="M267" s="6">
        <f t="shared" si="434"/>
        <v>95.965999999999994</v>
      </c>
      <c r="N267" s="6">
        <f t="shared" si="434"/>
        <v>491.64120000000003</v>
      </c>
      <c r="O267" s="6">
        <f t="shared" si="434"/>
        <v>69.759900000000002</v>
      </c>
      <c r="P267" s="6">
        <f t="shared" ref="P267" si="435">$C266*P266</f>
        <v>0</v>
      </c>
      <c r="Q267" s="6">
        <f t="shared" ref="Q267" si="436">$C266*Q266</f>
        <v>142.4726</v>
      </c>
      <c r="R267" s="6">
        <f t="shared" ref="R267:AB267" si="437">$C266*R266</f>
        <v>70.129000000000005</v>
      </c>
      <c r="S267" s="6">
        <f t="shared" si="437"/>
        <v>15.502199999999998</v>
      </c>
      <c r="T267" s="6">
        <f t="shared" si="437"/>
        <v>199.31399999999999</v>
      </c>
      <c r="U267" s="6">
        <f t="shared" si="437"/>
        <v>65.699799999999996</v>
      </c>
      <c r="V267" s="6">
        <f t="shared" si="437"/>
        <v>135.45970000000003</v>
      </c>
      <c r="W267" s="6">
        <f t="shared" si="437"/>
        <v>174.21520000000001</v>
      </c>
      <c r="X267" s="6">
        <f t="shared" si="437"/>
        <v>235.85489999999999</v>
      </c>
      <c r="Y267" s="6">
        <f t="shared" si="437"/>
        <v>9.5965999999999987</v>
      </c>
      <c r="Z267" s="6">
        <f t="shared" si="437"/>
        <v>0</v>
      </c>
      <c r="AA267" s="6">
        <f t="shared" si="437"/>
        <v>2.9528000000000003</v>
      </c>
      <c r="AB267" s="6">
        <f t="shared" si="437"/>
        <v>0</v>
      </c>
      <c r="AC267" s="67"/>
      <c r="AD267" s="55"/>
    </row>
    <row r="268" spans="1:30" s="52" customFormat="1">
      <c r="A268" s="96" t="s">
        <v>414</v>
      </c>
      <c r="B268" s="181">
        <f>71451.54/2</f>
        <v>35725.769999999997</v>
      </c>
      <c r="C268" s="211">
        <f>ROUND(B268/12,2)+ROUND(1427.69/2,2)</f>
        <v>3691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>
        <v>1</v>
      </c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7"/>
      <c r="AD268" s="55"/>
    </row>
    <row r="269" spans="1:30" s="52" customFormat="1">
      <c r="A269" s="97"/>
      <c r="B269" s="74"/>
      <c r="C269" s="211"/>
      <c r="D269" s="6">
        <f t="shared" ref="D269" si="438">$C268*D268</f>
        <v>0</v>
      </c>
      <c r="E269" s="6">
        <f t="shared" ref="E269" si="439">$C268*E268</f>
        <v>0</v>
      </c>
      <c r="F269" s="6">
        <f t="shared" ref="F269:O269" si="440">$C268*F268</f>
        <v>0</v>
      </c>
      <c r="G269" s="6">
        <f t="shared" si="440"/>
        <v>0</v>
      </c>
      <c r="H269" s="6">
        <f t="shared" si="440"/>
        <v>0</v>
      </c>
      <c r="I269" s="6">
        <f t="shared" si="440"/>
        <v>0</v>
      </c>
      <c r="J269" s="6">
        <f t="shared" si="440"/>
        <v>0</v>
      </c>
      <c r="K269" s="6">
        <f t="shared" si="440"/>
        <v>0</v>
      </c>
      <c r="L269" s="6">
        <f t="shared" si="440"/>
        <v>0</v>
      </c>
      <c r="M269" s="6">
        <f t="shared" si="440"/>
        <v>0</v>
      </c>
      <c r="N269" s="6">
        <f t="shared" si="440"/>
        <v>3691</v>
      </c>
      <c r="O269" s="6">
        <f t="shared" si="440"/>
        <v>0</v>
      </c>
      <c r="P269" s="6">
        <f t="shared" ref="P269" si="441">$C268*P268</f>
        <v>0</v>
      </c>
      <c r="Q269" s="6">
        <f t="shared" ref="Q269" si="442">$C268*Q268</f>
        <v>0</v>
      </c>
      <c r="R269" s="6">
        <f t="shared" ref="R269:AB269" si="443">$C268*R268</f>
        <v>0</v>
      </c>
      <c r="S269" s="6">
        <f t="shared" si="443"/>
        <v>0</v>
      </c>
      <c r="T269" s="6">
        <f t="shared" si="443"/>
        <v>0</v>
      </c>
      <c r="U269" s="6">
        <f t="shared" si="443"/>
        <v>0</v>
      </c>
      <c r="V269" s="6">
        <f t="shared" si="443"/>
        <v>0</v>
      </c>
      <c r="W269" s="6">
        <f t="shared" si="443"/>
        <v>0</v>
      </c>
      <c r="X269" s="6">
        <f t="shared" si="443"/>
        <v>0</v>
      </c>
      <c r="Y269" s="6">
        <f t="shared" si="443"/>
        <v>0</v>
      </c>
      <c r="Z269" s="6">
        <f t="shared" si="443"/>
        <v>0</v>
      </c>
      <c r="AA269" s="6">
        <f t="shared" si="443"/>
        <v>0</v>
      </c>
      <c r="AB269" s="6">
        <f t="shared" si="443"/>
        <v>0</v>
      </c>
      <c r="AC269" s="67"/>
      <c r="AD269" s="55"/>
    </row>
    <row r="270" spans="1:30" s="52" customFormat="1">
      <c r="A270" s="96" t="s">
        <v>77</v>
      </c>
      <c r="B270" s="181">
        <v>576493.51</v>
      </c>
      <c r="C270" s="211">
        <f>ROUND(B270/12,2)+11641.98</f>
        <v>59683.11</v>
      </c>
      <c r="D270" s="5"/>
      <c r="E270" s="5"/>
      <c r="F270" s="5">
        <v>0.19789999999999999</v>
      </c>
      <c r="G270" s="5"/>
      <c r="H270" s="5"/>
      <c r="I270" s="5"/>
      <c r="J270" s="5"/>
      <c r="K270" s="5"/>
      <c r="L270" s="5"/>
      <c r="M270" s="5"/>
      <c r="N270" s="5">
        <v>0.76180000000000003</v>
      </c>
      <c r="O270" s="5"/>
      <c r="P270" s="5"/>
      <c r="Q270" s="5"/>
      <c r="R270" s="5"/>
      <c r="S270" s="5"/>
      <c r="T270" s="5"/>
      <c r="U270" s="5"/>
      <c r="V270" s="5">
        <v>4.0300000000000002E-2</v>
      </c>
      <c r="W270" s="5"/>
      <c r="X270" s="5"/>
      <c r="Y270" s="5"/>
      <c r="Z270" s="5"/>
      <c r="AA270" s="5"/>
      <c r="AB270" s="5"/>
      <c r="AC270" s="67"/>
      <c r="AD270" s="55"/>
    </row>
    <row r="271" spans="1:30" s="52" customFormat="1">
      <c r="A271" s="97"/>
      <c r="B271" s="84"/>
      <c r="C271" s="211"/>
      <c r="D271" s="6">
        <f t="shared" ref="D271" si="444">$C270*D270</f>
        <v>0</v>
      </c>
      <c r="E271" s="6">
        <f t="shared" ref="E271" si="445">$C270*E270</f>
        <v>0</v>
      </c>
      <c r="F271" s="6">
        <f t="shared" ref="F271:AB271" si="446">$C270*F270</f>
        <v>11811.287468999999</v>
      </c>
      <c r="G271" s="6">
        <f t="shared" si="446"/>
        <v>0</v>
      </c>
      <c r="H271" s="6">
        <f t="shared" si="446"/>
        <v>0</v>
      </c>
      <c r="I271" s="6">
        <f t="shared" si="446"/>
        <v>0</v>
      </c>
      <c r="J271" s="6">
        <f t="shared" si="446"/>
        <v>0</v>
      </c>
      <c r="K271" s="6">
        <f t="shared" si="446"/>
        <v>0</v>
      </c>
      <c r="L271" s="6">
        <f t="shared" si="446"/>
        <v>0</v>
      </c>
      <c r="M271" s="6">
        <f t="shared" si="446"/>
        <v>0</v>
      </c>
      <c r="N271" s="6">
        <f t="shared" si="446"/>
        <v>45466.593198000002</v>
      </c>
      <c r="O271" s="6">
        <f t="shared" si="446"/>
        <v>0</v>
      </c>
      <c r="P271" s="6">
        <f t="shared" si="446"/>
        <v>0</v>
      </c>
      <c r="Q271" s="6">
        <f t="shared" si="446"/>
        <v>0</v>
      </c>
      <c r="R271" s="6">
        <f t="shared" si="446"/>
        <v>0</v>
      </c>
      <c r="S271" s="6">
        <f t="shared" si="446"/>
        <v>0</v>
      </c>
      <c r="T271" s="6">
        <f t="shared" si="446"/>
        <v>0</v>
      </c>
      <c r="U271" s="6">
        <f t="shared" si="446"/>
        <v>0</v>
      </c>
      <c r="V271" s="6">
        <f t="shared" si="446"/>
        <v>2405.2293330000002</v>
      </c>
      <c r="W271" s="6">
        <f t="shared" si="446"/>
        <v>0</v>
      </c>
      <c r="X271" s="6">
        <f t="shared" si="446"/>
        <v>0</v>
      </c>
      <c r="Y271" s="6">
        <f t="shared" si="446"/>
        <v>0</v>
      </c>
      <c r="Z271" s="6">
        <f t="shared" si="446"/>
        <v>0</v>
      </c>
      <c r="AA271" s="6">
        <f t="shared" si="446"/>
        <v>0</v>
      </c>
      <c r="AB271" s="6">
        <f t="shared" si="446"/>
        <v>0</v>
      </c>
      <c r="AC271" s="67"/>
      <c r="AD271" s="55"/>
    </row>
    <row r="272" spans="1:30" s="52" customFormat="1">
      <c r="A272" s="96" t="s">
        <v>78</v>
      </c>
      <c r="B272" s="181">
        <v>4150732.37</v>
      </c>
      <c r="C272" s="211">
        <f>ROUND(B272/12,2)+83189.39</f>
        <v>429083.75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>
        <v>1</v>
      </c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7"/>
      <c r="AD272" s="55"/>
    </row>
    <row r="273" spans="1:30" s="52" customFormat="1">
      <c r="A273" s="97"/>
      <c r="B273" s="84"/>
      <c r="C273" s="211"/>
      <c r="D273" s="6">
        <f t="shared" ref="D273" si="447">$C272*D272</f>
        <v>0</v>
      </c>
      <c r="E273" s="6">
        <f t="shared" ref="E273" si="448">$C272*E272</f>
        <v>0</v>
      </c>
      <c r="F273" s="6">
        <f t="shared" ref="F273:AB273" si="449">$C272*F272</f>
        <v>0</v>
      </c>
      <c r="G273" s="6">
        <f t="shared" si="449"/>
        <v>0</v>
      </c>
      <c r="H273" s="6">
        <f t="shared" si="449"/>
        <v>0</v>
      </c>
      <c r="I273" s="6">
        <f t="shared" si="449"/>
        <v>0</v>
      </c>
      <c r="J273" s="6">
        <f t="shared" si="449"/>
        <v>0</v>
      </c>
      <c r="K273" s="6">
        <f t="shared" si="449"/>
        <v>0</v>
      </c>
      <c r="L273" s="6">
        <f t="shared" si="449"/>
        <v>0</v>
      </c>
      <c r="M273" s="6">
        <f t="shared" si="449"/>
        <v>0</v>
      </c>
      <c r="N273" s="6">
        <f t="shared" si="449"/>
        <v>429083.75</v>
      </c>
      <c r="O273" s="6">
        <f t="shared" si="449"/>
        <v>0</v>
      </c>
      <c r="P273" s="6">
        <f t="shared" si="449"/>
        <v>0</v>
      </c>
      <c r="Q273" s="6">
        <f t="shared" si="449"/>
        <v>0</v>
      </c>
      <c r="R273" s="6">
        <f t="shared" si="449"/>
        <v>0</v>
      </c>
      <c r="S273" s="6">
        <f t="shared" si="449"/>
        <v>0</v>
      </c>
      <c r="T273" s="6">
        <f t="shared" si="449"/>
        <v>0</v>
      </c>
      <c r="U273" s="6">
        <f t="shared" si="449"/>
        <v>0</v>
      </c>
      <c r="V273" s="6">
        <f t="shared" si="449"/>
        <v>0</v>
      </c>
      <c r="W273" s="6">
        <f t="shared" si="449"/>
        <v>0</v>
      </c>
      <c r="X273" s="6">
        <f t="shared" si="449"/>
        <v>0</v>
      </c>
      <c r="Y273" s="6">
        <f t="shared" si="449"/>
        <v>0</v>
      </c>
      <c r="Z273" s="6">
        <f t="shared" si="449"/>
        <v>0</v>
      </c>
      <c r="AA273" s="6">
        <f t="shared" si="449"/>
        <v>0</v>
      </c>
      <c r="AB273" s="6">
        <f t="shared" si="449"/>
        <v>0</v>
      </c>
      <c r="AC273" s="67"/>
      <c r="AD273" s="55"/>
    </row>
    <row r="274" spans="1:30" s="52" customFormat="1">
      <c r="A274" s="96" t="s">
        <v>79</v>
      </c>
      <c r="B274" s="181">
        <f>16750212.46/2</f>
        <v>8375106.2300000004</v>
      </c>
      <c r="C274" s="211">
        <f>ROUND(B274/12,2)+ROUND(335777.87/2,2)</f>
        <v>865814.46</v>
      </c>
      <c r="D274" s="170">
        <v>1.6500000000000001E-2</v>
      </c>
      <c r="E274" s="170">
        <v>0.1368</v>
      </c>
      <c r="F274" s="170">
        <v>5.7599999999999998E-2</v>
      </c>
      <c r="G274" s="170">
        <v>8.0399999999999999E-2</v>
      </c>
      <c r="H274" s="170">
        <v>4.1099999999999998E-2</v>
      </c>
      <c r="I274" s="170">
        <v>0.13389999999999999</v>
      </c>
      <c r="J274" s="170">
        <v>2.12E-2</v>
      </c>
      <c r="K274" s="170">
        <v>3.2500000000000001E-2</v>
      </c>
      <c r="L274" s="170">
        <v>1.7100000000000001E-2</v>
      </c>
      <c r="M274" s="170">
        <v>2.5999999999999999E-2</v>
      </c>
      <c r="N274" s="170">
        <v>0.13320000000000001</v>
      </c>
      <c r="O274" s="170">
        <v>1.89E-2</v>
      </c>
      <c r="P274" s="170">
        <v>0</v>
      </c>
      <c r="Q274" s="170">
        <v>3.8600000000000002E-2</v>
      </c>
      <c r="R274" s="170">
        <v>1.9E-2</v>
      </c>
      <c r="S274" s="170">
        <v>4.1999999999999997E-3</v>
      </c>
      <c r="T274" s="170">
        <v>5.3999999999999999E-2</v>
      </c>
      <c r="U274" s="170">
        <v>1.78E-2</v>
      </c>
      <c r="V274" s="170">
        <v>3.6700000000000003E-2</v>
      </c>
      <c r="W274" s="170">
        <v>4.7199999999999999E-2</v>
      </c>
      <c r="X274" s="170">
        <v>6.3899999999999998E-2</v>
      </c>
      <c r="Y274" s="170">
        <v>2.5999999999999999E-3</v>
      </c>
      <c r="Z274" s="171">
        <v>0</v>
      </c>
      <c r="AA274" s="171">
        <v>8.0000000000000004E-4</v>
      </c>
      <c r="AB274" s="171">
        <v>0</v>
      </c>
      <c r="AC274" s="67"/>
      <c r="AD274" s="55"/>
    </row>
    <row r="275" spans="1:30" s="52" customFormat="1">
      <c r="A275" s="97"/>
      <c r="B275" s="84"/>
      <c r="C275" s="211"/>
      <c r="D275" s="6">
        <f t="shared" ref="D275" si="450">$C274*D274</f>
        <v>14285.93859</v>
      </c>
      <c r="E275" s="6">
        <f t="shared" ref="E275" si="451">$C274*E274</f>
        <v>118443.418128</v>
      </c>
      <c r="F275" s="6">
        <f t="shared" ref="F275:O275" si="452">$C274*F274</f>
        <v>49870.912895999994</v>
      </c>
      <c r="G275" s="6">
        <f t="shared" si="452"/>
        <v>69611.482583999998</v>
      </c>
      <c r="H275" s="6">
        <f t="shared" si="452"/>
        <v>35584.974305999996</v>
      </c>
      <c r="I275" s="6">
        <f t="shared" si="452"/>
        <v>115932.55619399999</v>
      </c>
      <c r="J275" s="6">
        <f t="shared" si="452"/>
        <v>18355.266552000001</v>
      </c>
      <c r="K275" s="6">
        <f t="shared" si="452"/>
        <v>28138.969949999999</v>
      </c>
      <c r="L275" s="6">
        <f t="shared" si="452"/>
        <v>14805.427266000001</v>
      </c>
      <c r="M275" s="6">
        <f t="shared" si="452"/>
        <v>22511.175959999997</v>
      </c>
      <c r="N275" s="6">
        <f t="shared" si="452"/>
        <v>115326.486072</v>
      </c>
      <c r="O275" s="6">
        <f t="shared" si="452"/>
        <v>16363.893294</v>
      </c>
      <c r="P275" s="6">
        <f t="shared" ref="P275" si="453">$C274*P274</f>
        <v>0</v>
      </c>
      <c r="Q275" s="6">
        <f t="shared" ref="Q275" si="454">$C274*Q274</f>
        <v>33420.438156000004</v>
      </c>
      <c r="R275" s="6">
        <f t="shared" ref="R275:AB275" si="455">$C274*R274</f>
        <v>16450.474739999998</v>
      </c>
      <c r="S275" s="6">
        <f t="shared" si="455"/>
        <v>3636.4207319999996</v>
      </c>
      <c r="T275" s="6">
        <f t="shared" si="455"/>
        <v>46753.980839999997</v>
      </c>
      <c r="U275" s="6">
        <f t="shared" si="455"/>
        <v>15411.497388</v>
      </c>
      <c r="V275" s="6">
        <f t="shared" si="455"/>
        <v>31775.390682000001</v>
      </c>
      <c r="W275" s="6">
        <f t="shared" si="455"/>
        <v>40866.442511999994</v>
      </c>
      <c r="X275" s="6">
        <f t="shared" si="455"/>
        <v>55325.543994</v>
      </c>
      <c r="Y275" s="6">
        <f t="shared" si="455"/>
        <v>2251.1175959999996</v>
      </c>
      <c r="Z275" s="6">
        <f t="shared" si="455"/>
        <v>0</v>
      </c>
      <c r="AA275" s="6">
        <f t="shared" si="455"/>
        <v>692.651568</v>
      </c>
      <c r="AB275" s="6">
        <f t="shared" si="455"/>
        <v>0</v>
      </c>
      <c r="AC275" s="67"/>
      <c r="AD275" s="55"/>
    </row>
    <row r="276" spans="1:30" s="52" customFormat="1">
      <c r="A276" s="96" t="s">
        <v>415</v>
      </c>
      <c r="B276" s="181">
        <f>16750212.46/2</f>
        <v>8375106.2300000004</v>
      </c>
      <c r="C276" s="211">
        <f>ROUND(B276/12,2)+ROUND(335777.87/2,2)</f>
        <v>865814.46</v>
      </c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>
        <v>1</v>
      </c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7"/>
      <c r="AD276" s="55"/>
    </row>
    <row r="277" spans="1:30" s="52" customFormat="1">
      <c r="A277" s="97"/>
      <c r="B277" s="74"/>
      <c r="C277" s="211"/>
      <c r="D277" s="6">
        <f t="shared" ref="D277" si="456">$C276*D276</f>
        <v>0</v>
      </c>
      <c r="E277" s="6">
        <f t="shared" ref="E277" si="457">$C276*E276</f>
        <v>0</v>
      </c>
      <c r="F277" s="6">
        <f t="shared" ref="F277:O277" si="458">$C276*F276</f>
        <v>0</v>
      </c>
      <c r="G277" s="6">
        <f t="shared" si="458"/>
        <v>0</v>
      </c>
      <c r="H277" s="6">
        <f t="shared" si="458"/>
        <v>0</v>
      </c>
      <c r="I277" s="6">
        <f t="shared" si="458"/>
        <v>0</v>
      </c>
      <c r="J277" s="6">
        <f t="shared" si="458"/>
        <v>0</v>
      </c>
      <c r="K277" s="6">
        <f t="shared" si="458"/>
        <v>0</v>
      </c>
      <c r="L277" s="6">
        <f t="shared" si="458"/>
        <v>0</v>
      </c>
      <c r="M277" s="6">
        <f t="shared" si="458"/>
        <v>0</v>
      </c>
      <c r="N277" s="6">
        <f t="shared" si="458"/>
        <v>865814.46</v>
      </c>
      <c r="O277" s="6">
        <f t="shared" si="458"/>
        <v>0</v>
      </c>
      <c r="P277" s="6">
        <f t="shared" ref="P277" si="459">$C276*P276</f>
        <v>0</v>
      </c>
      <c r="Q277" s="6">
        <f t="shared" ref="Q277" si="460">$C276*Q276</f>
        <v>0</v>
      </c>
      <c r="R277" s="6">
        <f t="shared" ref="R277:AB277" si="461">$C276*R276</f>
        <v>0</v>
      </c>
      <c r="S277" s="6">
        <f t="shared" si="461"/>
        <v>0</v>
      </c>
      <c r="T277" s="6">
        <f t="shared" si="461"/>
        <v>0</v>
      </c>
      <c r="U277" s="6">
        <f t="shared" si="461"/>
        <v>0</v>
      </c>
      <c r="V277" s="6">
        <f t="shared" si="461"/>
        <v>0</v>
      </c>
      <c r="W277" s="6">
        <f t="shared" si="461"/>
        <v>0</v>
      </c>
      <c r="X277" s="6">
        <f t="shared" si="461"/>
        <v>0</v>
      </c>
      <c r="Y277" s="6">
        <f t="shared" si="461"/>
        <v>0</v>
      </c>
      <c r="Z277" s="6">
        <f t="shared" si="461"/>
        <v>0</v>
      </c>
      <c r="AA277" s="6">
        <f t="shared" si="461"/>
        <v>0</v>
      </c>
      <c r="AB277" s="6">
        <f t="shared" si="461"/>
        <v>0</v>
      </c>
      <c r="AC277" s="67"/>
      <c r="AD277" s="55"/>
    </row>
    <row r="278" spans="1:30" s="52" customFormat="1">
      <c r="A278" s="96" t="s">
        <v>80</v>
      </c>
      <c r="B278" s="181">
        <v>530228.31000000006</v>
      </c>
      <c r="C278" s="211">
        <f>ROUND(B278/12,2)+10637.69</f>
        <v>54823.380000000005</v>
      </c>
      <c r="D278" s="5">
        <v>1.7500000000000002E-2</v>
      </c>
      <c r="E278" s="5"/>
      <c r="F278" s="5">
        <v>0.19700000000000001</v>
      </c>
      <c r="G278" s="5"/>
      <c r="H278" s="5">
        <v>0.2213</v>
      </c>
      <c r="I278" s="5"/>
      <c r="J278" s="5"/>
      <c r="K278" s="5"/>
      <c r="L278" s="5"/>
      <c r="M278" s="5">
        <v>3.6999999999999998E-2</v>
      </c>
      <c r="N278" s="5"/>
      <c r="O278" s="5"/>
      <c r="P278" s="5"/>
      <c r="Q278" s="5">
        <v>7.1000000000000004E-3</v>
      </c>
      <c r="R278" s="5">
        <v>2.4799999999999999E-2</v>
      </c>
      <c r="S278" s="5">
        <v>5.9999999999999995E-4</v>
      </c>
      <c r="T278" s="5">
        <v>5.5399999999999998E-2</v>
      </c>
      <c r="U278" s="5"/>
      <c r="V278" s="5">
        <v>0.41860000000000003</v>
      </c>
      <c r="W278" s="5">
        <v>2.07E-2</v>
      </c>
      <c r="X278" s="5"/>
      <c r="Y278" s="5"/>
      <c r="Z278" s="5"/>
      <c r="AA278" s="5"/>
      <c r="AB278" s="5"/>
      <c r="AC278" s="67"/>
      <c r="AD278" s="55"/>
    </row>
    <row r="279" spans="1:30" s="52" customFormat="1">
      <c r="A279" s="97"/>
      <c r="B279" s="84"/>
      <c r="C279" s="211"/>
      <c r="D279" s="6">
        <f t="shared" ref="D279" si="462">$C278*D278</f>
        <v>959.40915000000018</v>
      </c>
      <c r="E279" s="6">
        <f t="shared" ref="E279" si="463">$C278*E278</f>
        <v>0</v>
      </c>
      <c r="F279" s="6">
        <f t="shared" ref="F279:AB279" si="464">$C278*F278</f>
        <v>10800.205860000002</v>
      </c>
      <c r="G279" s="6">
        <f t="shared" si="464"/>
        <v>0</v>
      </c>
      <c r="H279" s="6">
        <f t="shared" si="464"/>
        <v>12132.413994</v>
      </c>
      <c r="I279" s="6">
        <f t="shared" si="464"/>
        <v>0</v>
      </c>
      <c r="J279" s="6">
        <f t="shared" si="464"/>
        <v>0</v>
      </c>
      <c r="K279" s="6">
        <f t="shared" si="464"/>
        <v>0</v>
      </c>
      <c r="L279" s="6">
        <f t="shared" si="464"/>
        <v>0</v>
      </c>
      <c r="M279" s="6">
        <f t="shared" si="464"/>
        <v>2028.46506</v>
      </c>
      <c r="N279" s="6">
        <f t="shared" si="464"/>
        <v>0</v>
      </c>
      <c r="O279" s="6">
        <f t="shared" si="464"/>
        <v>0</v>
      </c>
      <c r="P279" s="6">
        <f t="shared" si="464"/>
        <v>0</v>
      </c>
      <c r="Q279" s="6">
        <f t="shared" si="464"/>
        <v>389.24599800000004</v>
      </c>
      <c r="R279" s="6">
        <f t="shared" si="464"/>
        <v>1359.6198240000001</v>
      </c>
      <c r="S279" s="6">
        <f t="shared" si="464"/>
        <v>32.894027999999999</v>
      </c>
      <c r="T279" s="6">
        <f t="shared" si="464"/>
        <v>3037.215252</v>
      </c>
      <c r="U279" s="6">
        <f t="shared" si="464"/>
        <v>0</v>
      </c>
      <c r="V279" s="6">
        <f t="shared" si="464"/>
        <v>22949.066868000002</v>
      </c>
      <c r="W279" s="6">
        <f t="shared" si="464"/>
        <v>1134.8439660000001</v>
      </c>
      <c r="X279" s="6">
        <f t="shared" si="464"/>
        <v>0</v>
      </c>
      <c r="Y279" s="6">
        <f t="shared" si="464"/>
        <v>0</v>
      </c>
      <c r="Z279" s="6">
        <f t="shared" si="464"/>
        <v>0</v>
      </c>
      <c r="AA279" s="6">
        <f t="shared" si="464"/>
        <v>0</v>
      </c>
      <c r="AB279" s="6">
        <f t="shared" si="464"/>
        <v>0</v>
      </c>
      <c r="AC279" s="67"/>
      <c r="AD279" s="55"/>
    </row>
    <row r="280" spans="1:30" s="52" customFormat="1">
      <c r="A280" s="96" t="s">
        <v>81</v>
      </c>
      <c r="B280" s="181">
        <f>33401075.28/2</f>
        <v>16700537.640000001</v>
      </c>
      <c r="C280" s="211">
        <f>ROUND(B280/12,2)+ROUND(678684.61/2,2)</f>
        <v>1731053.78</v>
      </c>
      <c r="D280" s="170">
        <v>1.6500000000000001E-2</v>
      </c>
      <c r="E280" s="170">
        <v>0.1368</v>
      </c>
      <c r="F280" s="170">
        <v>5.7599999999999998E-2</v>
      </c>
      <c r="G280" s="170">
        <v>8.0399999999999999E-2</v>
      </c>
      <c r="H280" s="170">
        <v>4.1099999999999998E-2</v>
      </c>
      <c r="I280" s="170">
        <v>0.13389999999999999</v>
      </c>
      <c r="J280" s="170">
        <v>2.12E-2</v>
      </c>
      <c r="K280" s="170">
        <v>3.2500000000000001E-2</v>
      </c>
      <c r="L280" s="170">
        <v>1.7100000000000001E-2</v>
      </c>
      <c r="M280" s="170">
        <v>2.5999999999999999E-2</v>
      </c>
      <c r="N280" s="170">
        <v>0.13320000000000001</v>
      </c>
      <c r="O280" s="170">
        <v>1.89E-2</v>
      </c>
      <c r="P280" s="170">
        <v>0</v>
      </c>
      <c r="Q280" s="170">
        <v>3.8600000000000002E-2</v>
      </c>
      <c r="R280" s="170">
        <v>1.9E-2</v>
      </c>
      <c r="S280" s="170">
        <v>4.1999999999999997E-3</v>
      </c>
      <c r="T280" s="170">
        <v>5.3999999999999999E-2</v>
      </c>
      <c r="U280" s="170">
        <v>1.78E-2</v>
      </c>
      <c r="V280" s="170">
        <v>3.6700000000000003E-2</v>
      </c>
      <c r="W280" s="170">
        <v>4.7199999999999999E-2</v>
      </c>
      <c r="X280" s="170">
        <v>6.3899999999999998E-2</v>
      </c>
      <c r="Y280" s="170">
        <v>2.5999999999999999E-3</v>
      </c>
      <c r="Z280" s="171">
        <v>0</v>
      </c>
      <c r="AA280" s="171">
        <v>8.0000000000000004E-4</v>
      </c>
      <c r="AB280" s="171">
        <v>0</v>
      </c>
      <c r="AC280" s="67"/>
      <c r="AD280" s="55"/>
    </row>
    <row r="281" spans="1:30" s="52" customFormat="1">
      <c r="A281" s="97"/>
      <c r="B281" s="84"/>
      <c r="C281" s="211"/>
      <c r="D281" s="6">
        <f t="shared" ref="D281" si="465">$C280*D280</f>
        <v>28562.38737</v>
      </c>
      <c r="E281" s="6">
        <f t="shared" ref="E281" si="466">$C280*E280</f>
        <v>236808.15710400001</v>
      </c>
      <c r="F281" s="6">
        <f t="shared" ref="F281:O281" si="467">$C280*F280</f>
        <v>99708.697727999999</v>
      </c>
      <c r="G281" s="6">
        <f t="shared" si="467"/>
        <v>139176.72391199999</v>
      </c>
      <c r="H281" s="6">
        <f t="shared" si="467"/>
        <v>71146.310358000002</v>
      </c>
      <c r="I281" s="6">
        <f t="shared" si="467"/>
        <v>231788.101142</v>
      </c>
      <c r="J281" s="6">
        <f t="shared" si="467"/>
        <v>36698.340135999999</v>
      </c>
      <c r="K281" s="6">
        <f t="shared" si="467"/>
        <v>56259.24785</v>
      </c>
      <c r="L281" s="6">
        <f t="shared" si="467"/>
        <v>29601.019638000002</v>
      </c>
      <c r="M281" s="6">
        <f t="shared" si="467"/>
        <v>45007.398280000001</v>
      </c>
      <c r="N281" s="6">
        <f t="shared" si="467"/>
        <v>230576.36349600003</v>
      </c>
      <c r="O281" s="6">
        <f t="shared" si="467"/>
        <v>32716.916442000002</v>
      </c>
      <c r="P281" s="6">
        <f t="shared" ref="P281" si="468">$C280*P280</f>
        <v>0</v>
      </c>
      <c r="Q281" s="6">
        <f t="shared" ref="Q281" si="469">$C280*Q280</f>
        <v>66818.675908000005</v>
      </c>
      <c r="R281" s="6">
        <f t="shared" ref="R281:AB281" si="470">$C280*R280</f>
        <v>32890.021820000002</v>
      </c>
      <c r="S281" s="6">
        <f t="shared" si="470"/>
        <v>7270.4258759999993</v>
      </c>
      <c r="T281" s="6">
        <f t="shared" si="470"/>
        <v>93476.904120000007</v>
      </c>
      <c r="U281" s="6">
        <f t="shared" si="470"/>
        <v>30812.757283999999</v>
      </c>
      <c r="V281" s="6">
        <f t="shared" si="470"/>
        <v>63529.673726000008</v>
      </c>
      <c r="W281" s="6">
        <f t="shared" si="470"/>
        <v>81705.738415999993</v>
      </c>
      <c r="X281" s="6">
        <f t="shared" si="470"/>
        <v>110614.336542</v>
      </c>
      <c r="Y281" s="6">
        <f t="shared" si="470"/>
        <v>4500.7398279999998</v>
      </c>
      <c r="Z281" s="6">
        <f t="shared" si="470"/>
        <v>0</v>
      </c>
      <c r="AA281" s="6">
        <f t="shared" si="470"/>
        <v>1384.843024</v>
      </c>
      <c r="AB281" s="6">
        <f t="shared" si="470"/>
        <v>0</v>
      </c>
      <c r="AC281" s="67"/>
      <c r="AD281" s="55"/>
    </row>
    <row r="282" spans="1:30" s="52" customFormat="1">
      <c r="A282" s="96" t="s">
        <v>416</v>
      </c>
      <c r="B282" s="181">
        <f>33401075.28/2</f>
        <v>16700537.640000001</v>
      </c>
      <c r="C282" s="211">
        <f>ROUND(B282/12,2)+ROUND(678684.61/2,2)</f>
        <v>1731053.78</v>
      </c>
      <c r="D282" s="5"/>
      <c r="E282" s="5"/>
      <c r="F282" s="171">
        <v>0.16109999999999999</v>
      </c>
      <c r="G282" s="5"/>
      <c r="H282" s="171">
        <v>0.13320000000000001</v>
      </c>
      <c r="I282" s="5"/>
      <c r="J282" s="5"/>
      <c r="K282" s="5"/>
      <c r="L282" s="5"/>
      <c r="M282" s="5"/>
      <c r="N282" s="171">
        <v>0.55420000000000003</v>
      </c>
      <c r="O282" s="5"/>
      <c r="P282" s="5"/>
      <c r="Q282" s="5"/>
      <c r="R282" s="5"/>
      <c r="S282" s="5"/>
      <c r="T282" s="5"/>
      <c r="U282" s="5"/>
      <c r="V282" s="171">
        <v>0.1515</v>
      </c>
      <c r="W282" s="5"/>
      <c r="X282" s="5"/>
      <c r="Y282" s="5"/>
      <c r="Z282" s="5"/>
      <c r="AA282" s="5"/>
      <c r="AB282" s="5"/>
      <c r="AC282" s="67"/>
      <c r="AD282" s="55"/>
    </row>
    <row r="283" spans="1:30" s="52" customFormat="1">
      <c r="A283" s="97"/>
      <c r="B283" s="74"/>
      <c r="C283" s="211"/>
      <c r="D283" s="6">
        <f t="shared" ref="D283" si="471">$C282*D282</f>
        <v>0</v>
      </c>
      <c r="E283" s="6">
        <f t="shared" ref="E283" si="472">$C282*E282</f>
        <v>0</v>
      </c>
      <c r="F283" s="6">
        <f t="shared" ref="F283:O283" si="473">$C282*F282</f>
        <v>278872.763958</v>
      </c>
      <c r="G283" s="6">
        <f t="shared" si="473"/>
        <v>0</v>
      </c>
      <c r="H283" s="6">
        <f t="shared" si="473"/>
        <v>230576.36349600003</v>
      </c>
      <c r="I283" s="6">
        <f t="shared" si="473"/>
        <v>0</v>
      </c>
      <c r="J283" s="6">
        <f t="shared" si="473"/>
        <v>0</v>
      </c>
      <c r="K283" s="6">
        <f t="shared" si="473"/>
        <v>0</v>
      </c>
      <c r="L283" s="6">
        <f t="shared" si="473"/>
        <v>0</v>
      </c>
      <c r="M283" s="6">
        <f t="shared" si="473"/>
        <v>0</v>
      </c>
      <c r="N283" s="6">
        <f t="shared" si="473"/>
        <v>959350.00487600011</v>
      </c>
      <c r="O283" s="6">
        <f t="shared" si="473"/>
        <v>0</v>
      </c>
      <c r="P283" s="6">
        <f t="shared" ref="P283" si="474">$C282*P282</f>
        <v>0</v>
      </c>
      <c r="Q283" s="6">
        <f t="shared" ref="Q283" si="475">$C282*Q282</f>
        <v>0</v>
      </c>
      <c r="R283" s="6">
        <f t="shared" ref="R283:AB283" si="476">$C282*R282</f>
        <v>0</v>
      </c>
      <c r="S283" s="6">
        <f t="shared" si="476"/>
        <v>0</v>
      </c>
      <c r="T283" s="6">
        <f t="shared" si="476"/>
        <v>0</v>
      </c>
      <c r="U283" s="6">
        <f t="shared" si="476"/>
        <v>0</v>
      </c>
      <c r="V283" s="6">
        <f t="shared" si="476"/>
        <v>262254.64766999998</v>
      </c>
      <c r="W283" s="6">
        <f t="shared" si="476"/>
        <v>0</v>
      </c>
      <c r="X283" s="6">
        <f t="shared" si="476"/>
        <v>0</v>
      </c>
      <c r="Y283" s="6">
        <f t="shared" si="476"/>
        <v>0</v>
      </c>
      <c r="Z283" s="6">
        <f t="shared" si="476"/>
        <v>0</v>
      </c>
      <c r="AA283" s="6">
        <f t="shared" si="476"/>
        <v>0</v>
      </c>
      <c r="AB283" s="6">
        <f t="shared" si="476"/>
        <v>0</v>
      </c>
      <c r="AC283" s="67"/>
      <c r="AD283" s="55"/>
    </row>
    <row r="284" spans="1:30" s="52" customFormat="1">
      <c r="A284" s="96" t="s">
        <v>82</v>
      </c>
      <c r="B284" s="181">
        <f>10522.26/2</f>
        <v>5261.13</v>
      </c>
      <c r="C284" s="211">
        <f>ROUND(B284/12,2)+ROUND(212.3/2,2)</f>
        <v>544.58000000000004</v>
      </c>
      <c r="D284" s="170">
        <v>1.6500000000000001E-2</v>
      </c>
      <c r="E284" s="170">
        <v>0.1368</v>
      </c>
      <c r="F284" s="170">
        <v>5.7599999999999998E-2</v>
      </c>
      <c r="G284" s="170">
        <v>8.0399999999999999E-2</v>
      </c>
      <c r="H284" s="170">
        <v>4.1099999999999998E-2</v>
      </c>
      <c r="I284" s="170">
        <v>0.13389999999999999</v>
      </c>
      <c r="J284" s="170">
        <v>2.12E-2</v>
      </c>
      <c r="K284" s="170">
        <v>3.2500000000000001E-2</v>
      </c>
      <c r="L284" s="170">
        <v>1.7100000000000001E-2</v>
      </c>
      <c r="M284" s="170">
        <v>2.5999999999999999E-2</v>
      </c>
      <c r="N284" s="170">
        <v>0.13320000000000001</v>
      </c>
      <c r="O284" s="170">
        <v>1.89E-2</v>
      </c>
      <c r="P284" s="170">
        <v>0</v>
      </c>
      <c r="Q284" s="170">
        <v>3.8600000000000002E-2</v>
      </c>
      <c r="R284" s="170">
        <v>1.9E-2</v>
      </c>
      <c r="S284" s="170">
        <v>4.1999999999999997E-3</v>
      </c>
      <c r="T284" s="170">
        <v>5.3999999999999999E-2</v>
      </c>
      <c r="U284" s="170">
        <v>1.78E-2</v>
      </c>
      <c r="V284" s="170">
        <v>3.6700000000000003E-2</v>
      </c>
      <c r="W284" s="170">
        <v>4.7199999999999999E-2</v>
      </c>
      <c r="X284" s="170">
        <v>6.3899999999999998E-2</v>
      </c>
      <c r="Y284" s="170">
        <v>2.5999999999999999E-3</v>
      </c>
      <c r="Z284" s="171">
        <v>0</v>
      </c>
      <c r="AA284" s="171">
        <v>8.0000000000000004E-4</v>
      </c>
      <c r="AB284" s="171">
        <v>0</v>
      </c>
      <c r="AC284" s="67"/>
      <c r="AD284" s="55"/>
    </row>
    <row r="285" spans="1:30" s="52" customFormat="1">
      <c r="A285" s="97"/>
      <c r="B285" s="84"/>
      <c r="C285" s="211"/>
      <c r="D285" s="6">
        <f t="shared" ref="D285" si="477">$C284*D284</f>
        <v>8.9855700000000009</v>
      </c>
      <c r="E285" s="6">
        <f t="shared" ref="E285" si="478">$C284*E284</f>
        <v>74.49854400000001</v>
      </c>
      <c r="F285" s="6">
        <f t="shared" ref="F285:O285" si="479">$C284*F284</f>
        <v>31.367808</v>
      </c>
      <c r="G285" s="6">
        <f t="shared" si="479"/>
        <v>43.784232000000003</v>
      </c>
      <c r="H285" s="6">
        <f t="shared" si="479"/>
        <v>22.382238000000001</v>
      </c>
      <c r="I285" s="6">
        <f t="shared" si="479"/>
        <v>72.919262000000003</v>
      </c>
      <c r="J285" s="6">
        <f t="shared" si="479"/>
        <v>11.545096000000001</v>
      </c>
      <c r="K285" s="6">
        <f t="shared" si="479"/>
        <v>17.69885</v>
      </c>
      <c r="L285" s="6">
        <f t="shared" si="479"/>
        <v>9.3123180000000012</v>
      </c>
      <c r="M285" s="6">
        <f t="shared" si="479"/>
        <v>14.159080000000001</v>
      </c>
      <c r="N285" s="6">
        <f t="shared" si="479"/>
        <v>72.538056000000012</v>
      </c>
      <c r="O285" s="6">
        <f t="shared" si="479"/>
        <v>10.292562</v>
      </c>
      <c r="P285" s="6">
        <f t="shared" ref="P285" si="480">$C284*P284</f>
        <v>0</v>
      </c>
      <c r="Q285" s="6">
        <f t="shared" ref="Q285" si="481">$C284*Q284</f>
        <v>21.020788000000003</v>
      </c>
      <c r="R285" s="6">
        <f t="shared" ref="R285:AB285" si="482">$C284*R284</f>
        <v>10.347020000000001</v>
      </c>
      <c r="S285" s="6">
        <f t="shared" si="482"/>
        <v>2.287236</v>
      </c>
      <c r="T285" s="6">
        <f t="shared" si="482"/>
        <v>29.407320000000002</v>
      </c>
      <c r="U285" s="6">
        <f t="shared" si="482"/>
        <v>9.693524</v>
      </c>
      <c r="V285" s="6">
        <f t="shared" si="482"/>
        <v>19.986086000000004</v>
      </c>
      <c r="W285" s="6">
        <f t="shared" si="482"/>
        <v>25.704176</v>
      </c>
      <c r="X285" s="6">
        <f t="shared" si="482"/>
        <v>34.798662</v>
      </c>
      <c r="Y285" s="6">
        <f t="shared" si="482"/>
        <v>1.4159079999999999</v>
      </c>
      <c r="Z285" s="6">
        <f t="shared" si="482"/>
        <v>0</v>
      </c>
      <c r="AA285" s="6">
        <f t="shared" si="482"/>
        <v>0.43566400000000005</v>
      </c>
      <c r="AB285" s="6">
        <f t="shared" si="482"/>
        <v>0</v>
      </c>
      <c r="AC285" s="67"/>
      <c r="AD285" s="55"/>
    </row>
    <row r="286" spans="1:30" s="52" customFormat="1">
      <c r="A286" s="96" t="s">
        <v>417</v>
      </c>
      <c r="B286" s="181">
        <f>10522.26/2</f>
        <v>5261.13</v>
      </c>
      <c r="C286" s="211">
        <f>ROUND(B286/12,2)+ROUND(212.3/2,2)</f>
        <v>544.58000000000004</v>
      </c>
      <c r="D286" s="5"/>
      <c r="E286" s="5"/>
      <c r="F286" s="5"/>
      <c r="G286" s="5"/>
      <c r="H286" s="171">
        <v>0.1003</v>
      </c>
      <c r="I286" s="5"/>
      <c r="J286" s="5"/>
      <c r="K286" s="5"/>
      <c r="L286" s="5"/>
      <c r="M286" s="5"/>
      <c r="N286" s="171">
        <v>0.76119999999999999</v>
      </c>
      <c r="O286" s="171">
        <v>3.3E-3</v>
      </c>
      <c r="P286" s="5"/>
      <c r="Q286" s="5"/>
      <c r="R286" s="5"/>
      <c r="S286" s="5"/>
      <c r="T286" s="5"/>
      <c r="U286" s="5"/>
      <c r="V286" s="171">
        <v>0.13519999999999999</v>
      </c>
      <c r="W286" s="5"/>
      <c r="X286" s="5"/>
      <c r="Y286" s="5"/>
      <c r="Z286" s="5"/>
      <c r="AA286" s="5"/>
      <c r="AB286" s="5"/>
      <c r="AC286" s="67"/>
      <c r="AD286" s="55"/>
    </row>
    <row r="287" spans="1:30" s="52" customFormat="1">
      <c r="A287" s="97"/>
      <c r="B287" s="74"/>
      <c r="C287" s="211"/>
      <c r="D287" s="6">
        <f t="shared" ref="D287" si="483">$C286*D286</f>
        <v>0</v>
      </c>
      <c r="E287" s="6">
        <f t="shared" ref="E287" si="484">$C286*E286</f>
        <v>0</v>
      </c>
      <c r="F287" s="6">
        <f t="shared" ref="F287:O287" si="485">$C286*F286</f>
        <v>0</v>
      </c>
      <c r="G287" s="6">
        <f t="shared" si="485"/>
        <v>0</v>
      </c>
      <c r="H287" s="6">
        <f t="shared" si="485"/>
        <v>54.621374000000003</v>
      </c>
      <c r="I287" s="6">
        <f t="shared" si="485"/>
        <v>0</v>
      </c>
      <c r="J287" s="6">
        <f t="shared" si="485"/>
        <v>0</v>
      </c>
      <c r="K287" s="6">
        <f t="shared" si="485"/>
        <v>0</v>
      </c>
      <c r="L287" s="6">
        <f t="shared" si="485"/>
        <v>0</v>
      </c>
      <c r="M287" s="6">
        <f t="shared" si="485"/>
        <v>0</v>
      </c>
      <c r="N287" s="6">
        <f t="shared" si="485"/>
        <v>414.53429600000004</v>
      </c>
      <c r="O287" s="6">
        <f t="shared" si="485"/>
        <v>1.7971140000000001</v>
      </c>
      <c r="P287" s="6">
        <f t="shared" ref="P287" si="486">$C286*P286</f>
        <v>0</v>
      </c>
      <c r="Q287" s="6">
        <f t="shared" ref="Q287" si="487">$C286*Q286</f>
        <v>0</v>
      </c>
      <c r="R287" s="6">
        <f t="shared" ref="R287:AB287" si="488">$C286*R286</f>
        <v>0</v>
      </c>
      <c r="S287" s="6">
        <f t="shared" si="488"/>
        <v>0</v>
      </c>
      <c r="T287" s="6">
        <f t="shared" si="488"/>
        <v>0</v>
      </c>
      <c r="U287" s="6">
        <f t="shared" si="488"/>
        <v>0</v>
      </c>
      <c r="V287" s="6">
        <f t="shared" si="488"/>
        <v>73.627216000000004</v>
      </c>
      <c r="W287" s="6">
        <f t="shared" si="488"/>
        <v>0</v>
      </c>
      <c r="X287" s="6">
        <f t="shared" si="488"/>
        <v>0</v>
      </c>
      <c r="Y287" s="6">
        <f t="shared" si="488"/>
        <v>0</v>
      </c>
      <c r="Z287" s="6">
        <f t="shared" si="488"/>
        <v>0</v>
      </c>
      <c r="AA287" s="6">
        <f t="shared" si="488"/>
        <v>0</v>
      </c>
      <c r="AB287" s="6">
        <f t="shared" si="488"/>
        <v>0</v>
      </c>
      <c r="AC287" s="67"/>
      <c r="AD287" s="55"/>
    </row>
    <row r="288" spans="1:30" s="52" customFormat="1">
      <c r="A288" s="96" t="s">
        <v>83</v>
      </c>
      <c r="B288" s="181">
        <f>7297.65/2</f>
        <v>3648.8249999999998</v>
      </c>
      <c r="C288" s="211">
        <f>ROUND(B288/12,2)+ROUND(147.15/2,2)</f>
        <v>377.65</v>
      </c>
      <c r="D288" s="170">
        <v>1.6500000000000001E-2</v>
      </c>
      <c r="E288" s="170">
        <v>0.1368</v>
      </c>
      <c r="F288" s="170">
        <v>5.7599999999999998E-2</v>
      </c>
      <c r="G288" s="170">
        <v>8.0399999999999999E-2</v>
      </c>
      <c r="H288" s="170">
        <v>4.1099999999999998E-2</v>
      </c>
      <c r="I288" s="170">
        <v>0.13389999999999999</v>
      </c>
      <c r="J288" s="170">
        <v>2.12E-2</v>
      </c>
      <c r="K288" s="170">
        <v>3.2500000000000001E-2</v>
      </c>
      <c r="L288" s="170">
        <v>1.7100000000000001E-2</v>
      </c>
      <c r="M288" s="170">
        <v>2.5999999999999999E-2</v>
      </c>
      <c r="N288" s="170">
        <v>0.13320000000000001</v>
      </c>
      <c r="O288" s="170">
        <v>1.89E-2</v>
      </c>
      <c r="P288" s="170">
        <v>0</v>
      </c>
      <c r="Q288" s="170">
        <v>3.8600000000000002E-2</v>
      </c>
      <c r="R288" s="170">
        <v>1.9E-2</v>
      </c>
      <c r="S288" s="170">
        <v>4.1999999999999997E-3</v>
      </c>
      <c r="T288" s="170">
        <v>5.3999999999999999E-2</v>
      </c>
      <c r="U288" s="170">
        <v>1.78E-2</v>
      </c>
      <c r="V288" s="170">
        <v>3.6700000000000003E-2</v>
      </c>
      <c r="W288" s="170">
        <v>4.7199999999999999E-2</v>
      </c>
      <c r="X288" s="170">
        <v>6.3899999999999998E-2</v>
      </c>
      <c r="Y288" s="170">
        <v>2.5999999999999999E-3</v>
      </c>
      <c r="Z288" s="171">
        <v>0</v>
      </c>
      <c r="AA288" s="171">
        <v>8.0000000000000004E-4</v>
      </c>
      <c r="AB288" s="171">
        <v>0</v>
      </c>
      <c r="AC288" s="67"/>
      <c r="AD288" s="55"/>
    </row>
    <row r="289" spans="1:30" s="52" customFormat="1">
      <c r="A289" s="97"/>
      <c r="B289" s="84"/>
      <c r="C289" s="211"/>
      <c r="D289" s="6">
        <f t="shared" ref="D289" si="489">$C288*D288</f>
        <v>6.2312250000000002</v>
      </c>
      <c r="E289" s="6">
        <f t="shared" ref="E289" si="490">$C288*E288</f>
        <v>51.662520000000001</v>
      </c>
      <c r="F289" s="6">
        <f t="shared" ref="F289:O289" si="491">$C288*F288</f>
        <v>21.75264</v>
      </c>
      <c r="G289" s="6">
        <f t="shared" si="491"/>
        <v>30.363059999999997</v>
      </c>
      <c r="H289" s="6">
        <f t="shared" si="491"/>
        <v>15.521414999999998</v>
      </c>
      <c r="I289" s="6">
        <f t="shared" si="491"/>
        <v>50.567334999999993</v>
      </c>
      <c r="J289" s="6">
        <f t="shared" si="491"/>
        <v>8.0061799999999987</v>
      </c>
      <c r="K289" s="6">
        <f t="shared" si="491"/>
        <v>12.273624999999999</v>
      </c>
      <c r="L289" s="6">
        <f t="shared" si="491"/>
        <v>6.4578150000000001</v>
      </c>
      <c r="M289" s="6">
        <f t="shared" si="491"/>
        <v>9.8188999999999993</v>
      </c>
      <c r="N289" s="6">
        <f t="shared" si="491"/>
        <v>50.302980000000005</v>
      </c>
      <c r="O289" s="6">
        <f t="shared" si="491"/>
        <v>7.1375849999999996</v>
      </c>
      <c r="P289" s="6">
        <f t="shared" ref="P289" si="492">$C288*P288</f>
        <v>0</v>
      </c>
      <c r="Q289" s="6">
        <f t="shared" ref="Q289" si="493">$C288*Q288</f>
        <v>14.57729</v>
      </c>
      <c r="R289" s="6">
        <f t="shared" ref="R289:AB289" si="494">$C288*R288</f>
        <v>7.175349999999999</v>
      </c>
      <c r="S289" s="6">
        <f t="shared" si="494"/>
        <v>1.5861299999999998</v>
      </c>
      <c r="T289" s="6">
        <f t="shared" si="494"/>
        <v>20.393099999999997</v>
      </c>
      <c r="U289" s="6">
        <f t="shared" si="494"/>
        <v>6.7221699999999993</v>
      </c>
      <c r="V289" s="6">
        <f t="shared" si="494"/>
        <v>13.859755</v>
      </c>
      <c r="W289" s="6">
        <f t="shared" si="494"/>
        <v>17.82508</v>
      </c>
      <c r="X289" s="6">
        <f t="shared" si="494"/>
        <v>24.131834999999999</v>
      </c>
      <c r="Y289" s="6">
        <f t="shared" si="494"/>
        <v>0.98188999999999993</v>
      </c>
      <c r="Z289" s="6">
        <f t="shared" si="494"/>
        <v>0</v>
      </c>
      <c r="AA289" s="6">
        <f t="shared" si="494"/>
        <v>0.30212</v>
      </c>
      <c r="AB289" s="6">
        <f t="shared" si="494"/>
        <v>0</v>
      </c>
      <c r="AC289" s="67"/>
      <c r="AD289" s="55"/>
    </row>
    <row r="290" spans="1:30" s="52" customFormat="1">
      <c r="A290" s="96" t="s">
        <v>418</v>
      </c>
      <c r="B290" s="181">
        <f>7297.65/2</f>
        <v>3648.8249999999998</v>
      </c>
      <c r="C290" s="211">
        <f>ROUND(B290/12,2)+ROUND(147.15/2,2)</f>
        <v>377.65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71">
        <v>0.92959999999999998</v>
      </c>
      <c r="O290" s="5"/>
      <c r="P290" s="5"/>
      <c r="Q290" s="5"/>
      <c r="R290" s="5"/>
      <c r="S290" s="5"/>
      <c r="T290" s="5"/>
      <c r="U290" s="5"/>
      <c r="V290" s="171">
        <v>7.0400000000000004E-2</v>
      </c>
      <c r="W290" s="5"/>
      <c r="X290" s="5"/>
      <c r="Y290" s="5"/>
      <c r="Z290" s="5"/>
      <c r="AA290" s="5"/>
      <c r="AB290" s="5"/>
      <c r="AC290" s="67"/>
      <c r="AD290" s="55"/>
    </row>
    <row r="291" spans="1:30" s="52" customFormat="1">
      <c r="A291" s="97"/>
      <c r="B291" s="74"/>
      <c r="C291" s="211"/>
      <c r="D291" s="6">
        <f t="shared" ref="D291" si="495">$C290*D290</f>
        <v>0</v>
      </c>
      <c r="E291" s="6">
        <f t="shared" ref="E291" si="496">$C290*E290</f>
        <v>0</v>
      </c>
      <c r="F291" s="6">
        <f t="shared" ref="F291:O291" si="497">$C290*F290</f>
        <v>0</v>
      </c>
      <c r="G291" s="6">
        <f t="shared" si="497"/>
        <v>0</v>
      </c>
      <c r="H291" s="6">
        <f t="shared" si="497"/>
        <v>0</v>
      </c>
      <c r="I291" s="6">
        <f t="shared" si="497"/>
        <v>0</v>
      </c>
      <c r="J291" s="6">
        <f t="shared" si="497"/>
        <v>0</v>
      </c>
      <c r="K291" s="6">
        <f t="shared" si="497"/>
        <v>0</v>
      </c>
      <c r="L291" s="6">
        <f t="shared" si="497"/>
        <v>0</v>
      </c>
      <c r="M291" s="6">
        <f t="shared" si="497"/>
        <v>0</v>
      </c>
      <c r="N291" s="6">
        <f t="shared" si="497"/>
        <v>351.06343999999996</v>
      </c>
      <c r="O291" s="6">
        <f t="shared" si="497"/>
        <v>0</v>
      </c>
      <c r="P291" s="6">
        <f t="shared" ref="P291" si="498">$C290*P290</f>
        <v>0</v>
      </c>
      <c r="Q291" s="6">
        <f t="shared" ref="Q291" si="499">$C290*Q290</f>
        <v>0</v>
      </c>
      <c r="R291" s="6">
        <f t="shared" ref="R291:AB291" si="500">$C290*R290</f>
        <v>0</v>
      </c>
      <c r="S291" s="6">
        <f t="shared" si="500"/>
        <v>0</v>
      </c>
      <c r="T291" s="6">
        <f t="shared" si="500"/>
        <v>0</v>
      </c>
      <c r="U291" s="6">
        <f t="shared" si="500"/>
        <v>0</v>
      </c>
      <c r="V291" s="6">
        <f t="shared" si="500"/>
        <v>26.586559999999999</v>
      </c>
      <c r="W291" s="6">
        <f t="shared" si="500"/>
        <v>0</v>
      </c>
      <c r="X291" s="6">
        <f t="shared" si="500"/>
        <v>0</v>
      </c>
      <c r="Y291" s="6">
        <f t="shared" si="500"/>
        <v>0</v>
      </c>
      <c r="Z291" s="6">
        <f t="shared" si="500"/>
        <v>0</v>
      </c>
      <c r="AA291" s="6">
        <f t="shared" si="500"/>
        <v>0</v>
      </c>
      <c r="AB291" s="6">
        <f t="shared" si="500"/>
        <v>0</v>
      </c>
      <c r="AC291" s="67"/>
      <c r="AD291" s="55"/>
    </row>
    <row r="292" spans="1:30" s="52" customFormat="1">
      <c r="A292" s="96" t="s">
        <v>84</v>
      </c>
      <c r="B292" s="181">
        <v>1523372.08</v>
      </c>
      <c r="C292" s="211">
        <f>ROUND(B292/12,2)+27775.52</f>
        <v>154723.19</v>
      </c>
      <c r="D292" s="10"/>
      <c r="E292" s="10"/>
      <c r="F292" s="10"/>
      <c r="G292" s="10"/>
      <c r="H292" s="10">
        <v>7.5600000000000001E-2</v>
      </c>
      <c r="I292" s="10"/>
      <c r="J292" s="10"/>
      <c r="K292" s="10"/>
      <c r="L292" s="10"/>
      <c r="M292" s="10">
        <v>1.03E-2</v>
      </c>
      <c r="N292" s="10">
        <v>0.78210000000000002</v>
      </c>
      <c r="O292" s="10"/>
      <c r="P292" s="10"/>
      <c r="Q292" s="10"/>
      <c r="R292" s="10">
        <v>7.7000000000000002E-3</v>
      </c>
      <c r="S292" s="10"/>
      <c r="T292" s="10">
        <v>1.3899999999999999E-2</v>
      </c>
      <c r="U292" s="10"/>
      <c r="V292" s="10">
        <v>0.1104</v>
      </c>
      <c r="W292" s="10"/>
      <c r="X292" s="10"/>
      <c r="Y292" s="10"/>
      <c r="Z292" s="10"/>
      <c r="AA292" s="10"/>
      <c r="AB292" s="10"/>
      <c r="AC292" s="67"/>
      <c r="AD292" s="55"/>
    </row>
    <row r="293" spans="1:30" s="52" customFormat="1">
      <c r="A293" s="97"/>
      <c r="B293" s="217"/>
      <c r="C293" s="211"/>
      <c r="D293" s="6">
        <f t="shared" ref="D293" si="501">$C292*D292</f>
        <v>0</v>
      </c>
      <c r="E293" s="6">
        <f t="shared" ref="E293" si="502">$C292*E292</f>
        <v>0</v>
      </c>
      <c r="F293" s="6">
        <f t="shared" ref="F293:AB293" si="503">$C292*F292</f>
        <v>0</v>
      </c>
      <c r="G293" s="6">
        <f t="shared" si="503"/>
        <v>0</v>
      </c>
      <c r="H293" s="6">
        <f t="shared" si="503"/>
        <v>11697.073163999999</v>
      </c>
      <c r="I293" s="6">
        <f t="shared" si="503"/>
        <v>0</v>
      </c>
      <c r="J293" s="6">
        <f t="shared" si="503"/>
        <v>0</v>
      </c>
      <c r="K293" s="6">
        <f t="shared" si="503"/>
        <v>0</v>
      </c>
      <c r="L293" s="6">
        <f t="shared" si="503"/>
        <v>0</v>
      </c>
      <c r="M293" s="6">
        <f t="shared" si="503"/>
        <v>1593.6488570000001</v>
      </c>
      <c r="N293" s="6">
        <f t="shared" si="503"/>
        <v>121009.006899</v>
      </c>
      <c r="O293" s="6">
        <f t="shared" si="503"/>
        <v>0</v>
      </c>
      <c r="P293" s="6">
        <f t="shared" si="503"/>
        <v>0</v>
      </c>
      <c r="Q293" s="6">
        <f t="shared" si="503"/>
        <v>0</v>
      </c>
      <c r="R293" s="6">
        <f t="shared" si="503"/>
        <v>1191.368563</v>
      </c>
      <c r="S293" s="6">
        <f t="shared" si="503"/>
        <v>0</v>
      </c>
      <c r="T293" s="6">
        <f t="shared" si="503"/>
        <v>2150.652341</v>
      </c>
      <c r="U293" s="6">
        <f t="shared" si="503"/>
        <v>0</v>
      </c>
      <c r="V293" s="6">
        <f t="shared" si="503"/>
        <v>17081.440176</v>
      </c>
      <c r="W293" s="6">
        <f t="shared" si="503"/>
        <v>0</v>
      </c>
      <c r="X293" s="6">
        <f t="shared" si="503"/>
        <v>0</v>
      </c>
      <c r="Y293" s="6">
        <f t="shared" si="503"/>
        <v>0</v>
      </c>
      <c r="Z293" s="6">
        <f t="shared" si="503"/>
        <v>0</v>
      </c>
      <c r="AA293" s="6">
        <f t="shared" si="503"/>
        <v>0</v>
      </c>
      <c r="AB293" s="6">
        <f t="shared" si="503"/>
        <v>0</v>
      </c>
      <c r="AC293" s="67"/>
      <c r="AD293" s="55"/>
    </row>
    <row r="294" spans="1:30" s="52" customFormat="1">
      <c r="A294" s="96" t="s">
        <v>85</v>
      </c>
      <c r="B294" s="181">
        <v>119383.23</v>
      </c>
      <c r="C294" s="211">
        <f>ROUND(B294/12,2)+2433.45</f>
        <v>12382.05</v>
      </c>
      <c r="D294" s="10"/>
      <c r="E294" s="10"/>
      <c r="F294" s="10">
        <v>0.3705</v>
      </c>
      <c r="G294" s="10"/>
      <c r="H294" s="10"/>
      <c r="I294" s="10"/>
      <c r="J294" s="10"/>
      <c r="K294" s="10"/>
      <c r="L294" s="10"/>
      <c r="M294" s="10"/>
      <c r="N294" s="10">
        <v>0.62949999999999995</v>
      </c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67"/>
      <c r="AD294" s="55"/>
    </row>
    <row r="295" spans="1:30" s="52" customFormat="1">
      <c r="A295" s="97"/>
      <c r="B295" s="217"/>
      <c r="C295" s="211"/>
      <c r="D295" s="6">
        <f t="shared" ref="D295" si="504">$C294*D294</f>
        <v>0</v>
      </c>
      <c r="E295" s="6">
        <f t="shared" ref="E295" si="505">$C294*E294</f>
        <v>0</v>
      </c>
      <c r="F295" s="6">
        <f t="shared" ref="F295:AB295" si="506">$C294*F294</f>
        <v>4587.5495249999994</v>
      </c>
      <c r="G295" s="6">
        <f t="shared" si="506"/>
        <v>0</v>
      </c>
      <c r="H295" s="6">
        <f t="shared" si="506"/>
        <v>0</v>
      </c>
      <c r="I295" s="6">
        <f t="shared" si="506"/>
        <v>0</v>
      </c>
      <c r="J295" s="6">
        <f t="shared" si="506"/>
        <v>0</v>
      </c>
      <c r="K295" s="6">
        <f t="shared" si="506"/>
        <v>0</v>
      </c>
      <c r="L295" s="6">
        <f t="shared" si="506"/>
        <v>0</v>
      </c>
      <c r="M295" s="6">
        <f t="shared" si="506"/>
        <v>0</v>
      </c>
      <c r="N295" s="6">
        <f t="shared" si="506"/>
        <v>7794.5004749999989</v>
      </c>
      <c r="O295" s="6">
        <f t="shared" si="506"/>
        <v>0</v>
      </c>
      <c r="P295" s="6">
        <f t="shared" si="506"/>
        <v>0</v>
      </c>
      <c r="Q295" s="6">
        <f t="shared" si="506"/>
        <v>0</v>
      </c>
      <c r="R295" s="6">
        <f t="shared" si="506"/>
        <v>0</v>
      </c>
      <c r="S295" s="6">
        <f t="shared" si="506"/>
        <v>0</v>
      </c>
      <c r="T295" s="6">
        <f t="shared" si="506"/>
        <v>0</v>
      </c>
      <c r="U295" s="6">
        <f t="shared" si="506"/>
        <v>0</v>
      </c>
      <c r="V295" s="6">
        <f t="shared" si="506"/>
        <v>0</v>
      </c>
      <c r="W295" s="6">
        <f t="shared" si="506"/>
        <v>0</v>
      </c>
      <c r="X295" s="6">
        <f t="shared" si="506"/>
        <v>0</v>
      </c>
      <c r="Y295" s="6">
        <f t="shared" si="506"/>
        <v>0</v>
      </c>
      <c r="Z295" s="6">
        <f t="shared" si="506"/>
        <v>0</v>
      </c>
      <c r="AA295" s="6">
        <f t="shared" si="506"/>
        <v>0</v>
      </c>
      <c r="AB295" s="6">
        <f t="shared" si="506"/>
        <v>0</v>
      </c>
      <c r="AC295" s="67"/>
      <c r="AD295" s="55"/>
    </row>
    <row r="296" spans="1:30" s="52" customFormat="1">
      <c r="A296" s="96" t="s">
        <v>86</v>
      </c>
      <c r="B296" s="181">
        <f>1610.38/2</f>
        <v>805.19</v>
      </c>
      <c r="C296" s="211">
        <f>ROUND(B296/12,2)+ROUND(32.62/2,2)</f>
        <v>83.41</v>
      </c>
      <c r="D296" s="170">
        <v>1.6500000000000001E-2</v>
      </c>
      <c r="E296" s="170">
        <v>0.1368</v>
      </c>
      <c r="F296" s="170">
        <v>5.7599999999999998E-2</v>
      </c>
      <c r="G296" s="170">
        <v>8.0399999999999999E-2</v>
      </c>
      <c r="H296" s="170">
        <v>4.1099999999999998E-2</v>
      </c>
      <c r="I296" s="170">
        <v>0.13389999999999999</v>
      </c>
      <c r="J296" s="170">
        <v>2.12E-2</v>
      </c>
      <c r="K296" s="170">
        <v>3.2500000000000001E-2</v>
      </c>
      <c r="L296" s="170">
        <v>1.7100000000000001E-2</v>
      </c>
      <c r="M296" s="170">
        <v>2.5999999999999999E-2</v>
      </c>
      <c r="N296" s="170">
        <v>0.13320000000000001</v>
      </c>
      <c r="O296" s="170">
        <v>1.89E-2</v>
      </c>
      <c r="P296" s="170">
        <v>0</v>
      </c>
      <c r="Q296" s="170">
        <v>3.8600000000000002E-2</v>
      </c>
      <c r="R296" s="170">
        <v>1.9E-2</v>
      </c>
      <c r="S296" s="170">
        <v>4.1999999999999997E-3</v>
      </c>
      <c r="T296" s="170">
        <v>5.3999999999999999E-2</v>
      </c>
      <c r="U296" s="170">
        <v>1.78E-2</v>
      </c>
      <c r="V296" s="170">
        <v>3.6700000000000003E-2</v>
      </c>
      <c r="W296" s="170">
        <v>4.7199999999999999E-2</v>
      </c>
      <c r="X296" s="170">
        <v>6.3899999999999998E-2</v>
      </c>
      <c r="Y296" s="170">
        <v>2.5999999999999999E-3</v>
      </c>
      <c r="Z296" s="171">
        <v>0</v>
      </c>
      <c r="AA296" s="171">
        <v>8.0000000000000004E-4</v>
      </c>
      <c r="AB296" s="171">
        <v>0</v>
      </c>
      <c r="AC296" s="67"/>
      <c r="AD296" s="55"/>
    </row>
    <row r="297" spans="1:30" s="52" customFormat="1">
      <c r="A297" s="97"/>
      <c r="B297" s="84"/>
      <c r="C297" s="211"/>
      <c r="D297" s="6">
        <f t="shared" ref="D297" si="507">$C296*D296</f>
        <v>1.3762650000000001</v>
      </c>
      <c r="E297" s="6">
        <f t="shared" ref="E297" si="508">$C296*E296</f>
        <v>11.410487999999999</v>
      </c>
      <c r="F297" s="6">
        <f t="shared" ref="F297:O297" si="509">$C296*F296</f>
        <v>4.8044159999999998</v>
      </c>
      <c r="G297" s="6">
        <f t="shared" si="509"/>
        <v>6.7061639999999993</v>
      </c>
      <c r="H297" s="6">
        <f t="shared" si="509"/>
        <v>3.4281509999999997</v>
      </c>
      <c r="I297" s="6">
        <f t="shared" si="509"/>
        <v>11.168598999999999</v>
      </c>
      <c r="J297" s="6">
        <f t="shared" si="509"/>
        <v>1.768292</v>
      </c>
      <c r="K297" s="6">
        <f t="shared" si="509"/>
        <v>2.7108249999999998</v>
      </c>
      <c r="L297" s="6">
        <f t="shared" si="509"/>
        <v>1.4263109999999999</v>
      </c>
      <c r="M297" s="6">
        <f t="shared" si="509"/>
        <v>2.16866</v>
      </c>
      <c r="N297" s="6">
        <f t="shared" si="509"/>
        <v>11.110212000000001</v>
      </c>
      <c r="O297" s="6">
        <f t="shared" si="509"/>
        <v>1.576449</v>
      </c>
      <c r="P297" s="6">
        <f t="shared" ref="P297" si="510">$C296*P296</f>
        <v>0</v>
      </c>
      <c r="Q297" s="6">
        <f t="shared" ref="Q297" si="511">$C296*Q296</f>
        <v>3.2196259999999999</v>
      </c>
      <c r="R297" s="6">
        <f t="shared" ref="R297:AB297" si="512">$C296*R296</f>
        <v>1.5847899999999999</v>
      </c>
      <c r="S297" s="6">
        <f t="shared" si="512"/>
        <v>0.35032199999999997</v>
      </c>
      <c r="T297" s="6">
        <f t="shared" si="512"/>
        <v>4.5041399999999996</v>
      </c>
      <c r="U297" s="6">
        <f t="shared" si="512"/>
        <v>1.4846979999999999</v>
      </c>
      <c r="V297" s="6">
        <f t="shared" si="512"/>
        <v>3.0611470000000001</v>
      </c>
      <c r="W297" s="6">
        <f t="shared" si="512"/>
        <v>3.9369519999999998</v>
      </c>
      <c r="X297" s="6">
        <f t="shared" si="512"/>
        <v>5.3298989999999993</v>
      </c>
      <c r="Y297" s="6">
        <f t="shared" si="512"/>
        <v>0.21686599999999998</v>
      </c>
      <c r="Z297" s="6">
        <f t="shared" si="512"/>
        <v>0</v>
      </c>
      <c r="AA297" s="6">
        <f t="shared" si="512"/>
        <v>6.6727999999999996E-2</v>
      </c>
      <c r="AB297" s="6">
        <f t="shared" si="512"/>
        <v>0</v>
      </c>
      <c r="AC297" s="67"/>
      <c r="AD297" s="55"/>
    </row>
    <row r="298" spans="1:30" s="52" customFormat="1">
      <c r="A298" s="96" t="s">
        <v>419</v>
      </c>
      <c r="B298" s="181">
        <f>1610.38/2</f>
        <v>805.19</v>
      </c>
      <c r="C298" s="211">
        <f>ROUND(B298/12,2)+ROUND(32.62/2,2)</f>
        <v>83.41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>
        <v>1</v>
      </c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67"/>
      <c r="AD298" s="55"/>
    </row>
    <row r="299" spans="1:30" s="52" customFormat="1">
      <c r="A299" s="97"/>
      <c r="B299" s="74"/>
      <c r="C299" s="211"/>
      <c r="D299" s="6">
        <f t="shared" ref="D299" si="513">$C298*D298</f>
        <v>0</v>
      </c>
      <c r="E299" s="6">
        <f t="shared" ref="E299" si="514">$C298*E298</f>
        <v>0</v>
      </c>
      <c r="F299" s="6">
        <f t="shared" ref="F299:O299" si="515">$C298*F298</f>
        <v>0</v>
      </c>
      <c r="G299" s="6">
        <f t="shared" si="515"/>
        <v>0</v>
      </c>
      <c r="H299" s="6">
        <f t="shared" si="515"/>
        <v>0</v>
      </c>
      <c r="I299" s="6">
        <f t="shared" si="515"/>
        <v>0</v>
      </c>
      <c r="J299" s="6">
        <f t="shared" si="515"/>
        <v>0</v>
      </c>
      <c r="K299" s="6">
        <f t="shared" si="515"/>
        <v>0</v>
      </c>
      <c r="L299" s="6">
        <f t="shared" si="515"/>
        <v>0</v>
      </c>
      <c r="M299" s="6">
        <f t="shared" si="515"/>
        <v>0</v>
      </c>
      <c r="N299" s="6">
        <f t="shared" si="515"/>
        <v>83.41</v>
      </c>
      <c r="O299" s="6">
        <f t="shared" si="515"/>
        <v>0</v>
      </c>
      <c r="P299" s="6">
        <f t="shared" ref="P299" si="516">$C298*P298</f>
        <v>0</v>
      </c>
      <c r="Q299" s="6">
        <f t="shared" ref="Q299" si="517">$C298*Q298</f>
        <v>0</v>
      </c>
      <c r="R299" s="6">
        <f t="shared" ref="R299:AB299" si="518">$C298*R298</f>
        <v>0</v>
      </c>
      <c r="S299" s="6">
        <f t="shared" si="518"/>
        <v>0</v>
      </c>
      <c r="T299" s="6">
        <f t="shared" si="518"/>
        <v>0</v>
      </c>
      <c r="U299" s="6">
        <f t="shared" si="518"/>
        <v>0</v>
      </c>
      <c r="V299" s="6">
        <f t="shared" si="518"/>
        <v>0</v>
      </c>
      <c r="W299" s="6">
        <f t="shared" si="518"/>
        <v>0</v>
      </c>
      <c r="X299" s="6">
        <f t="shared" si="518"/>
        <v>0</v>
      </c>
      <c r="Y299" s="6">
        <f t="shared" si="518"/>
        <v>0</v>
      </c>
      <c r="Z299" s="6">
        <f t="shared" si="518"/>
        <v>0</v>
      </c>
      <c r="AA299" s="6">
        <f t="shared" si="518"/>
        <v>0</v>
      </c>
      <c r="AB299" s="6">
        <f t="shared" si="518"/>
        <v>0</v>
      </c>
      <c r="AC299" s="67"/>
      <c r="AD299" s="55"/>
    </row>
    <row r="300" spans="1:30" s="52" customFormat="1">
      <c r="A300" s="96" t="s">
        <v>87</v>
      </c>
      <c r="B300" s="181">
        <f>1610.38/2</f>
        <v>805.19</v>
      </c>
      <c r="C300" s="211">
        <f>ROUND(B300/12,2)+ROUND(32.62/2,2)</f>
        <v>83.41</v>
      </c>
      <c r="D300" s="170">
        <v>1.6500000000000001E-2</v>
      </c>
      <c r="E300" s="170">
        <v>0.1368</v>
      </c>
      <c r="F300" s="170">
        <v>5.7599999999999998E-2</v>
      </c>
      <c r="G300" s="170">
        <v>8.0399999999999999E-2</v>
      </c>
      <c r="H300" s="170">
        <v>4.1099999999999998E-2</v>
      </c>
      <c r="I300" s="170">
        <v>0.13389999999999999</v>
      </c>
      <c r="J300" s="170">
        <v>2.12E-2</v>
      </c>
      <c r="K300" s="170">
        <v>3.2500000000000001E-2</v>
      </c>
      <c r="L300" s="170">
        <v>1.7100000000000001E-2</v>
      </c>
      <c r="M300" s="170">
        <v>2.5999999999999999E-2</v>
      </c>
      <c r="N300" s="170">
        <v>0.13320000000000001</v>
      </c>
      <c r="O300" s="170">
        <v>1.89E-2</v>
      </c>
      <c r="P300" s="170">
        <v>0</v>
      </c>
      <c r="Q300" s="170">
        <v>3.8600000000000002E-2</v>
      </c>
      <c r="R300" s="170">
        <v>1.9E-2</v>
      </c>
      <c r="S300" s="170">
        <v>4.1999999999999997E-3</v>
      </c>
      <c r="T300" s="170">
        <v>5.3999999999999999E-2</v>
      </c>
      <c r="U300" s="170">
        <v>1.78E-2</v>
      </c>
      <c r="V300" s="170">
        <v>3.6700000000000003E-2</v>
      </c>
      <c r="W300" s="170">
        <v>4.7199999999999999E-2</v>
      </c>
      <c r="X300" s="170">
        <v>6.3899999999999998E-2</v>
      </c>
      <c r="Y300" s="170">
        <v>2.5999999999999999E-3</v>
      </c>
      <c r="Z300" s="171">
        <v>0</v>
      </c>
      <c r="AA300" s="171">
        <v>8.0000000000000004E-4</v>
      </c>
      <c r="AB300" s="171">
        <v>0</v>
      </c>
      <c r="AC300" s="67"/>
      <c r="AD300" s="55"/>
    </row>
    <row r="301" spans="1:30" s="52" customFormat="1">
      <c r="A301" s="97"/>
      <c r="B301" s="84"/>
      <c r="C301" s="211"/>
      <c r="D301" s="6">
        <f t="shared" ref="D301" si="519">$C300*D300</f>
        <v>1.3762650000000001</v>
      </c>
      <c r="E301" s="6">
        <f t="shared" ref="E301" si="520">$C300*E300</f>
        <v>11.410487999999999</v>
      </c>
      <c r="F301" s="6">
        <f t="shared" ref="F301:O301" si="521">$C300*F300</f>
        <v>4.8044159999999998</v>
      </c>
      <c r="G301" s="6">
        <f t="shared" si="521"/>
        <v>6.7061639999999993</v>
      </c>
      <c r="H301" s="6">
        <f t="shared" si="521"/>
        <v>3.4281509999999997</v>
      </c>
      <c r="I301" s="6">
        <f t="shared" si="521"/>
        <v>11.168598999999999</v>
      </c>
      <c r="J301" s="6">
        <f t="shared" si="521"/>
        <v>1.768292</v>
      </c>
      <c r="K301" s="6">
        <f t="shared" si="521"/>
        <v>2.7108249999999998</v>
      </c>
      <c r="L301" s="6">
        <f t="shared" si="521"/>
        <v>1.4263109999999999</v>
      </c>
      <c r="M301" s="6">
        <f t="shared" si="521"/>
        <v>2.16866</v>
      </c>
      <c r="N301" s="6">
        <f t="shared" si="521"/>
        <v>11.110212000000001</v>
      </c>
      <c r="O301" s="6">
        <f t="shared" si="521"/>
        <v>1.576449</v>
      </c>
      <c r="P301" s="6">
        <f t="shared" ref="P301" si="522">$C300*P300</f>
        <v>0</v>
      </c>
      <c r="Q301" s="6">
        <f t="shared" ref="Q301" si="523">$C300*Q300</f>
        <v>3.2196259999999999</v>
      </c>
      <c r="R301" s="6">
        <f t="shared" ref="R301:AB301" si="524">$C300*R300</f>
        <v>1.5847899999999999</v>
      </c>
      <c r="S301" s="6">
        <f t="shared" si="524"/>
        <v>0.35032199999999997</v>
      </c>
      <c r="T301" s="6">
        <f t="shared" si="524"/>
        <v>4.5041399999999996</v>
      </c>
      <c r="U301" s="6">
        <f t="shared" si="524"/>
        <v>1.4846979999999999</v>
      </c>
      <c r="V301" s="6">
        <f t="shared" si="524"/>
        <v>3.0611470000000001</v>
      </c>
      <c r="W301" s="6">
        <f t="shared" si="524"/>
        <v>3.9369519999999998</v>
      </c>
      <c r="X301" s="6">
        <f t="shared" si="524"/>
        <v>5.3298989999999993</v>
      </c>
      <c r="Y301" s="6">
        <f t="shared" si="524"/>
        <v>0.21686599999999998</v>
      </c>
      <c r="Z301" s="6">
        <f t="shared" si="524"/>
        <v>0</v>
      </c>
      <c r="AA301" s="6">
        <f t="shared" si="524"/>
        <v>6.6727999999999996E-2</v>
      </c>
      <c r="AB301" s="6">
        <f t="shared" si="524"/>
        <v>0</v>
      </c>
      <c r="AC301" s="67"/>
      <c r="AD301" s="55"/>
    </row>
    <row r="302" spans="1:30" s="52" customFormat="1">
      <c r="A302" s="96" t="s">
        <v>420</v>
      </c>
      <c r="B302" s="181">
        <f>1610.38/2</f>
        <v>805.19</v>
      </c>
      <c r="C302" s="211">
        <f>ROUND(B302/12,2)+ROUND(32.62/2,2)</f>
        <v>83.41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>
        <v>1</v>
      </c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67"/>
      <c r="AD302" s="55"/>
    </row>
    <row r="303" spans="1:30" s="52" customFormat="1">
      <c r="A303" s="97"/>
      <c r="B303" s="74"/>
      <c r="C303" s="211"/>
      <c r="D303" s="6">
        <f t="shared" ref="D303" si="525">$C302*D302</f>
        <v>0</v>
      </c>
      <c r="E303" s="6">
        <f t="shared" ref="E303" si="526">$C302*E302</f>
        <v>0</v>
      </c>
      <c r="F303" s="6">
        <f t="shared" ref="F303:O303" si="527">$C302*F302</f>
        <v>0</v>
      </c>
      <c r="G303" s="6">
        <f t="shared" si="527"/>
        <v>0</v>
      </c>
      <c r="H303" s="6">
        <f t="shared" si="527"/>
        <v>0</v>
      </c>
      <c r="I303" s="6">
        <f t="shared" si="527"/>
        <v>0</v>
      </c>
      <c r="J303" s="6">
        <f t="shared" si="527"/>
        <v>0</v>
      </c>
      <c r="K303" s="6">
        <f t="shared" si="527"/>
        <v>0</v>
      </c>
      <c r="L303" s="6">
        <f t="shared" si="527"/>
        <v>0</v>
      </c>
      <c r="M303" s="6">
        <f t="shared" si="527"/>
        <v>0</v>
      </c>
      <c r="N303" s="6">
        <f t="shared" si="527"/>
        <v>83.41</v>
      </c>
      <c r="O303" s="6">
        <f t="shared" si="527"/>
        <v>0</v>
      </c>
      <c r="P303" s="6">
        <f t="shared" ref="P303" si="528">$C302*P302</f>
        <v>0</v>
      </c>
      <c r="Q303" s="6">
        <f t="shared" ref="Q303" si="529">$C302*Q302</f>
        <v>0</v>
      </c>
      <c r="R303" s="6">
        <f t="shared" ref="R303:AB303" si="530">$C302*R302</f>
        <v>0</v>
      </c>
      <c r="S303" s="6">
        <f t="shared" si="530"/>
        <v>0</v>
      </c>
      <c r="T303" s="6">
        <f t="shared" si="530"/>
        <v>0</v>
      </c>
      <c r="U303" s="6">
        <f t="shared" si="530"/>
        <v>0</v>
      </c>
      <c r="V303" s="6">
        <f t="shared" si="530"/>
        <v>0</v>
      </c>
      <c r="W303" s="6">
        <f t="shared" si="530"/>
        <v>0</v>
      </c>
      <c r="X303" s="6">
        <f t="shared" si="530"/>
        <v>0</v>
      </c>
      <c r="Y303" s="6">
        <f t="shared" si="530"/>
        <v>0</v>
      </c>
      <c r="Z303" s="6">
        <f t="shared" si="530"/>
        <v>0</v>
      </c>
      <c r="AA303" s="6">
        <f t="shared" si="530"/>
        <v>0</v>
      </c>
      <c r="AB303" s="6">
        <f t="shared" si="530"/>
        <v>0</v>
      </c>
      <c r="AC303" s="67"/>
      <c r="AD303" s="55"/>
    </row>
    <row r="304" spans="1:30" s="52" customFormat="1">
      <c r="A304" s="96" t="s">
        <v>88</v>
      </c>
      <c r="B304" s="181">
        <f>84968.79/2</f>
        <v>42484.394999999997</v>
      </c>
      <c r="C304" s="211">
        <f>ROUND(B304/12,2)+ROUND(1721/2,2)</f>
        <v>4400.87</v>
      </c>
      <c r="D304" s="170">
        <v>1.6500000000000001E-2</v>
      </c>
      <c r="E304" s="170">
        <v>0.1368</v>
      </c>
      <c r="F304" s="170">
        <v>5.7599999999999998E-2</v>
      </c>
      <c r="G304" s="170">
        <v>8.0399999999999999E-2</v>
      </c>
      <c r="H304" s="170">
        <v>4.1099999999999998E-2</v>
      </c>
      <c r="I304" s="170">
        <v>0.13389999999999999</v>
      </c>
      <c r="J304" s="170">
        <v>2.12E-2</v>
      </c>
      <c r="K304" s="170">
        <v>3.2500000000000001E-2</v>
      </c>
      <c r="L304" s="170">
        <v>1.7100000000000001E-2</v>
      </c>
      <c r="M304" s="170">
        <v>2.5999999999999999E-2</v>
      </c>
      <c r="N304" s="170">
        <v>0.13320000000000001</v>
      </c>
      <c r="O304" s="170">
        <v>1.89E-2</v>
      </c>
      <c r="P304" s="170">
        <v>0</v>
      </c>
      <c r="Q304" s="170">
        <v>3.8600000000000002E-2</v>
      </c>
      <c r="R304" s="170">
        <v>1.9E-2</v>
      </c>
      <c r="S304" s="170">
        <v>4.1999999999999997E-3</v>
      </c>
      <c r="T304" s="170">
        <v>5.3999999999999999E-2</v>
      </c>
      <c r="U304" s="170">
        <v>1.78E-2</v>
      </c>
      <c r="V304" s="170">
        <v>3.6700000000000003E-2</v>
      </c>
      <c r="W304" s="170">
        <v>4.7199999999999999E-2</v>
      </c>
      <c r="X304" s="170">
        <v>6.3899999999999998E-2</v>
      </c>
      <c r="Y304" s="170">
        <v>2.5999999999999999E-3</v>
      </c>
      <c r="Z304" s="171">
        <v>0</v>
      </c>
      <c r="AA304" s="171">
        <v>8.0000000000000004E-4</v>
      </c>
      <c r="AB304" s="171">
        <v>0</v>
      </c>
      <c r="AC304" s="67"/>
      <c r="AD304" s="55"/>
    </row>
    <row r="305" spans="1:30" s="52" customFormat="1">
      <c r="A305" s="97"/>
      <c r="B305" s="84"/>
      <c r="C305" s="211"/>
      <c r="D305" s="6">
        <f t="shared" ref="D305" si="531">$C304*D304</f>
        <v>72.614355000000003</v>
      </c>
      <c r="E305" s="6">
        <f t="shared" ref="E305" si="532">$C304*E304</f>
        <v>602.03901600000006</v>
      </c>
      <c r="F305" s="6">
        <f t="shared" ref="F305:O305" si="533">$C304*F304</f>
        <v>253.49011199999998</v>
      </c>
      <c r="G305" s="6">
        <f t="shared" si="533"/>
        <v>353.829948</v>
      </c>
      <c r="H305" s="6">
        <f t="shared" si="533"/>
        <v>180.87575699999999</v>
      </c>
      <c r="I305" s="6">
        <f t="shared" si="533"/>
        <v>589.27649299999996</v>
      </c>
      <c r="J305" s="6">
        <f t="shared" si="533"/>
        <v>93.298444000000003</v>
      </c>
      <c r="K305" s="6">
        <f t="shared" si="533"/>
        <v>143.02827500000001</v>
      </c>
      <c r="L305" s="6">
        <f t="shared" si="533"/>
        <v>75.254877000000008</v>
      </c>
      <c r="M305" s="6">
        <f t="shared" si="533"/>
        <v>114.42261999999999</v>
      </c>
      <c r="N305" s="6">
        <f t="shared" si="533"/>
        <v>586.19588400000009</v>
      </c>
      <c r="O305" s="6">
        <f t="shared" si="533"/>
        <v>83.176442999999992</v>
      </c>
      <c r="P305" s="6">
        <f t="shared" ref="P305" si="534">$C304*P304</f>
        <v>0</v>
      </c>
      <c r="Q305" s="6">
        <f t="shared" ref="Q305" si="535">$C304*Q304</f>
        <v>169.873582</v>
      </c>
      <c r="R305" s="6">
        <f t="shared" ref="R305:AB305" si="536">$C304*R304</f>
        <v>83.616529999999997</v>
      </c>
      <c r="S305" s="6">
        <f t="shared" si="536"/>
        <v>18.483653999999998</v>
      </c>
      <c r="T305" s="6">
        <f t="shared" si="536"/>
        <v>237.64697999999999</v>
      </c>
      <c r="U305" s="6">
        <f t="shared" si="536"/>
        <v>78.335486000000003</v>
      </c>
      <c r="V305" s="6">
        <f t="shared" si="536"/>
        <v>161.51192900000001</v>
      </c>
      <c r="W305" s="6">
        <f t="shared" si="536"/>
        <v>207.72106399999998</v>
      </c>
      <c r="X305" s="6">
        <f t="shared" si="536"/>
        <v>281.21559300000001</v>
      </c>
      <c r="Y305" s="6">
        <f t="shared" si="536"/>
        <v>11.442261999999999</v>
      </c>
      <c r="Z305" s="6">
        <f t="shared" si="536"/>
        <v>0</v>
      </c>
      <c r="AA305" s="6">
        <f t="shared" si="536"/>
        <v>3.520696</v>
      </c>
      <c r="AB305" s="6">
        <f t="shared" si="536"/>
        <v>0</v>
      </c>
      <c r="AC305" s="67"/>
      <c r="AD305" s="55"/>
    </row>
    <row r="306" spans="1:30" s="52" customFormat="1">
      <c r="A306" s="96" t="s">
        <v>421</v>
      </c>
      <c r="B306" s="181">
        <f>84968.79/2</f>
        <v>42484.394999999997</v>
      </c>
      <c r="C306" s="211">
        <f>ROUND(B306/12,2)+ROUND(1721/2,2)</f>
        <v>4400.87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7"/>
      <c r="AD306" s="55"/>
    </row>
    <row r="307" spans="1:30" s="52" customFormat="1">
      <c r="A307" s="97"/>
      <c r="B307" s="74"/>
      <c r="C307" s="211"/>
      <c r="D307" s="6">
        <f t="shared" ref="D307" si="537">$C306*D306</f>
        <v>0</v>
      </c>
      <c r="E307" s="6">
        <f t="shared" ref="E307" si="538">$C306*E306</f>
        <v>0</v>
      </c>
      <c r="F307" s="6">
        <f t="shared" ref="F307:O307" si="539">$C306*F306</f>
        <v>0</v>
      </c>
      <c r="G307" s="6">
        <f t="shared" si="539"/>
        <v>0</v>
      </c>
      <c r="H307" s="6">
        <f t="shared" si="539"/>
        <v>0</v>
      </c>
      <c r="I307" s="6">
        <f t="shared" si="539"/>
        <v>0</v>
      </c>
      <c r="J307" s="6">
        <f t="shared" si="539"/>
        <v>0</v>
      </c>
      <c r="K307" s="6">
        <f t="shared" si="539"/>
        <v>0</v>
      </c>
      <c r="L307" s="6">
        <f t="shared" si="539"/>
        <v>0</v>
      </c>
      <c r="M307" s="6">
        <f t="shared" si="539"/>
        <v>0</v>
      </c>
      <c r="N307" s="6">
        <f t="shared" si="539"/>
        <v>4400.87</v>
      </c>
      <c r="O307" s="6">
        <f t="shared" si="539"/>
        <v>0</v>
      </c>
      <c r="P307" s="6">
        <f t="shared" ref="P307" si="540">$C306*P306</f>
        <v>0</v>
      </c>
      <c r="Q307" s="6">
        <f t="shared" ref="Q307" si="541">$C306*Q306</f>
        <v>0</v>
      </c>
      <c r="R307" s="6">
        <f t="shared" ref="R307:AB307" si="542">$C306*R306</f>
        <v>0</v>
      </c>
      <c r="S307" s="6">
        <f t="shared" si="542"/>
        <v>0</v>
      </c>
      <c r="T307" s="6">
        <f t="shared" si="542"/>
        <v>0</v>
      </c>
      <c r="U307" s="6">
        <f t="shared" si="542"/>
        <v>0</v>
      </c>
      <c r="V307" s="6">
        <f t="shared" si="542"/>
        <v>0</v>
      </c>
      <c r="W307" s="6">
        <f t="shared" si="542"/>
        <v>0</v>
      </c>
      <c r="X307" s="6">
        <f t="shared" si="542"/>
        <v>0</v>
      </c>
      <c r="Y307" s="6">
        <f t="shared" si="542"/>
        <v>0</v>
      </c>
      <c r="Z307" s="6">
        <f t="shared" si="542"/>
        <v>0</v>
      </c>
      <c r="AA307" s="6">
        <f t="shared" si="542"/>
        <v>0</v>
      </c>
      <c r="AB307" s="6">
        <f t="shared" si="542"/>
        <v>0</v>
      </c>
      <c r="AC307" s="67"/>
      <c r="AD307" s="55"/>
    </row>
    <row r="308" spans="1:30" s="52" customFormat="1">
      <c r="A308" s="96" t="s">
        <v>89</v>
      </c>
      <c r="B308" s="181">
        <f>84968.79/2</f>
        <v>42484.394999999997</v>
      </c>
      <c r="C308" s="211">
        <f>ROUND(B308/12,2)+ROUND(1721/2,2)</f>
        <v>4400.87</v>
      </c>
      <c r="D308" s="170">
        <v>1.6500000000000001E-2</v>
      </c>
      <c r="E308" s="170">
        <v>0.1368</v>
      </c>
      <c r="F308" s="170">
        <v>5.7599999999999998E-2</v>
      </c>
      <c r="G308" s="170">
        <v>8.0399999999999999E-2</v>
      </c>
      <c r="H308" s="170">
        <v>4.1099999999999998E-2</v>
      </c>
      <c r="I308" s="170">
        <v>0.13389999999999999</v>
      </c>
      <c r="J308" s="170">
        <v>2.12E-2</v>
      </c>
      <c r="K308" s="170">
        <v>3.2500000000000001E-2</v>
      </c>
      <c r="L308" s="170">
        <v>1.7100000000000001E-2</v>
      </c>
      <c r="M308" s="170">
        <v>2.5999999999999999E-2</v>
      </c>
      <c r="N308" s="170">
        <v>0.13320000000000001</v>
      </c>
      <c r="O308" s="170">
        <v>1.89E-2</v>
      </c>
      <c r="P308" s="170">
        <v>0</v>
      </c>
      <c r="Q308" s="170">
        <v>3.8600000000000002E-2</v>
      </c>
      <c r="R308" s="170">
        <v>1.9E-2</v>
      </c>
      <c r="S308" s="170">
        <v>4.1999999999999997E-3</v>
      </c>
      <c r="T308" s="170">
        <v>5.3999999999999999E-2</v>
      </c>
      <c r="U308" s="170">
        <v>1.78E-2</v>
      </c>
      <c r="V308" s="170">
        <v>3.6700000000000003E-2</v>
      </c>
      <c r="W308" s="170">
        <v>4.7199999999999999E-2</v>
      </c>
      <c r="X308" s="170">
        <v>6.3899999999999998E-2</v>
      </c>
      <c r="Y308" s="170">
        <v>2.5999999999999999E-3</v>
      </c>
      <c r="Z308" s="171">
        <v>0</v>
      </c>
      <c r="AA308" s="171">
        <v>8.0000000000000004E-4</v>
      </c>
      <c r="AB308" s="171">
        <v>0</v>
      </c>
      <c r="AC308" s="67"/>
      <c r="AD308" s="55"/>
    </row>
    <row r="309" spans="1:30" s="52" customFormat="1">
      <c r="A309" s="97"/>
      <c r="B309" s="75"/>
      <c r="C309" s="211"/>
      <c r="D309" s="6">
        <f t="shared" ref="D309" si="543">$C308*D308</f>
        <v>72.614355000000003</v>
      </c>
      <c r="E309" s="6">
        <f t="shared" ref="E309" si="544">$C308*E308</f>
        <v>602.03901600000006</v>
      </c>
      <c r="F309" s="6">
        <f t="shared" ref="F309:O309" si="545">$C308*F308</f>
        <v>253.49011199999998</v>
      </c>
      <c r="G309" s="6">
        <f t="shared" si="545"/>
        <v>353.829948</v>
      </c>
      <c r="H309" s="6">
        <f t="shared" si="545"/>
        <v>180.87575699999999</v>
      </c>
      <c r="I309" s="6">
        <f t="shared" si="545"/>
        <v>589.27649299999996</v>
      </c>
      <c r="J309" s="6">
        <f t="shared" si="545"/>
        <v>93.298444000000003</v>
      </c>
      <c r="K309" s="6">
        <f t="shared" si="545"/>
        <v>143.02827500000001</v>
      </c>
      <c r="L309" s="6">
        <f t="shared" si="545"/>
        <v>75.254877000000008</v>
      </c>
      <c r="M309" s="6">
        <f t="shared" si="545"/>
        <v>114.42261999999999</v>
      </c>
      <c r="N309" s="6">
        <f t="shared" si="545"/>
        <v>586.19588400000009</v>
      </c>
      <c r="O309" s="6">
        <f t="shared" si="545"/>
        <v>83.176442999999992</v>
      </c>
      <c r="P309" s="6">
        <f t="shared" ref="P309" si="546">$C308*P308</f>
        <v>0</v>
      </c>
      <c r="Q309" s="6">
        <f t="shared" ref="Q309" si="547">$C308*Q308</f>
        <v>169.873582</v>
      </c>
      <c r="R309" s="6">
        <f t="shared" ref="R309:AB309" si="548">$C308*R308</f>
        <v>83.616529999999997</v>
      </c>
      <c r="S309" s="6">
        <f t="shared" si="548"/>
        <v>18.483653999999998</v>
      </c>
      <c r="T309" s="6">
        <f t="shared" si="548"/>
        <v>237.64697999999999</v>
      </c>
      <c r="U309" s="6">
        <f t="shared" si="548"/>
        <v>78.335486000000003</v>
      </c>
      <c r="V309" s="6">
        <f t="shared" si="548"/>
        <v>161.51192900000001</v>
      </c>
      <c r="W309" s="6">
        <f t="shared" si="548"/>
        <v>207.72106399999998</v>
      </c>
      <c r="X309" s="6">
        <f t="shared" si="548"/>
        <v>281.21559300000001</v>
      </c>
      <c r="Y309" s="6">
        <f t="shared" si="548"/>
        <v>11.442261999999999</v>
      </c>
      <c r="Z309" s="6">
        <f t="shared" si="548"/>
        <v>0</v>
      </c>
      <c r="AA309" s="6">
        <f t="shared" si="548"/>
        <v>3.520696</v>
      </c>
      <c r="AB309" s="6">
        <f t="shared" si="548"/>
        <v>0</v>
      </c>
      <c r="AC309" s="67"/>
      <c r="AD309" s="55"/>
    </row>
    <row r="310" spans="1:30" s="52" customFormat="1">
      <c r="A310" s="96" t="s">
        <v>422</v>
      </c>
      <c r="B310" s="181">
        <f>84968.79/2</f>
        <v>42484.394999999997</v>
      </c>
      <c r="C310" s="211">
        <f>ROUND(B310/12,2)+ROUND(1721/2,2)</f>
        <v>4400.87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>
        <v>1</v>
      </c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67"/>
      <c r="AD310" s="55"/>
    </row>
    <row r="311" spans="1:30" s="52" customFormat="1">
      <c r="A311" s="97"/>
      <c r="B311" s="74"/>
      <c r="C311" s="211"/>
      <c r="D311" s="6">
        <f t="shared" ref="D311" si="549">$C310*D310</f>
        <v>0</v>
      </c>
      <c r="E311" s="6">
        <f t="shared" ref="E311" si="550">$C310*E310</f>
        <v>0</v>
      </c>
      <c r="F311" s="6">
        <f t="shared" ref="F311:O311" si="551">$C310*F310</f>
        <v>0</v>
      </c>
      <c r="G311" s="6">
        <f t="shared" si="551"/>
        <v>0</v>
      </c>
      <c r="H311" s="6">
        <f t="shared" si="551"/>
        <v>0</v>
      </c>
      <c r="I311" s="6">
        <f t="shared" si="551"/>
        <v>0</v>
      </c>
      <c r="J311" s="6">
        <f t="shared" si="551"/>
        <v>0</v>
      </c>
      <c r="K311" s="6">
        <f t="shared" si="551"/>
        <v>0</v>
      </c>
      <c r="L311" s="6">
        <f t="shared" si="551"/>
        <v>0</v>
      </c>
      <c r="M311" s="6">
        <f t="shared" si="551"/>
        <v>0</v>
      </c>
      <c r="N311" s="6">
        <f t="shared" si="551"/>
        <v>4400.87</v>
      </c>
      <c r="O311" s="6">
        <f t="shared" si="551"/>
        <v>0</v>
      </c>
      <c r="P311" s="6">
        <f t="shared" ref="P311" si="552">$C310*P310</f>
        <v>0</v>
      </c>
      <c r="Q311" s="6">
        <f t="shared" ref="Q311" si="553">$C310*Q310</f>
        <v>0</v>
      </c>
      <c r="R311" s="6">
        <f t="shared" ref="R311:AB311" si="554">$C310*R310</f>
        <v>0</v>
      </c>
      <c r="S311" s="6">
        <f t="shared" si="554"/>
        <v>0</v>
      </c>
      <c r="T311" s="6">
        <f t="shared" si="554"/>
        <v>0</v>
      </c>
      <c r="U311" s="6">
        <f t="shared" si="554"/>
        <v>0</v>
      </c>
      <c r="V311" s="6">
        <f t="shared" si="554"/>
        <v>0</v>
      </c>
      <c r="W311" s="6">
        <f t="shared" si="554"/>
        <v>0</v>
      </c>
      <c r="X311" s="6">
        <f t="shared" si="554"/>
        <v>0</v>
      </c>
      <c r="Y311" s="6">
        <f t="shared" si="554"/>
        <v>0</v>
      </c>
      <c r="Z311" s="6">
        <f t="shared" si="554"/>
        <v>0</v>
      </c>
      <c r="AA311" s="6">
        <f t="shared" si="554"/>
        <v>0</v>
      </c>
      <c r="AB311" s="6">
        <f t="shared" si="554"/>
        <v>0</v>
      </c>
      <c r="AC311" s="67"/>
      <c r="AD311" s="55"/>
    </row>
    <row r="312" spans="1:30" s="52" customFormat="1">
      <c r="A312" s="96" t="s">
        <v>178</v>
      </c>
      <c r="B312" s="181">
        <v>1816682.76</v>
      </c>
      <c r="C312" s="211">
        <f>ROUND(B312/12,2)+32887.37</f>
        <v>184277.6</v>
      </c>
      <c r="D312" s="37">
        <v>2.2000000000000001E-3</v>
      </c>
      <c r="E312" s="37"/>
      <c r="F312" s="37"/>
      <c r="G312" s="37"/>
      <c r="H312" s="37">
        <v>7.9000000000000001E-2</v>
      </c>
      <c r="I312" s="37"/>
      <c r="J312" s="37"/>
      <c r="K312" s="37"/>
      <c r="L312" s="37"/>
      <c r="M312" s="37">
        <v>5.8999999999999999E-3</v>
      </c>
      <c r="N312" s="37">
        <v>0.75580000000000003</v>
      </c>
      <c r="O312" s="37"/>
      <c r="P312" s="37"/>
      <c r="Q312" s="37"/>
      <c r="R312" s="37">
        <v>2.2000000000000001E-3</v>
      </c>
      <c r="S312" s="37"/>
      <c r="T312" s="37">
        <v>7.3000000000000001E-3</v>
      </c>
      <c r="U312" s="37"/>
      <c r="V312" s="37">
        <v>0.14760000000000001</v>
      </c>
      <c r="W312" s="37"/>
      <c r="X312" s="37"/>
      <c r="Y312" s="37"/>
      <c r="Z312" s="37"/>
      <c r="AA312" s="37"/>
      <c r="AB312" s="37"/>
      <c r="AC312" s="67"/>
      <c r="AD312" s="55"/>
    </row>
    <row r="313" spans="1:30" s="52" customFormat="1">
      <c r="A313" s="97"/>
      <c r="B313" s="217"/>
      <c r="C313" s="211"/>
      <c r="D313" s="6">
        <f t="shared" ref="D313" si="555">$C312*D312</f>
        <v>405.41072000000003</v>
      </c>
      <c r="E313" s="6">
        <f t="shared" ref="E313" si="556">$C312*E312</f>
        <v>0</v>
      </c>
      <c r="F313" s="6">
        <f t="shared" ref="F313:AB313" si="557">$C312*F312</f>
        <v>0</v>
      </c>
      <c r="G313" s="6">
        <f t="shared" si="557"/>
        <v>0</v>
      </c>
      <c r="H313" s="6">
        <f t="shared" si="557"/>
        <v>14557.930400000001</v>
      </c>
      <c r="I313" s="6">
        <f t="shared" si="557"/>
        <v>0</v>
      </c>
      <c r="J313" s="6">
        <f t="shared" si="557"/>
        <v>0</v>
      </c>
      <c r="K313" s="6">
        <f t="shared" si="557"/>
        <v>0</v>
      </c>
      <c r="L313" s="6">
        <f t="shared" si="557"/>
        <v>0</v>
      </c>
      <c r="M313" s="6">
        <f t="shared" si="557"/>
        <v>1087.23784</v>
      </c>
      <c r="N313" s="6">
        <f t="shared" si="557"/>
        <v>139277.01008000001</v>
      </c>
      <c r="O313" s="6">
        <f t="shared" si="557"/>
        <v>0</v>
      </c>
      <c r="P313" s="6">
        <f t="shared" si="557"/>
        <v>0</v>
      </c>
      <c r="Q313" s="6">
        <f t="shared" si="557"/>
        <v>0</v>
      </c>
      <c r="R313" s="6">
        <f t="shared" si="557"/>
        <v>405.41072000000003</v>
      </c>
      <c r="S313" s="6">
        <f t="shared" si="557"/>
        <v>0</v>
      </c>
      <c r="T313" s="6">
        <f t="shared" si="557"/>
        <v>1345.22648</v>
      </c>
      <c r="U313" s="6">
        <f t="shared" si="557"/>
        <v>0</v>
      </c>
      <c r="V313" s="6">
        <f t="shared" si="557"/>
        <v>27199.373760000002</v>
      </c>
      <c r="W313" s="6">
        <f t="shared" si="557"/>
        <v>0</v>
      </c>
      <c r="X313" s="6">
        <f t="shared" si="557"/>
        <v>0</v>
      </c>
      <c r="Y313" s="6">
        <f t="shared" si="557"/>
        <v>0</v>
      </c>
      <c r="Z313" s="6">
        <f t="shared" si="557"/>
        <v>0</v>
      </c>
      <c r="AA313" s="6">
        <f t="shared" si="557"/>
        <v>0</v>
      </c>
      <c r="AB313" s="6">
        <f t="shared" si="557"/>
        <v>0</v>
      </c>
      <c r="AC313" s="67"/>
      <c r="AD313" s="55"/>
    </row>
    <row r="314" spans="1:30" s="52" customFormat="1">
      <c r="A314" s="96" t="s">
        <v>179</v>
      </c>
      <c r="B314" s="181">
        <f>149937.53/2</f>
        <v>74968.764999999999</v>
      </c>
      <c r="C314" s="211">
        <f>ROUND(B314/12,2)+ROUND(3048.8/2,2)</f>
        <v>7771.7999999999993</v>
      </c>
      <c r="D314" s="170">
        <v>1.6500000000000001E-2</v>
      </c>
      <c r="E314" s="170">
        <v>0.1368</v>
      </c>
      <c r="F314" s="170">
        <v>5.7599999999999998E-2</v>
      </c>
      <c r="G314" s="170">
        <v>8.0399999999999999E-2</v>
      </c>
      <c r="H314" s="170">
        <v>4.1099999999999998E-2</v>
      </c>
      <c r="I314" s="170">
        <v>0.13389999999999999</v>
      </c>
      <c r="J314" s="170">
        <v>2.12E-2</v>
      </c>
      <c r="K314" s="170">
        <v>3.2500000000000001E-2</v>
      </c>
      <c r="L314" s="170">
        <v>1.7100000000000001E-2</v>
      </c>
      <c r="M314" s="170">
        <v>2.5999999999999999E-2</v>
      </c>
      <c r="N314" s="170">
        <v>0.13320000000000001</v>
      </c>
      <c r="O314" s="170">
        <v>1.89E-2</v>
      </c>
      <c r="P314" s="170">
        <v>0</v>
      </c>
      <c r="Q314" s="170">
        <v>3.8600000000000002E-2</v>
      </c>
      <c r="R314" s="170">
        <v>1.9E-2</v>
      </c>
      <c r="S314" s="170">
        <v>4.1999999999999997E-3</v>
      </c>
      <c r="T314" s="170">
        <v>5.3999999999999999E-2</v>
      </c>
      <c r="U314" s="170">
        <v>1.78E-2</v>
      </c>
      <c r="V314" s="170">
        <v>3.6700000000000003E-2</v>
      </c>
      <c r="W314" s="170">
        <v>4.7199999999999999E-2</v>
      </c>
      <c r="X314" s="170">
        <v>6.3899999999999998E-2</v>
      </c>
      <c r="Y314" s="170">
        <v>2.5999999999999999E-3</v>
      </c>
      <c r="Z314" s="171">
        <v>0</v>
      </c>
      <c r="AA314" s="171">
        <v>8.0000000000000004E-4</v>
      </c>
      <c r="AB314" s="171">
        <v>0</v>
      </c>
      <c r="AC314" s="67"/>
      <c r="AD314" s="55"/>
    </row>
    <row r="315" spans="1:30" s="52" customFormat="1">
      <c r="A315" s="97"/>
      <c r="B315" s="84"/>
      <c r="C315" s="211"/>
      <c r="D315" s="6">
        <f t="shared" ref="D315" si="558">$C314*D314</f>
        <v>128.2347</v>
      </c>
      <c r="E315" s="6">
        <f t="shared" ref="E315" si="559">$C314*E314</f>
        <v>1063.1822399999999</v>
      </c>
      <c r="F315" s="6">
        <f t="shared" ref="F315:O315" si="560">$C314*F314</f>
        <v>447.65567999999996</v>
      </c>
      <c r="G315" s="6">
        <f t="shared" si="560"/>
        <v>624.85271999999998</v>
      </c>
      <c r="H315" s="6">
        <f t="shared" si="560"/>
        <v>319.42097999999993</v>
      </c>
      <c r="I315" s="6">
        <f t="shared" si="560"/>
        <v>1040.6440199999997</v>
      </c>
      <c r="J315" s="6">
        <f t="shared" si="560"/>
        <v>164.76215999999999</v>
      </c>
      <c r="K315" s="6">
        <f t="shared" si="560"/>
        <v>252.58349999999999</v>
      </c>
      <c r="L315" s="6">
        <f t="shared" si="560"/>
        <v>132.89777999999998</v>
      </c>
      <c r="M315" s="6">
        <f t="shared" si="560"/>
        <v>202.06679999999997</v>
      </c>
      <c r="N315" s="6">
        <f t="shared" si="560"/>
        <v>1035.2037600000001</v>
      </c>
      <c r="O315" s="6">
        <f t="shared" si="560"/>
        <v>146.88701999999998</v>
      </c>
      <c r="P315" s="6">
        <f t="shared" ref="P315" si="561">$C314*P314</f>
        <v>0</v>
      </c>
      <c r="Q315" s="6">
        <f t="shared" ref="Q315" si="562">$C314*Q314</f>
        <v>299.99147999999997</v>
      </c>
      <c r="R315" s="6">
        <f t="shared" ref="R315:AB315" si="563">$C314*R314</f>
        <v>147.66419999999999</v>
      </c>
      <c r="S315" s="6">
        <f t="shared" si="563"/>
        <v>32.641559999999998</v>
      </c>
      <c r="T315" s="6">
        <f t="shared" si="563"/>
        <v>419.67719999999997</v>
      </c>
      <c r="U315" s="6">
        <f t="shared" si="563"/>
        <v>138.33803999999998</v>
      </c>
      <c r="V315" s="6">
        <f t="shared" si="563"/>
        <v>285.22505999999998</v>
      </c>
      <c r="W315" s="6">
        <f t="shared" si="563"/>
        <v>366.82895999999994</v>
      </c>
      <c r="X315" s="6">
        <f t="shared" si="563"/>
        <v>496.61801999999994</v>
      </c>
      <c r="Y315" s="6">
        <f t="shared" si="563"/>
        <v>20.206679999999999</v>
      </c>
      <c r="Z315" s="6">
        <f t="shared" si="563"/>
        <v>0</v>
      </c>
      <c r="AA315" s="6">
        <f t="shared" si="563"/>
        <v>6.2174399999999999</v>
      </c>
      <c r="AB315" s="6">
        <f t="shared" si="563"/>
        <v>0</v>
      </c>
      <c r="AC315" s="67"/>
      <c r="AD315" s="55"/>
    </row>
    <row r="316" spans="1:30" s="52" customFormat="1">
      <c r="A316" s="96" t="s">
        <v>423</v>
      </c>
      <c r="B316" s="181">
        <f>149937.53/2</f>
        <v>74968.764999999999</v>
      </c>
      <c r="C316" s="211">
        <f>ROUND(B316/12,2)+ROUND(3048.8/2,2)</f>
        <v>7771.7999999999993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>
        <v>1</v>
      </c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67"/>
      <c r="AD316" s="55"/>
    </row>
    <row r="317" spans="1:30" s="52" customFormat="1">
      <c r="A317" s="97"/>
      <c r="B317" s="74"/>
      <c r="C317" s="211"/>
      <c r="D317" s="6">
        <f t="shared" ref="D317" si="564">$C316*D316</f>
        <v>0</v>
      </c>
      <c r="E317" s="6">
        <f t="shared" ref="E317" si="565">$C316*E316</f>
        <v>0</v>
      </c>
      <c r="F317" s="6">
        <f t="shared" ref="F317:O317" si="566">$C316*F316</f>
        <v>0</v>
      </c>
      <c r="G317" s="6">
        <f t="shared" si="566"/>
        <v>0</v>
      </c>
      <c r="H317" s="6">
        <f t="shared" si="566"/>
        <v>0</v>
      </c>
      <c r="I317" s="6">
        <f t="shared" si="566"/>
        <v>0</v>
      </c>
      <c r="J317" s="6">
        <f t="shared" si="566"/>
        <v>0</v>
      </c>
      <c r="K317" s="6">
        <f t="shared" si="566"/>
        <v>0</v>
      </c>
      <c r="L317" s="6">
        <f t="shared" si="566"/>
        <v>0</v>
      </c>
      <c r="M317" s="6">
        <f t="shared" si="566"/>
        <v>0</v>
      </c>
      <c r="N317" s="6">
        <f t="shared" si="566"/>
        <v>7771.7999999999993</v>
      </c>
      <c r="O317" s="6">
        <f t="shared" si="566"/>
        <v>0</v>
      </c>
      <c r="P317" s="6">
        <f t="shared" ref="P317" si="567">$C316*P316</f>
        <v>0</v>
      </c>
      <c r="Q317" s="6">
        <f t="shared" ref="Q317" si="568">$C316*Q316</f>
        <v>0</v>
      </c>
      <c r="R317" s="6">
        <f t="shared" ref="R317:AB317" si="569">$C316*R316</f>
        <v>0</v>
      </c>
      <c r="S317" s="6">
        <f t="shared" si="569"/>
        <v>0</v>
      </c>
      <c r="T317" s="6">
        <f t="shared" si="569"/>
        <v>0</v>
      </c>
      <c r="U317" s="6">
        <f t="shared" si="569"/>
        <v>0</v>
      </c>
      <c r="V317" s="6">
        <f t="shared" si="569"/>
        <v>0</v>
      </c>
      <c r="W317" s="6">
        <f t="shared" si="569"/>
        <v>0</v>
      </c>
      <c r="X317" s="6">
        <f t="shared" si="569"/>
        <v>0</v>
      </c>
      <c r="Y317" s="6">
        <f t="shared" si="569"/>
        <v>0</v>
      </c>
      <c r="Z317" s="6">
        <f t="shared" si="569"/>
        <v>0</v>
      </c>
      <c r="AA317" s="6">
        <f t="shared" si="569"/>
        <v>0</v>
      </c>
      <c r="AB317" s="6">
        <f t="shared" si="569"/>
        <v>0</v>
      </c>
      <c r="AC317" s="67"/>
      <c r="AD317" s="55"/>
    </row>
    <row r="318" spans="1:30" s="52" customFormat="1">
      <c r="A318" s="99" t="s">
        <v>180</v>
      </c>
      <c r="B318" s="181">
        <v>3988397.54</v>
      </c>
      <c r="C318" s="211">
        <f>ROUND(B318/12,2)+81474.49</f>
        <v>413840.95</v>
      </c>
      <c r="D318" s="5"/>
      <c r="E318" s="5"/>
      <c r="F318" s="5"/>
      <c r="G318" s="5"/>
      <c r="H318" s="5">
        <v>8.5000000000000006E-3</v>
      </c>
      <c r="I318" s="5"/>
      <c r="J318" s="5"/>
      <c r="K318" s="5"/>
      <c r="L318" s="5"/>
      <c r="M318" s="5"/>
      <c r="N318" s="5">
        <v>0.97960000000000003</v>
      </c>
      <c r="O318" s="5"/>
      <c r="P318" s="5"/>
      <c r="Q318" s="5"/>
      <c r="R318" s="5"/>
      <c r="S318" s="5"/>
      <c r="T318" s="5"/>
      <c r="U318" s="5"/>
      <c r="V318" s="5">
        <v>1.1900000000000001E-2</v>
      </c>
      <c r="W318" s="5"/>
      <c r="X318" s="5"/>
      <c r="Y318" s="5"/>
      <c r="Z318" s="5"/>
      <c r="AA318" s="5"/>
      <c r="AB318" s="5"/>
      <c r="AC318" s="67"/>
      <c r="AD318" s="55"/>
    </row>
    <row r="319" spans="1:30" s="52" customFormat="1">
      <c r="A319" s="97"/>
      <c r="B319" s="217"/>
      <c r="C319" s="211"/>
      <c r="D319" s="6">
        <f>$C318*D318</f>
        <v>0</v>
      </c>
      <c r="E319" s="6">
        <f t="shared" ref="E319" si="570">$C318*E318</f>
        <v>0</v>
      </c>
      <c r="F319" s="6">
        <f t="shared" ref="F319" si="571">$C318*F318</f>
        <v>0</v>
      </c>
      <c r="G319" s="6">
        <f t="shared" ref="G319:AB319" si="572">$C318*G318</f>
        <v>0</v>
      </c>
      <c r="H319" s="6">
        <f t="shared" si="572"/>
        <v>3517.6480750000005</v>
      </c>
      <c r="I319" s="6">
        <f t="shared" si="572"/>
        <v>0</v>
      </c>
      <c r="J319" s="6">
        <f t="shared" si="572"/>
        <v>0</v>
      </c>
      <c r="K319" s="6">
        <f t="shared" si="572"/>
        <v>0</v>
      </c>
      <c r="L319" s="6">
        <f t="shared" si="572"/>
        <v>0</v>
      </c>
      <c r="M319" s="6">
        <f t="shared" si="572"/>
        <v>0</v>
      </c>
      <c r="N319" s="6">
        <f t="shared" si="572"/>
        <v>405398.59462000005</v>
      </c>
      <c r="O319" s="6">
        <f t="shared" si="572"/>
        <v>0</v>
      </c>
      <c r="P319" s="6">
        <f t="shared" si="572"/>
        <v>0</v>
      </c>
      <c r="Q319" s="6">
        <f t="shared" si="572"/>
        <v>0</v>
      </c>
      <c r="R319" s="6">
        <f t="shared" si="572"/>
        <v>0</v>
      </c>
      <c r="S319" s="6">
        <f t="shared" si="572"/>
        <v>0</v>
      </c>
      <c r="T319" s="6">
        <f t="shared" si="572"/>
        <v>0</v>
      </c>
      <c r="U319" s="6">
        <f t="shared" si="572"/>
        <v>0</v>
      </c>
      <c r="V319" s="6">
        <f t="shared" si="572"/>
        <v>4924.7073050000008</v>
      </c>
      <c r="W319" s="6">
        <f t="shared" si="572"/>
        <v>0</v>
      </c>
      <c r="X319" s="6">
        <f t="shared" si="572"/>
        <v>0</v>
      </c>
      <c r="Y319" s="6">
        <f t="shared" si="572"/>
        <v>0</v>
      </c>
      <c r="Z319" s="6">
        <f t="shared" si="572"/>
        <v>0</v>
      </c>
      <c r="AA319" s="6">
        <f t="shared" si="572"/>
        <v>0</v>
      </c>
      <c r="AB319" s="6">
        <f t="shared" si="572"/>
        <v>0</v>
      </c>
      <c r="AC319" s="67"/>
      <c r="AD319" s="55"/>
    </row>
    <row r="320" spans="1:30" s="52" customFormat="1">
      <c r="A320" s="96" t="s">
        <v>181</v>
      </c>
      <c r="B320" s="181">
        <f>418240.26/2</f>
        <v>209120.13</v>
      </c>
      <c r="C320" s="211">
        <f>ROUND(B320/12,2)+ROUND(8483.26/2,2)</f>
        <v>21668.31</v>
      </c>
      <c r="D320" s="170">
        <v>1.6500000000000001E-2</v>
      </c>
      <c r="E320" s="170">
        <v>0.1368</v>
      </c>
      <c r="F320" s="170">
        <v>5.7599999999999998E-2</v>
      </c>
      <c r="G320" s="170">
        <v>8.0399999999999999E-2</v>
      </c>
      <c r="H320" s="170">
        <v>4.1099999999999998E-2</v>
      </c>
      <c r="I320" s="170">
        <v>0.13389999999999999</v>
      </c>
      <c r="J320" s="170">
        <v>2.12E-2</v>
      </c>
      <c r="K320" s="170">
        <v>3.2500000000000001E-2</v>
      </c>
      <c r="L320" s="170">
        <v>1.7100000000000001E-2</v>
      </c>
      <c r="M320" s="170">
        <v>2.5999999999999999E-2</v>
      </c>
      <c r="N320" s="170">
        <v>0.13320000000000001</v>
      </c>
      <c r="O320" s="170">
        <v>1.89E-2</v>
      </c>
      <c r="P320" s="170">
        <v>0</v>
      </c>
      <c r="Q320" s="170">
        <v>3.8600000000000002E-2</v>
      </c>
      <c r="R320" s="170">
        <v>1.9E-2</v>
      </c>
      <c r="S320" s="170">
        <v>4.1999999999999997E-3</v>
      </c>
      <c r="T320" s="170">
        <v>5.3999999999999999E-2</v>
      </c>
      <c r="U320" s="170">
        <v>1.78E-2</v>
      </c>
      <c r="V320" s="170">
        <v>3.6700000000000003E-2</v>
      </c>
      <c r="W320" s="170">
        <v>4.7199999999999999E-2</v>
      </c>
      <c r="X320" s="170">
        <v>6.3899999999999998E-2</v>
      </c>
      <c r="Y320" s="170">
        <v>2.5999999999999999E-3</v>
      </c>
      <c r="Z320" s="171">
        <v>0</v>
      </c>
      <c r="AA320" s="171">
        <v>8.0000000000000004E-4</v>
      </c>
      <c r="AB320" s="171">
        <v>0</v>
      </c>
      <c r="AC320" s="67"/>
      <c r="AD320" s="55"/>
    </row>
    <row r="321" spans="1:30" s="52" customFormat="1">
      <c r="A321" s="97"/>
      <c r="B321" s="84"/>
      <c r="C321" s="211"/>
      <c r="D321" s="6">
        <f t="shared" ref="D321" si="573">$C320*D320</f>
        <v>357.52711500000004</v>
      </c>
      <c r="E321" s="6">
        <f t="shared" ref="E321" si="574">$C320*E320</f>
        <v>2964.2248080000004</v>
      </c>
      <c r="F321" s="6">
        <f t="shared" ref="F321:O321" si="575">$C320*F320</f>
        <v>1248.094656</v>
      </c>
      <c r="G321" s="6">
        <f t="shared" si="575"/>
        <v>1742.132124</v>
      </c>
      <c r="H321" s="6">
        <f t="shared" si="575"/>
        <v>890.56754100000001</v>
      </c>
      <c r="I321" s="6">
        <f t="shared" si="575"/>
        <v>2901.3867089999999</v>
      </c>
      <c r="J321" s="6">
        <f t="shared" si="575"/>
        <v>459.36817200000002</v>
      </c>
      <c r="K321" s="6">
        <f t="shared" si="575"/>
        <v>704.22007500000007</v>
      </c>
      <c r="L321" s="6">
        <f t="shared" si="575"/>
        <v>370.52810100000005</v>
      </c>
      <c r="M321" s="6">
        <f t="shared" si="575"/>
        <v>563.37606000000005</v>
      </c>
      <c r="N321" s="6">
        <f t="shared" si="575"/>
        <v>2886.2188920000003</v>
      </c>
      <c r="O321" s="6">
        <f t="shared" si="575"/>
        <v>409.53105900000003</v>
      </c>
      <c r="P321" s="6">
        <f t="shared" ref="P321" si="576">$C320*P320</f>
        <v>0</v>
      </c>
      <c r="Q321" s="6">
        <f t="shared" ref="Q321" si="577">$C320*Q320</f>
        <v>836.39676600000007</v>
      </c>
      <c r="R321" s="6">
        <f t="shared" ref="R321:AB321" si="578">$C320*R320</f>
        <v>411.69789000000003</v>
      </c>
      <c r="S321" s="6">
        <f t="shared" si="578"/>
        <v>91.006901999999997</v>
      </c>
      <c r="T321" s="6">
        <f t="shared" si="578"/>
        <v>1170.0887400000001</v>
      </c>
      <c r="U321" s="6">
        <f t="shared" si="578"/>
        <v>385.69591800000001</v>
      </c>
      <c r="V321" s="6">
        <f t="shared" si="578"/>
        <v>795.22697700000015</v>
      </c>
      <c r="W321" s="6">
        <f t="shared" si="578"/>
        <v>1022.744232</v>
      </c>
      <c r="X321" s="6">
        <f t="shared" si="578"/>
        <v>1384.6050090000001</v>
      </c>
      <c r="Y321" s="6">
        <f t="shared" si="578"/>
        <v>56.337606000000001</v>
      </c>
      <c r="Z321" s="6">
        <f t="shared" si="578"/>
        <v>0</v>
      </c>
      <c r="AA321" s="6">
        <f t="shared" si="578"/>
        <v>17.334648000000001</v>
      </c>
      <c r="AB321" s="6">
        <f t="shared" si="578"/>
        <v>0</v>
      </c>
      <c r="AC321" s="67"/>
      <c r="AD321" s="55"/>
    </row>
    <row r="322" spans="1:30" s="52" customFormat="1">
      <c r="A322" s="96" t="s">
        <v>424</v>
      </c>
      <c r="B322" s="181">
        <f>418240.26/2</f>
        <v>209120.13</v>
      </c>
      <c r="C322" s="211">
        <f>ROUND(B322/12,2)+ROUND(8483.26/2,2)</f>
        <v>21668.31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>
        <v>1</v>
      </c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67"/>
      <c r="AD322" s="55"/>
    </row>
    <row r="323" spans="1:30" s="52" customFormat="1">
      <c r="A323" s="97"/>
      <c r="B323" s="74"/>
      <c r="C323" s="211"/>
      <c r="D323" s="6">
        <f t="shared" ref="D323" si="579">$C322*D322</f>
        <v>0</v>
      </c>
      <c r="E323" s="6">
        <f t="shared" ref="E323" si="580">$C322*E322</f>
        <v>0</v>
      </c>
      <c r="F323" s="6">
        <f t="shared" ref="F323:O323" si="581">$C322*F322</f>
        <v>0</v>
      </c>
      <c r="G323" s="6">
        <f t="shared" si="581"/>
        <v>0</v>
      </c>
      <c r="H323" s="6">
        <f t="shared" si="581"/>
        <v>0</v>
      </c>
      <c r="I323" s="6">
        <f t="shared" si="581"/>
        <v>0</v>
      </c>
      <c r="J323" s="6">
        <f t="shared" si="581"/>
        <v>0</v>
      </c>
      <c r="K323" s="6">
        <f t="shared" si="581"/>
        <v>0</v>
      </c>
      <c r="L323" s="6">
        <f t="shared" si="581"/>
        <v>0</v>
      </c>
      <c r="M323" s="6">
        <f t="shared" si="581"/>
        <v>0</v>
      </c>
      <c r="N323" s="6">
        <f t="shared" si="581"/>
        <v>21668.31</v>
      </c>
      <c r="O323" s="6">
        <f t="shared" si="581"/>
        <v>0</v>
      </c>
      <c r="P323" s="6">
        <f t="shared" ref="P323" si="582">$C322*P322</f>
        <v>0</v>
      </c>
      <c r="Q323" s="6">
        <f t="shared" ref="Q323" si="583">$C322*Q322</f>
        <v>0</v>
      </c>
      <c r="R323" s="6">
        <f t="shared" ref="R323:AB323" si="584">$C322*R322</f>
        <v>0</v>
      </c>
      <c r="S323" s="6">
        <f t="shared" si="584"/>
        <v>0</v>
      </c>
      <c r="T323" s="6">
        <f t="shared" si="584"/>
        <v>0</v>
      </c>
      <c r="U323" s="6">
        <f t="shared" si="584"/>
        <v>0</v>
      </c>
      <c r="V323" s="6">
        <f t="shared" si="584"/>
        <v>0</v>
      </c>
      <c r="W323" s="6">
        <f t="shared" si="584"/>
        <v>0</v>
      </c>
      <c r="X323" s="6">
        <f t="shared" si="584"/>
        <v>0</v>
      </c>
      <c r="Y323" s="6">
        <f t="shared" si="584"/>
        <v>0</v>
      </c>
      <c r="Z323" s="6">
        <f t="shared" si="584"/>
        <v>0</v>
      </c>
      <c r="AA323" s="6">
        <f t="shared" si="584"/>
        <v>0</v>
      </c>
      <c r="AB323" s="6">
        <f t="shared" si="584"/>
        <v>0</v>
      </c>
      <c r="AC323" s="67"/>
      <c r="AD323" s="55"/>
    </row>
    <row r="324" spans="1:30" s="52" customFormat="1">
      <c r="A324" s="96" t="s">
        <v>182</v>
      </c>
      <c r="B324" s="181">
        <f>1857921.09/2</f>
        <v>928960.54500000004</v>
      </c>
      <c r="C324" s="211">
        <f>ROUND(B324/12,2)+ROUND(37741.21/2,2)</f>
        <v>96283.99</v>
      </c>
      <c r="D324" s="170">
        <v>1.6500000000000001E-2</v>
      </c>
      <c r="E324" s="170">
        <v>0.1368</v>
      </c>
      <c r="F324" s="170">
        <v>5.7599999999999998E-2</v>
      </c>
      <c r="G324" s="170">
        <v>8.0399999999999999E-2</v>
      </c>
      <c r="H324" s="170">
        <v>4.1099999999999998E-2</v>
      </c>
      <c r="I324" s="170">
        <v>0.13389999999999999</v>
      </c>
      <c r="J324" s="170">
        <v>2.12E-2</v>
      </c>
      <c r="K324" s="170">
        <v>3.2500000000000001E-2</v>
      </c>
      <c r="L324" s="170">
        <v>1.7100000000000001E-2</v>
      </c>
      <c r="M324" s="170">
        <v>2.5999999999999999E-2</v>
      </c>
      <c r="N324" s="170">
        <v>0.13320000000000001</v>
      </c>
      <c r="O324" s="170">
        <v>1.89E-2</v>
      </c>
      <c r="P324" s="170">
        <v>0</v>
      </c>
      <c r="Q324" s="170">
        <v>3.8600000000000002E-2</v>
      </c>
      <c r="R324" s="170">
        <v>1.9E-2</v>
      </c>
      <c r="S324" s="170">
        <v>4.1999999999999997E-3</v>
      </c>
      <c r="T324" s="170">
        <v>5.3999999999999999E-2</v>
      </c>
      <c r="U324" s="170">
        <v>1.78E-2</v>
      </c>
      <c r="V324" s="170">
        <v>3.6700000000000003E-2</v>
      </c>
      <c r="W324" s="170">
        <v>4.7199999999999999E-2</v>
      </c>
      <c r="X324" s="170">
        <v>6.3899999999999998E-2</v>
      </c>
      <c r="Y324" s="170">
        <v>2.5999999999999999E-3</v>
      </c>
      <c r="Z324" s="171">
        <v>0</v>
      </c>
      <c r="AA324" s="171">
        <v>8.0000000000000004E-4</v>
      </c>
      <c r="AB324" s="171">
        <v>0</v>
      </c>
      <c r="AC324" s="67"/>
      <c r="AD324" s="55"/>
    </row>
    <row r="325" spans="1:30" s="52" customFormat="1">
      <c r="A325" s="97"/>
      <c r="B325" s="84"/>
      <c r="C325" s="211"/>
      <c r="D325" s="6">
        <f t="shared" ref="D325" si="585">$C324*D324</f>
        <v>1588.6858350000002</v>
      </c>
      <c r="E325" s="6">
        <f t="shared" ref="E325" si="586">$C324*E324</f>
        <v>13171.649832000001</v>
      </c>
      <c r="F325" s="6">
        <f t="shared" ref="F325:O325" si="587">$C324*F324</f>
        <v>5545.9578240000001</v>
      </c>
      <c r="G325" s="6">
        <f t="shared" si="587"/>
        <v>7741.2327960000002</v>
      </c>
      <c r="H325" s="6">
        <f t="shared" si="587"/>
        <v>3957.2719889999998</v>
      </c>
      <c r="I325" s="6">
        <f t="shared" si="587"/>
        <v>12892.426261000001</v>
      </c>
      <c r="J325" s="6">
        <f t="shared" si="587"/>
        <v>2041.2205880000001</v>
      </c>
      <c r="K325" s="6">
        <f t="shared" si="587"/>
        <v>3129.2296750000005</v>
      </c>
      <c r="L325" s="6">
        <f t="shared" si="587"/>
        <v>1646.4562290000001</v>
      </c>
      <c r="M325" s="6">
        <f t="shared" si="587"/>
        <v>2503.3837400000002</v>
      </c>
      <c r="N325" s="6">
        <f t="shared" si="587"/>
        <v>12825.027468000002</v>
      </c>
      <c r="O325" s="6">
        <f t="shared" si="587"/>
        <v>1819.767411</v>
      </c>
      <c r="P325" s="6">
        <f t="shared" ref="P325" si="588">$C324*P324</f>
        <v>0</v>
      </c>
      <c r="Q325" s="6">
        <f t="shared" ref="Q325" si="589">$C324*Q324</f>
        <v>3716.5620140000005</v>
      </c>
      <c r="R325" s="6">
        <f t="shared" ref="R325:AB325" si="590">$C324*R324</f>
        <v>1829.39581</v>
      </c>
      <c r="S325" s="6">
        <f t="shared" si="590"/>
        <v>404.39275800000001</v>
      </c>
      <c r="T325" s="6">
        <f t="shared" si="590"/>
        <v>5199.3354600000002</v>
      </c>
      <c r="U325" s="6">
        <f t="shared" si="590"/>
        <v>1713.8550220000002</v>
      </c>
      <c r="V325" s="6">
        <f t="shared" si="590"/>
        <v>3533.6224330000005</v>
      </c>
      <c r="W325" s="6">
        <f t="shared" si="590"/>
        <v>4544.6043280000004</v>
      </c>
      <c r="X325" s="6">
        <f t="shared" si="590"/>
        <v>6152.546961</v>
      </c>
      <c r="Y325" s="6">
        <f t="shared" si="590"/>
        <v>250.33837400000002</v>
      </c>
      <c r="Z325" s="6">
        <f t="shared" si="590"/>
        <v>0</v>
      </c>
      <c r="AA325" s="6">
        <f t="shared" si="590"/>
        <v>77.027192000000014</v>
      </c>
      <c r="AB325" s="6">
        <f t="shared" si="590"/>
        <v>0</v>
      </c>
      <c r="AC325" s="67"/>
      <c r="AD325" s="55"/>
    </row>
    <row r="326" spans="1:30" s="52" customFormat="1">
      <c r="A326" s="96" t="s">
        <v>425</v>
      </c>
      <c r="B326" s="181">
        <f>1857921.09/2</f>
        <v>928960.54500000004</v>
      </c>
      <c r="C326" s="211">
        <f>ROUND(B326/12,2)+ROUND(37741.21/2,2)</f>
        <v>96283.99</v>
      </c>
      <c r="D326" s="5"/>
      <c r="E326" s="171">
        <v>0</v>
      </c>
      <c r="F326" s="171">
        <v>0</v>
      </c>
      <c r="G326" s="171">
        <v>2.7000000000000001E-3</v>
      </c>
      <c r="H326" s="171">
        <v>0.36230000000000001</v>
      </c>
      <c r="I326" s="5"/>
      <c r="J326" s="171">
        <v>1E-3</v>
      </c>
      <c r="K326" s="171">
        <v>2.5999999999999999E-3</v>
      </c>
      <c r="L326" s="5"/>
      <c r="M326" s="5"/>
      <c r="N326" s="171">
        <v>0.1565</v>
      </c>
      <c r="O326" s="171">
        <v>1.6000000000000001E-3</v>
      </c>
      <c r="P326" s="5"/>
      <c r="Q326" s="5"/>
      <c r="R326" s="5"/>
      <c r="S326" s="5"/>
      <c r="T326" s="5"/>
      <c r="U326" s="5"/>
      <c r="V326" s="171">
        <v>0.4733</v>
      </c>
      <c r="W326" s="5"/>
      <c r="X326" s="5"/>
      <c r="Y326" s="5"/>
      <c r="Z326" s="5"/>
      <c r="AA326" s="5"/>
      <c r="AB326" s="5"/>
      <c r="AC326" s="67"/>
      <c r="AD326" s="55"/>
    </row>
    <row r="327" spans="1:30" s="52" customFormat="1">
      <c r="A327" s="97"/>
      <c r="B327" s="74"/>
      <c r="C327" s="211"/>
      <c r="D327" s="6">
        <f t="shared" ref="D327" si="591">$C326*D326</f>
        <v>0</v>
      </c>
      <c r="E327" s="6">
        <f t="shared" ref="E327" si="592">$C326*E326</f>
        <v>0</v>
      </c>
      <c r="F327" s="6">
        <f t="shared" ref="F327:O327" si="593">$C326*F326</f>
        <v>0</v>
      </c>
      <c r="G327" s="6">
        <f t="shared" si="593"/>
        <v>259.96677300000005</v>
      </c>
      <c r="H327" s="6">
        <f t="shared" si="593"/>
        <v>34883.689577000005</v>
      </c>
      <c r="I327" s="6">
        <f t="shared" si="593"/>
        <v>0</v>
      </c>
      <c r="J327" s="6">
        <f t="shared" si="593"/>
        <v>96.283990000000003</v>
      </c>
      <c r="K327" s="6">
        <f t="shared" si="593"/>
        <v>250.33837400000002</v>
      </c>
      <c r="L327" s="6">
        <f t="shared" si="593"/>
        <v>0</v>
      </c>
      <c r="M327" s="6">
        <f t="shared" si="593"/>
        <v>0</v>
      </c>
      <c r="N327" s="6">
        <f t="shared" si="593"/>
        <v>15068.444435000001</v>
      </c>
      <c r="O327" s="6">
        <f t="shared" si="593"/>
        <v>154.05438400000003</v>
      </c>
      <c r="P327" s="6">
        <f t="shared" ref="P327" si="594">$C326*P326</f>
        <v>0</v>
      </c>
      <c r="Q327" s="6">
        <f t="shared" ref="Q327" si="595">$C326*Q326</f>
        <v>0</v>
      </c>
      <c r="R327" s="6">
        <f t="shared" ref="R327:AB327" si="596">$C326*R326</f>
        <v>0</v>
      </c>
      <c r="S327" s="6">
        <f t="shared" si="596"/>
        <v>0</v>
      </c>
      <c r="T327" s="6">
        <f t="shared" si="596"/>
        <v>0</v>
      </c>
      <c r="U327" s="6">
        <f t="shared" si="596"/>
        <v>0</v>
      </c>
      <c r="V327" s="6">
        <f t="shared" si="596"/>
        <v>45571.212467000005</v>
      </c>
      <c r="W327" s="6">
        <f t="shared" si="596"/>
        <v>0</v>
      </c>
      <c r="X327" s="6">
        <f t="shared" si="596"/>
        <v>0</v>
      </c>
      <c r="Y327" s="6">
        <f t="shared" si="596"/>
        <v>0</v>
      </c>
      <c r="Z327" s="6">
        <f t="shared" si="596"/>
        <v>0</v>
      </c>
      <c r="AA327" s="6">
        <f t="shared" si="596"/>
        <v>0</v>
      </c>
      <c r="AB327" s="6">
        <f t="shared" si="596"/>
        <v>0</v>
      </c>
      <c r="AC327" s="67"/>
      <c r="AD327" s="55"/>
    </row>
    <row r="328" spans="1:30" s="52" customFormat="1">
      <c r="A328" s="96" t="s">
        <v>183</v>
      </c>
      <c r="B328" s="181">
        <f>2691516.47/2</f>
        <v>1345758.2350000001</v>
      </c>
      <c r="C328" s="211">
        <f>ROUND(B328/12,2)+ROUND(54904.93/2,2)</f>
        <v>139598.99</v>
      </c>
      <c r="D328" s="170">
        <v>1.6500000000000001E-2</v>
      </c>
      <c r="E328" s="170">
        <v>0.1368</v>
      </c>
      <c r="F328" s="170">
        <v>5.7599999999999998E-2</v>
      </c>
      <c r="G328" s="170">
        <v>8.0399999999999999E-2</v>
      </c>
      <c r="H328" s="170">
        <v>4.1099999999999998E-2</v>
      </c>
      <c r="I328" s="170">
        <v>0.13389999999999999</v>
      </c>
      <c r="J328" s="170">
        <v>2.12E-2</v>
      </c>
      <c r="K328" s="170">
        <v>3.2500000000000001E-2</v>
      </c>
      <c r="L328" s="170">
        <v>1.7100000000000001E-2</v>
      </c>
      <c r="M328" s="170">
        <v>2.5999999999999999E-2</v>
      </c>
      <c r="N328" s="170">
        <v>0.13320000000000001</v>
      </c>
      <c r="O328" s="170">
        <v>1.89E-2</v>
      </c>
      <c r="P328" s="170">
        <v>0</v>
      </c>
      <c r="Q328" s="170">
        <v>3.8600000000000002E-2</v>
      </c>
      <c r="R328" s="170">
        <v>1.9E-2</v>
      </c>
      <c r="S328" s="170">
        <v>4.1999999999999997E-3</v>
      </c>
      <c r="T328" s="170">
        <v>5.3999999999999999E-2</v>
      </c>
      <c r="U328" s="170">
        <v>1.78E-2</v>
      </c>
      <c r="V328" s="170">
        <v>3.6700000000000003E-2</v>
      </c>
      <c r="W328" s="170">
        <v>4.7199999999999999E-2</v>
      </c>
      <c r="X328" s="170">
        <v>6.3899999999999998E-2</v>
      </c>
      <c r="Y328" s="170">
        <v>2.5999999999999999E-3</v>
      </c>
      <c r="Z328" s="171">
        <v>0</v>
      </c>
      <c r="AA328" s="171">
        <v>8.0000000000000004E-4</v>
      </c>
      <c r="AB328" s="171">
        <v>0</v>
      </c>
      <c r="AC328" s="67"/>
      <c r="AD328" s="55"/>
    </row>
    <row r="329" spans="1:30" s="52" customFormat="1">
      <c r="A329" s="97"/>
      <c r="B329" s="84"/>
      <c r="C329" s="211"/>
      <c r="D329" s="6">
        <f t="shared" ref="D329" si="597">$C328*D328</f>
        <v>2303.383335</v>
      </c>
      <c r="E329" s="6">
        <f t="shared" ref="E329" si="598">$C328*E328</f>
        <v>19097.141832000001</v>
      </c>
      <c r="F329" s="6">
        <f t="shared" ref="F329:O329" si="599">$C328*F328</f>
        <v>8040.9018239999996</v>
      </c>
      <c r="G329" s="6">
        <f t="shared" si="599"/>
        <v>11223.758795999998</v>
      </c>
      <c r="H329" s="6">
        <f t="shared" si="599"/>
        <v>5737.5184889999991</v>
      </c>
      <c r="I329" s="6">
        <f t="shared" si="599"/>
        <v>18692.304760999996</v>
      </c>
      <c r="J329" s="6">
        <f t="shared" si="599"/>
        <v>2959.4985879999999</v>
      </c>
      <c r="K329" s="6">
        <f t="shared" si="599"/>
        <v>4536.9671749999998</v>
      </c>
      <c r="L329" s="6">
        <f t="shared" si="599"/>
        <v>2387.1427290000001</v>
      </c>
      <c r="M329" s="6">
        <f t="shared" si="599"/>
        <v>3629.5737399999998</v>
      </c>
      <c r="N329" s="6">
        <f t="shared" si="599"/>
        <v>18594.585468000001</v>
      </c>
      <c r="O329" s="6">
        <f t="shared" si="599"/>
        <v>2638.4209109999997</v>
      </c>
      <c r="P329" s="6">
        <f t="shared" ref="P329" si="600">$C328*P328</f>
        <v>0</v>
      </c>
      <c r="Q329" s="6">
        <f t="shared" ref="Q329" si="601">$C328*Q328</f>
        <v>5388.5210139999999</v>
      </c>
      <c r="R329" s="6">
        <f t="shared" ref="R329:AB329" si="602">$C328*R328</f>
        <v>2652.3808099999997</v>
      </c>
      <c r="S329" s="6">
        <f t="shared" si="602"/>
        <v>586.31575799999996</v>
      </c>
      <c r="T329" s="6">
        <f t="shared" si="602"/>
        <v>7538.3454599999995</v>
      </c>
      <c r="U329" s="6">
        <f t="shared" si="602"/>
        <v>2484.8620219999998</v>
      </c>
      <c r="V329" s="6">
        <f t="shared" si="602"/>
        <v>5123.2829330000004</v>
      </c>
      <c r="W329" s="6">
        <f t="shared" si="602"/>
        <v>6589.0723279999993</v>
      </c>
      <c r="X329" s="6">
        <f t="shared" si="602"/>
        <v>8920.3754609999996</v>
      </c>
      <c r="Y329" s="6">
        <f t="shared" si="602"/>
        <v>362.95737399999996</v>
      </c>
      <c r="Z329" s="6">
        <f t="shared" si="602"/>
        <v>0</v>
      </c>
      <c r="AA329" s="6">
        <f t="shared" si="602"/>
        <v>111.679192</v>
      </c>
      <c r="AB329" s="6">
        <f t="shared" si="602"/>
        <v>0</v>
      </c>
      <c r="AC329" s="67"/>
      <c r="AD329" s="55"/>
    </row>
    <row r="330" spans="1:30" s="52" customFormat="1">
      <c r="A330" s="96" t="s">
        <v>426</v>
      </c>
      <c r="B330" s="181">
        <f>2691516.47/2</f>
        <v>1345758.2350000001</v>
      </c>
      <c r="C330" s="211">
        <f>ROUND(B330/12,2)+ROUND(54904.93/2,2)</f>
        <v>139598.99</v>
      </c>
      <c r="D330" s="171">
        <v>0</v>
      </c>
      <c r="E330" s="5"/>
      <c r="F330" s="171">
        <v>7.1599999999999997E-2</v>
      </c>
      <c r="G330" s="5"/>
      <c r="H330" s="5"/>
      <c r="I330" s="5"/>
      <c r="J330" s="5"/>
      <c r="K330" s="5"/>
      <c r="L330" s="5"/>
      <c r="M330" s="171">
        <v>0</v>
      </c>
      <c r="N330" s="171">
        <v>0.84009999999999996</v>
      </c>
      <c r="O330" s="5"/>
      <c r="P330" s="5"/>
      <c r="Q330" s="5"/>
      <c r="R330" s="171">
        <v>1.37E-2</v>
      </c>
      <c r="S330" s="5"/>
      <c r="T330" s="171">
        <v>0</v>
      </c>
      <c r="U330" s="5"/>
      <c r="V330" s="171">
        <v>7.46E-2</v>
      </c>
      <c r="W330" s="5"/>
      <c r="X330" s="5"/>
      <c r="Y330" s="5"/>
      <c r="Z330" s="5"/>
      <c r="AA330" s="5"/>
      <c r="AB330" s="5"/>
      <c r="AC330" s="67"/>
      <c r="AD330" s="55"/>
    </row>
    <row r="331" spans="1:30" s="52" customFormat="1">
      <c r="A331" s="97"/>
      <c r="B331" s="74"/>
      <c r="C331" s="211"/>
      <c r="D331" s="6">
        <f t="shared" ref="D331" si="603">$C330*D330</f>
        <v>0</v>
      </c>
      <c r="E331" s="6">
        <f t="shared" ref="E331" si="604">$C330*E330</f>
        <v>0</v>
      </c>
      <c r="F331" s="6">
        <f t="shared" ref="F331:O331" si="605">$C330*F330</f>
        <v>9995.287683999999</v>
      </c>
      <c r="G331" s="6">
        <f t="shared" si="605"/>
        <v>0</v>
      </c>
      <c r="H331" s="6">
        <f t="shared" si="605"/>
        <v>0</v>
      </c>
      <c r="I331" s="6">
        <f t="shared" si="605"/>
        <v>0</v>
      </c>
      <c r="J331" s="6">
        <f t="shared" si="605"/>
        <v>0</v>
      </c>
      <c r="K331" s="6">
        <f t="shared" si="605"/>
        <v>0</v>
      </c>
      <c r="L331" s="6">
        <f t="shared" si="605"/>
        <v>0</v>
      </c>
      <c r="M331" s="6">
        <f t="shared" si="605"/>
        <v>0</v>
      </c>
      <c r="N331" s="6">
        <f t="shared" si="605"/>
        <v>117277.11149899999</v>
      </c>
      <c r="O331" s="6">
        <f t="shared" si="605"/>
        <v>0</v>
      </c>
      <c r="P331" s="6">
        <f t="shared" ref="P331" si="606">$C330*P330</f>
        <v>0</v>
      </c>
      <c r="Q331" s="6">
        <f t="shared" ref="Q331" si="607">$C330*Q330</f>
        <v>0</v>
      </c>
      <c r="R331" s="6">
        <f t="shared" ref="R331:AB331" si="608">$C330*R330</f>
        <v>1912.506163</v>
      </c>
      <c r="S331" s="6">
        <f t="shared" si="608"/>
        <v>0</v>
      </c>
      <c r="T331" s="6">
        <f t="shared" si="608"/>
        <v>0</v>
      </c>
      <c r="U331" s="6">
        <f t="shared" si="608"/>
        <v>0</v>
      </c>
      <c r="V331" s="6">
        <f t="shared" si="608"/>
        <v>10414.084653999998</v>
      </c>
      <c r="W331" s="6">
        <f t="shared" si="608"/>
        <v>0</v>
      </c>
      <c r="X331" s="6">
        <f t="shared" si="608"/>
        <v>0</v>
      </c>
      <c r="Y331" s="6">
        <f t="shared" si="608"/>
        <v>0</v>
      </c>
      <c r="Z331" s="6">
        <f t="shared" si="608"/>
        <v>0</v>
      </c>
      <c r="AA331" s="6">
        <f t="shared" si="608"/>
        <v>0</v>
      </c>
      <c r="AB331" s="6">
        <f t="shared" si="608"/>
        <v>0</v>
      </c>
      <c r="AC331" s="67"/>
      <c r="AD331" s="55"/>
    </row>
    <row r="332" spans="1:30" s="52" customFormat="1">
      <c r="A332" s="96" t="s">
        <v>184</v>
      </c>
      <c r="B332" s="181">
        <f>11383859.78/2</f>
        <v>5691929.8899999997</v>
      </c>
      <c r="C332" s="211">
        <f>ROUND(B332/12,2)+ROUND(232518.06/2,2)</f>
        <v>590586.52</v>
      </c>
      <c r="D332" s="170">
        <v>1.6500000000000001E-2</v>
      </c>
      <c r="E332" s="170">
        <v>0.1368</v>
      </c>
      <c r="F332" s="170">
        <v>5.7599999999999998E-2</v>
      </c>
      <c r="G332" s="170">
        <v>8.0399999999999999E-2</v>
      </c>
      <c r="H332" s="170">
        <v>4.1099999999999998E-2</v>
      </c>
      <c r="I332" s="170">
        <v>0.13389999999999999</v>
      </c>
      <c r="J332" s="170">
        <v>2.12E-2</v>
      </c>
      <c r="K332" s="170">
        <v>3.2500000000000001E-2</v>
      </c>
      <c r="L332" s="170">
        <v>1.7100000000000001E-2</v>
      </c>
      <c r="M332" s="170">
        <v>2.5999999999999999E-2</v>
      </c>
      <c r="N332" s="170">
        <v>0.13320000000000001</v>
      </c>
      <c r="O332" s="170">
        <v>1.89E-2</v>
      </c>
      <c r="P332" s="170">
        <v>0</v>
      </c>
      <c r="Q332" s="170">
        <v>3.8600000000000002E-2</v>
      </c>
      <c r="R332" s="170">
        <v>1.9E-2</v>
      </c>
      <c r="S332" s="170">
        <v>4.1999999999999997E-3</v>
      </c>
      <c r="T332" s="170">
        <v>5.3999999999999999E-2</v>
      </c>
      <c r="U332" s="170">
        <v>1.78E-2</v>
      </c>
      <c r="V332" s="170">
        <v>3.6700000000000003E-2</v>
      </c>
      <c r="W332" s="170">
        <v>4.7199999999999999E-2</v>
      </c>
      <c r="X332" s="170">
        <v>6.3899999999999998E-2</v>
      </c>
      <c r="Y332" s="170">
        <v>2.5999999999999999E-3</v>
      </c>
      <c r="Z332" s="171">
        <v>0</v>
      </c>
      <c r="AA332" s="171">
        <v>8.0000000000000004E-4</v>
      </c>
      <c r="AB332" s="171">
        <v>0</v>
      </c>
      <c r="AC332" s="67"/>
      <c r="AD332" s="55"/>
    </row>
    <row r="333" spans="1:30" s="52" customFormat="1">
      <c r="A333" s="97"/>
      <c r="B333" s="84"/>
      <c r="C333" s="211"/>
      <c r="D333" s="6">
        <f t="shared" ref="D333" si="609">$C332*D332</f>
        <v>9744.6775800000014</v>
      </c>
      <c r="E333" s="6">
        <f t="shared" ref="E333" si="610">$C332*E332</f>
        <v>80792.235936000012</v>
      </c>
      <c r="F333" s="6">
        <f t="shared" ref="F333:O333" si="611">$C332*F332</f>
        <v>34017.783552000001</v>
      </c>
      <c r="G333" s="6">
        <f t="shared" si="611"/>
        <v>47483.156208</v>
      </c>
      <c r="H333" s="6">
        <f t="shared" si="611"/>
        <v>24273.105971999998</v>
      </c>
      <c r="I333" s="6">
        <f t="shared" si="611"/>
        <v>79079.535027999998</v>
      </c>
      <c r="J333" s="6">
        <f t="shared" si="611"/>
        <v>12520.434224000001</v>
      </c>
      <c r="K333" s="6">
        <f t="shared" si="611"/>
        <v>19194.061900000001</v>
      </c>
      <c r="L333" s="6">
        <f t="shared" si="611"/>
        <v>10099.029492000001</v>
      </c>
      <c r="M333" s="6">
        <f t="shared" si="611"/>
        <v>15355.249519999999</v>
      </c>
      <c r="N333" s="6">
        <f t="shared" si="611"/>
        <v>78666.124464000008</v>
      </c>
      <c r="O333" s="6">
        <f t="shared" si="611"/>
        <v>11162.085228</v>
      </c>
      <c r="P333" s="6">
        <f t="shared" ref="P333" si="612">$C332*P332</f>
        <v>0</v>
      </c>
      <c r="Q333" s="6">
        <f t="shared" ref="Q333" si="613">$C332*Q332</f>
        <v>22796.639672000001</v>
      </c>
      <c r="R333" s="6">
        <f t="shared" ref="R333:AB333" si="614">$C332*R332</f>
        <v>11221.14388</v>
      </c>
      <c r="S333" s="6">
        <f t="shared" si="614"/>
        <v>2480.4633840000001</v>
      </c>
      <c r="T333" s="6">
        <f t="shared" si="614"/>
        <v>31891.67208</v>
      </c>
      <c r="U333" s="6">
        <f t="shared" si="614"/>
        <v>10512.440055999999</v>
      </c>
      <c r="V333" s="6">
        <f t="shared" si="614"/>
        <v>21674.525284000003</v>
      </c>
      <c r="W333" s="6">
        <f t="shared" si="614"/>
        <v>27875.683744000002</v>
      </c>
      <c r="X333" s="6">
        <f t="shared" si="614"/>
        <v>37738.478627999997</v>
      </c>
      <c r="Y333" s="6">
        <f t="shared" si="614"/>
        <v>1535.524952</v>
      </c>
      <c r="Z333" s="6">
        <f t="shared" si="614"/>
        <v>0</v>
      </c>
      <c r="AA333" s="6">
        <f t="shared" si="614"/>
        <v>472.46921600000002</v>
      </c>
      <c r="AB333" s="6">
        <f t="shared" si="614"/>
        <v>0</v>
      </c>
      <c r="AC333" s="67"/>
      <c r="AD333" s="55"/>
    </row>
    <row r="334" spans="1:30" s="52" customFormat="1">
      <c r="A334" s="96" t="s">
        <v>427</v>
      </c>
      <c r="B334" s="181">
        <f>11383859.78/2</f>
        <v>5691929.8899999997</v>
      </c>
      <c r="C334" s="211">
        <f>ROUND(B334/12,2)+ROUND(232518.06/2,2)</f>
        <v>590586.52</v>
      </c>
      <c r="D334" s="5"/>
      <c r="E334" s="5"/>
      <c r="F334" s="5"/>
      <c r="G334" s="5"/>
      <c r="H334" s="171">
        <v>7.6100000000000001E-2</v>
      </c>
      <c r="I334" s="5"/>
      <c r="J334" s="5"/>
      <c r="K334" s="5"/>
      <c r="L334" s="5"/>
      <c r="M334" s="5"/>
      <c r="N334" s="171">
        <v>0.80369999999999997</v>
      </c>
      <c r="O334" s="5"/>
      <c r="P334" s="5"/>
      <c r="Q334" s="5"/>
      <c r="R334" s="5"/>
      <c r="S334" s="5"/>
      <c r="T334" s="5"/>
      <c r="U334" s="5"/>
      <c r="V334" s="171">
        <v>0.1202</v>
      </c>
      <c r="W334" s="5"/>
      <c r="X334" s="5"/>
      <c r="Y334" s="5"/>
      <c r="Z334" s="5"/>
      <c r="AA334" s="5"/>
      <c r="AB334" s="5"/>
      <c r="AC334" s="67"/>
      <c r="AD334" s="55"/>
    </row>
    <row r="335" spans="1:30" s="52" customFormat="1">
      <c r="A335" s="97"/>
      <c r="B335" s="74"/>
      <c r="C335" s="211"/>
      <c r="D335" s="6">
        <f t="shared" ref="D335" si="615">$C334*D334</f>
        <v>0</v>
      </c>
      <c r="E335" s="6">
        <f t="shared" ref="E335" si="616">$C334*E334</f>
        <v>0</v>
      </c>
      <c r="F335" s="6">
        <f t="shared" ref="F335:O335" si="617">$C334*F334</f>
        <v>0</v>
      </c>
      <c r="G335" s="6">
        <f t="shared" si="617"/>
        <v>0</v>
      </c>
      <c r="H335" s="6">
        <f t="shared" si="617"/>
        <v>44943.634172000005</v>
      </c>
      <c r="I335" s="6">
        <f t="shared" si="617"/>
        <v>0</v>
      </c>
      <c r="J335" s="6">
        <f t="shared" si="617"/>
        <v>0</v>
      </c>
      <c r="K335" s="6">
        <f t="shared" si="617"/>
        <v>0</v>
      </c>
      <c r="L335" s="6">
        <f t="shared" si="617"/>
        <v>0</v>
      </c>
      <c r="M335" s="6">
        <f t="shared" si="617"/>
        <v>0</v>
      </c>
      <c r="N335" s="6">
        <f t="shared" si="617"/>
        <v>474654.38612400001</v>
      </c>
      <c r="O335" s="6">
        <f t="shared" si="617"/>
        <v>0</v>
      </c>
      <c r="P335" s="6">
        <f t="shared" ref="P335" si="618">$C334*P334</f>
        <v>0</v>
      </c>
      <c r="Q335" s="6">
        <f t="shared" ref="Q335" si="619">$C334*Q334</f>
        <v>0</v>
      </c>
      <c r="R335" s="6">
        <f t="shared" ref="R335:AB335" si="620">$C334*R334</f>
        <v>0</v>
      </c>
      <c r="S335" s="6">
        <f t="shared" si="620"/>
        <v>0</v>
      </c>
      <c r="T335" s="6">
        <f t="shared" si="620"/>
        <v>0</v>
      </c>
      <c r="U335" s="6">
        <f t="shared" si="620"/>
        <v>0</v>
      </c>
      <c r="V335" s="6">
        <f t="shared" si="620"/>
        <v>70988.499704000002</v>
      </c>
      <c r="W335" s="6">
        <f t="shared" si="620"/>
        <v>0</v>
      </c>
      <c r="X335" s="6">
        <f t="shared" si="620"/>
        <v>0</v>
      </c>
      <c r="Y335" s="6">
        <f t="shared" si="620"/>
        <v>0</v>
      </c>
      <c r="Z335" s="6">
        <f t="shared" si="620"/>
        <v>0</v>
      </c>
      <c r="AA335" s="6">
        <f t="shared" si="620"/>
        <v>0</v>
      </c>
      <c r="AB335" s="6">
        <f t="shared" si="620"/>
        <v>0</v>
      </c>
      <c r="AC335" s="67"/>
      <c r="AD335" s="55"/>
    </row>
    <row r="336" spans="1:30" s="52" customFormat="1">
      <c r="A336" s="96" t="s">
        <v>185</v>
      </c>
      <c r="B336" s="181">
        <f>3798597.1/2</f>
        <v>1899298.55</v>
      </c>
      <c r="C336" s="211">
        <f>ROUND(B336/12,2)+ROUND(77365.47/2,2)</f>
        <v>196957.62</v>
      </c>
      <c r="D336" s="170">
        <v>1.6500000000000001E-2</v>
      </c>
      <c r="E336" s="170">
        <v>0.1368</v>
      </c>
      <c r="F336" s="170">
        <v>5.7599999999999998E-2</v>
      </c>
      <c r="G336" s="170">
        <v>8.0399999999999999E-2</v>
      </c>
      <c r="H336" s="170">
        <v>4.1099999999999998E-2</v>
      </c>
      <c r="I336" s="170">
        <v>0.13389999999999999</v>
      </c>
      <c r="J336" s="170">
        <v>2.12E-2</v>
      </c>
      <c r="K336" s="170">
        <v>3.2500000000000001E-2</v>
      </c>
      <c r="L336" s="170">
        <v>1.7100000000000001E-2</v>
      </c>
      <c r="M336" s="170">
        <v>2.5999999999999999E-2</v>
      </c>
      <c r="N336" s="170">
        <v>0.13320000000000001</v>
      </c>
      <c r="O336" s="170">
        <v>1.89E-2</v>
      </c>
      <c r="P336" s="170">
        <v>0</v>
      </c>
      <c r="Q336" s="170">
        <v>3.8600000000000002E-2</v>
      </c>
      <c r="R336" s="170">
        <v>1.9E-2</v>
      </c>
      <c r="S336" s="170">
        <v>4.1999999999999997E-3</v>
      </c>
      <c r="T336" s="170">
        <v>5.3999999999999999E-2</v>
      </c>
      <c r="U336" s="170">
        <v>1.78E-2</v>
      </c>
      <c r="V336" s="170">
        <v>3.6700000000000003E-2</v>
      </c>
      <c r="W336" s="170">
        <v>4.7199999999999999E-2</v>
      </c>
      <c r="X336" s="170">
        <v>6.3899999999999998E-2</v>
      </c>
      <c r="Y336" s="170">
        <v>2.5999999999999999E-3</v>
      </c>
      <c r="Z336" s="171">
        <v>0</v>
      </c>
      <c r="AA336" s="171">
        <v>8.0000000000000004E-4</v>
      </c>
      <c r="AB336" s="171">
        <v>0</v>
      </c>
      <c r="AC336" s="67"/>
      <c r="AD336" s="55"/>
    </row>
    <row r="337" spans="1:30" s="52" customFormat="1">
      <c r="A337" s="97"/>
      <c r="B337" s="84"/>
      <c r="C337" s="211"/>
      <c r="D337" s="6">
        <f t="shared" ref="D337" si="621">$C336*D336</f>
        <v>3249.8007299999999</v>
      </c>
      <c r="E337" s="6">
        <f t="shared" ref="E337" si="622">$C336*E336</f>
        <v>26943.802415999999</v>
      </c>
      <c r="F337" s="6">
        <f t="shared" ref="F337:O337" si="623">$C336*F336</f>
        <v>11344.758911999999</v>
      </c>
      <c r="G337" s="6">
        <f t="shared" si="623"/>
        <v>15835.392647999999</v>
      </c>
      <c r="H337" s="6">
        <f t="shared" si="623"/>
        <v>8094.9581819999994</v>
      </c>
      <c r="I337" s="6">
        <f t="shared" si="623"/>
        <v>26372.625317999999</v>
      </c>
      <c r="J337" s="6">
        <f t="shared" si="623"/>
        <v>4175.5015439999997</v>
      </c>
      <c r="K337" s="6">
        <f t="shared" si="623"/>
        <v>6401.1226500000002</v>
      </c>
      <c r="L337" s="6">
        <f t="shared" si="623"/>
        <v>3367.9753019999998</v>
      </c>
      <c r="M337" s="6">
        <f t="shared" si="623"/>
        <v>5120.8981199999998</v>
      </c>
      <c r="N337" s="6">
        <f t="shared" si="623"/>
        <v>26234.754984000003</v>
      </c>
      <c r="O337" s="6">
        <f t="shared" si="623"/>
        <v>3722.499018</v>
      </c>
      <c r="P337" s="6">
        <f t="shared" ref="P337" si="624">$C336*P336</f>
        <v>0</v>
      </c>
      <c r="Q337" s="6">
        <f t="shared" ref="Q337" si="625">$C336*Q336</f>
        <v>7602.5641320000004</v>
      </c>
      <c r="R337" s="6">
        <f t="shared" ref="R337:AB337" si="626">$C336*R336</f>
        <v>3742.1947799999998</v>
      </c>
      <c r="S337" s="6">
        <f t="shared" si="626"/>
        <v>827.22200399999997</v>
      </c>
      <c r="T337" s="6">
        <f t="shared" si="626"/>
        <v>10635.71148</v>
      </c>
      <c r="U337" s="6">
        <f t="shared" si="626"/>
        <v>3505.845636</v>
      </c>
      <c r="V337" s="6">
        <f t="shared" si="626"/>
        <v>7228.3446540000004</v>
      </c>
      <c r="W337" s="6">
        <f t="shared" si="626"/>
        <v>9296.3996639999987</v>
      </c>
      <c r="X337" s="6">
        <f t="shared" si="626"/>
        <v>12585.591918</v>
      </c>
      <c r="Y337" s="6">
        <f t="shared" si="626"/>
        <v>512.08981199999994</v>
      </c>
      <c r="Z337" s="6">
        <f t="shared" si="626"/>
        <v>0</v>
      </c>
      <c r="AA337" s="6">
        <f t="shared" si="626"/>
        <v>157.56609600000002</v>
      </c>
      <c r="AB337" s="6">
        <f t="shared" si="626"/>
        <v>0</v>
      </c>
      <c r="AC337" s="67"/>
      <c r="AD337" s="55"/>
    </row>
    <row r="338" spans="1:30" s="52" customFormat="1">
      <c r="A338" s="96" t="s">
        <v>428</v>
      </c>
      <c r="B338" s="181">
        <f>3798597.1/2</f>
        <v>1899298.55</v>
      </c>
      <c r="C338" s="211">
        <f>ROUND(B338/12,2)+ROUND(77365.47/2,2)</f>
        <v>196957.62</v>
      </c>
      <c r="D338" s="5"/>
      <c r="E338" s="5"/>
      <c r="F338" s="171">
        <v>0.28939999999999999</v>
      </c>
      <c r="G338" s="5"/>
      <c r="H338" s="171">
        <v>0.13780000000000001</v>
      </c>
      <c r="I338" s="5"/>
      <c r="J338" s="5"/>
      <c r="K338" s="5"/>
      <c r="L338" s="5"/>
      <c r="M338" s="5"/>
      <c r="N338" s="171">
        <v>0.32179999999999997</v>
      </c>
      <c r="O338" s="5"/>
      <c r="P338" s="5"/>
      <c r="Q338" s="5"/>
      <c r="R338" s="5"/>
      <c r="S338" s="5"/>
      <c r="T338" s="5"/>
      <c r="U338" s="5"/>
      <c r="V338" s="171">
        <v>0.251</v>
      </c>
      <c r="W338" s="5"/>
      <c r="X338" s="5"/>
      <c r="Y338" s="5"/>
      <c r="Z338" s="5"/>
      <c r="AA338" s="5"/>
      <c r="AB338" s="5"/>
      <c r="AC338" s="67"/>
      <c r="AD338" s="55"/>
    </row>
    <row r="339" spans="1:30" s="52" customFormat="1">
      <c r="A339" s="97"/>
      <c r="B339" s="74"/>
      <c r="C339" s="211"/>
      <c r="D339" s="6">
        <f t="shared" ref="D339" si="627">$C338*D338</f>
        <v>0</v>
      </c>
      <c r="E339" s="6">
        <f t="shared" ref="E339" si="628">$C338*E338</f>
        <v>0</v>
      </c>
      <c r="F339" s="6">
        <f t="shared" ref="F339:O339" si="629">$C338*F338</f>
        <v>56999.535227999993</v>
      </c>
      <c r="G339" s="6">
        <f t="shared" si="629"/>
        <v>0</v>
      </c>
      <c r="H339" s="6">
        <f t="shared" si="629"/>
        <v>27140.760036</v>
      </c>
      <c r="I339" s="6">
        <f t="shared" si="629"/>
        <v>0</v>
      </c>
      <c r="J339" s="6">
        <f t="shared" si="629"/>
        <v>0</v>
      </c>
      <c r="K339" s="6">
        <f t="shared" si="629"/>
        <v>0</v>
      </c>
      <c r="L339" s="6">
        <f t="shared" si="629"/>
        <v>0</v>
      </c>
      <c r="M339" s="6">
        <f t="shared" si="629"/>
        <v>0</v>
      </c>
      <c r="N339" s="6">
        <f t="shared" si="629"/>
        <v>63380.962115999995</v>
      </c>
      <c r="O339" s="6">
        <f t="shared" si="629"/>
        <v>0</v>
      </c>
      <c r="P339" s="6">
        <f t="shared" ref="P339" si="630">$C338*P338</f>
        <v>0</v>
      </c>
      <c r="Q339" s="6">
        <f t="shared" ref="Q339" si="631">$C338*Q338</f>
        <v>0</v>
      </c>
      <c r="R339" s="6">
        <f t="shared" ref="R339:AB339" si="632">$C338*R338</f>
        <v>0</v>
      </c>
      <c r="S339" s="6">
        <f t="shared" si="632"/>
        <v>0</v>
      </c>
      <c r="T339" s="6">
        <f t="shared" si="632"/>
        <v>0</v>
      </c>
      <c r="U339" s="6">
        <f t="shared" si="632"/>
        <v>0</v>
      </c>
      <c r="V339" s="6">
        <f t="shared" si="632"/>
        <v>49436.36262</v>
      </c>
      <c r="W339" s="6">
        <f t="shared" si="632"/>
        <v>0</v>
      </c>
      <c r="X339" s="6">
        <f t="shared" si="632"/>
        <v>0</v>
      </c>
      <c r="Y339" s="6">
        <f t="shared" si="632"/>
        <v>0</v>
      </c>
      <c r="Z339" s="6">
        <f t="shared" si="632"/>
        <v>0</v>
      </c>
      <c r="AA339" s="6">
        <f t="shared" si="632"/>
        <v>0</v>
      </c>
      <c r="AB339" s="6">
        <f t="shared" si="632"/>
        <v>0</v>
      </c>
      <c r="AC339" s="67"/>
      <c r="AD339" s="55"/>
    </row>
    <row r="340" spans="1:30" s="52" customFormat="1">
      <c r="A340" s="99" t="s">
        <v>228</v>
      </c>
      <c r="B340" s="181">
        <v>6733718.3399999999</v>
      </c>
      <c r="C340" s="211">
        <f>ROUND(B340/12,2)+137290.09</f>
        <v>698433.28999999992</v>
      </c>
      <c r="D340" s="10"/>
      <c r="E340" s="10"/>
      <c r="F340" s="10">
        <v>0.3705</v>
      </c>
      <c r="G340" s="10"/>
      <c r="H340" s="10"/>
      <c r="I340" s="10"/>
      <c r="J340" s="10"/>
      <c r="K340" s="10"/>
      <c r="L340" s="10"/>
      <c r="M340" s="10"/>
      <c r="N340" s="10">
        <v>0.62949999999999995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67"/>
      <c r="AD340" s="55"/>
    </row>
    <row r="341" spans="1:30" s="52" customFormat="1">
      <c r="A341" s="97"/>
      <c r="B341" s="217"/>
      <c r="C341" s="211"/>
      <c r="D341" s="6">
        <f t="shared" ref="D341" si="633">$C340*D340</f>
        <v>0</v>
      </c>
      <c r="E341" s="6">
        <f t="shared" ref="E341" si="634">$C340*E340</f>
        <v>0</v>
      </c>
      <c r="F341" s="6">
        <f t="shared" ref="F341:AB341" si="635">$C340*F340</f>
        <v>258769.53394499997</v>
      </c>
      <c r="G341" s="6">
        <f t="shared" si="635"/>
        <v>0</v>
      </c>
      <c r="H341" s="6">
        <f t="shared" si="635"/>
        <v>0</v>
      </c>
      <c r="I341" s="6">
        <f t="shared" si="635"/>
        <v>0</v>
      </c>
      <c r="J341" s="6">
        <f t="shared" si="635"/>
        <v>0</v>
      </c>
      <c r="K341" s="6">
        <f t="shared" si="635"/>
        <v>0</v>
      </c>
      <c r="L341" s="6">
        <f t="shared" si="635"/>
        <v>0</v>
      </c>
      <c r="M341" s="6">
        <f t="shared" si="635"/>
        <v>0</v>
      </c>
      <c r="N341" s="6">
        <f t="shared" si="635"/>
        <v>439663.75605499989</v>
      </c>
      <c r="O341" s="6">
        <f t="shared" si="635"/>
        <v>0</v>
      </c>
      <c r="P341" s="6">
        <f t="shared" si="635"/>
        <v>0</v>
      </c>
      <c r="Q341" s="6">
        <f t="shared" si="635"/>
        <v>0</v>
      </c>
      <c r="R341" s="6">
        <f t="shared" si="635"/>
        <v>0</v>
      </c>
      <c r="S341" s="6">
        <f t="shared" si="635"/>
        <v>0</v>
      </c>
      <c r="T341" s="6">
        <f t="shared" si="635"/>
        <v>0</v>
      </c>
      <c r="U341" s="6">
        <f t="shared" si="635"/>
        <v>0</v>
      </c>
      <c r="V341" s="6">
        <f t="shared" si="635"/>
        <v>0</v>
      </c>
      <c r="W341" s="6">
        <f t="shared" si="635"/>
        <v>0</v>
      </c>
      <c r="X341" s="6">
        <f t="shared" si="635"/>
        <v>0</v>
      </c>
      <c r="Y341" s="6">
        <f t="shared" si="635"/>
        <v>0</v>
      </c>
      <c r="Z341" s="6">
        <f t="shared" si="635"/>
        <v>0</v>
      </c>
      <c r="AA341" s="6">
        <f t="shared" si="635"/>
        <v>0</v>
      </c>
      <c r="AB341" s="6">
        <f t="shared" si="635"/>
        <v>0</v>
      </c>
      <c r="AC341" s="67"/>
      <c r="AD341" s="55"/>
    </row>
    <row r="342" spans="1:30" s="52" customFormat="1">
      <c r="A342" s="99" t="s">
        <v>229</v>
      </c>
      <c r="B342" s="181">
        <v>1233456.2</v>
      </c>
      <c r="C342" s="211">
        <f>ROUND(B342/12,2)+25145.69</f>
        <v>127933.71</v>
      </c>
      <c r="D342" s="38"/>
      <c r="E342" s="38"/>
      <c r="F342" s="38">
        <v>0.3705</v>
      </c>
      <c r="G342" s="38"/>
      <c r="H342" s="38"/>
      <c r="I342" s="38"/>
      <c r="J342" s="38"/>
      <c r="K342" s="38"/>
      <c r="L342" s="38"/>
      <c r="M342" s="38"/>
      <c r="N342" s="38">
        <v>0.62949999999999995</v>
      </c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5"/>
      <c r="AA342" s="5"/>
      <c r="AB342" s="5"/>
      <c r="AC342" s="67"/>
      <c r="AD342" s="55"/>
    </row>
    <row r="343" spans="1:30" s="52" customFormat="1">
      <c r="A343" s="97"/>
      <c r="B343" s="217"/>
      <c r="C343" s="211"/>
      <c r="D343" s="6">
        <f t="shared" ref="D343" si="636">$C342*D342</f>
        <v>0</v>
      </c>
      <c r="E343" s="6">
        <f t="shared" ref="E343" si="637">$C342*E342</f>
        <v>0</v>
      </c>
      <c r="F343" s="6">
        <f t="shared" ref="F343:AB343" si="638">$C342*F342</f>
        <v>47399.439555000004</v>
      </c>
      <c r="G343" s="6">
        <f t="shared" si="638"/>
        <v>0</v>
      </c>
      <c r="H343" s="6">
        <f t="shared" si="638"/>
        <v>0</v>
      </c>
      <c r="I343" s="6">
        <f t="shared" si="638"/>
        <v>0</v>
      </c>
      <c r="J343" s="6">
        <f t="shared" si="638"/>
        <v>0</v>
      </c>
      <c r="K343" s="6">
        <f t="shared" si="638"/>
        <v>0</v>
      </c>
      <c r="L343" s="6">
        <f t="shared" si="638"/>
        <v>0</v>
      </c>
      <c r="M343" s="6">
        <f t="shared" si="638"/>
        <v>0</v>
      </c>
      <c r="N343" s="6">
        <f t="shared" si="638"/>
        <v>80534.270445000002</v>
      </c>
      <c r="O343" s="6">
        <f t="shared" si="638"/>
        <v>0</v>
      </c>
      <c r="P343" s="6">
        <f t="shared" si="638"/>
        <v>0</v>
      </c>
      <c r="Q343" s="6">
        <f t="shared" si="638"/>
        <v>0</v>
      </c>
      <c r="R343" s="6">
        <f t="shared" si="638"/>
        <v>0</v>
      </c>
      <c r="S343" s="6">
        <f t="shared" si="638"/>
        <v>0</v>
      </c>
      <c r="T343" s="6">
        <f t="shared" si="638"/>
        <v>0</v>
      </c>
      <c r="U343" s="6">
        <f t="shared" si="638"/>
        <v>0</v>
      </c>
      <c r="V343" s="6">
        <f t="shared" si="638"/>
        <v>0</v>
      </c>
      <c r="W343" s="6">
        <f t="shared" si="638"/>
        <v>0</v>
      </c>
      <c r="X343" s="6">
        <f t="shared" si="638"/>
        <v>0</v>
      </c>
      <c r="Y343" s="6">
        <f t="shared" si="638"/>
        <v>0</v>
      </c>
      <c r="Z343" s="6">
        <f t="shared" si="638"/>
        <v>0</v>
      </c>
      <c r="AA343" s="6">
        <f t="shared" si="638"/>
        <v>0</v>
      </c>
      <c r="AB343" s="6">
        <f t="shared" si="638"/>
        <v>0</v>
      </c>
      <c r="AC343" s="67"/>
      <c r="AD343" s="55"/>
    </row>
    <row r="344" spans="1:30" s="52" customFormat="1">
      <c r="A344" s="99" t="s">
        <v>230</v>
      </c>
      <c r="B344" s="181">
        <v>4525695.5</v>
      </c>
      <c r="C344" s="211">
        <f>ROUND(B344/12,2)+92448.84</f>
        <v>469590.13</v>
      </c>
      <c r="D344" s="10"/>
      <c r="E344" s="10">
        <v>1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67"/>
      <c r="AD344" s="55"/>
    </row>
    <row r="345" spans="1:30" s="52" customFormat="1">
      <c r="A345" s="97"/>
      <c r="B345" s="217"/>
      <c r="C345" s="211"/>
      <c r="D345" s="6">
        <f t="shared" ref="D345" si="639">$C344*D344</f>
        <v>0</v>
      </c>
      <c r="E345" s="6">
        <f t="shared" ref="E345" si="640">$C344*E344</f>
        <v>469590.13</v>
      </c>
      <c r="F345" s="6">
        <f t="shared" ref="F345:AB345" si="641">$C344*F344</f>
        <v>0</v>
      </c>
      <c r="G345" s="6">
        <f t="shared" si="641"/>
        <v>0</v>
      </c>
      <c r="H345" s="6">
        <f t="shared" si="641"/>
        <v>0</v>
      </c>
      <c r="I345" s="6">
        <f t="shared" si="641"/>
        <v>0</v>
      </c>
      <c r="J345" s="6">
        <f t="shared" si="641"/>
        <v>0</v>
      </c>
      <c r="K345" s="6">
        <f t="shared" si="641"/>
        <v>0</v>
      </c>
      <c r="L345" s="6">
        <f t="shared" si="641"/>
        <v>0</v>
      </c>
      <c r="M345" s="6">
        <f t="shared" si="641"/>
        <v>0</v>
      </c>
      <c r="N345" s="6">
        <f t="shared" si="641"/>
        <v>0</v>
      </c>
      <c r="O345" s="6">
        <f t="shared" si="641"/>
        <v>0</v>
      </c>
      <c r="P345" s="6">
        <f t="shared" si="641"/>
        <v>0</v>
      </c>
      <c r="Q345" s="6">
        <f t="shared" si="641"/>
        <v>0</v>
      </c>
      <c r="R345" s="6">
        <f t="shared" si="641"/>
        <v>0</v>
      </c>
      <c r="S345" s="6">
        <f t="shared" si="641"/>
        <v>0</v>
      </c>
      <c r="T345" s="6">
        <f t="shared" si="641"/>
        <v>0</v>
      </c>
      <c r="U345" s="6">
        <f t="shared" si="641"/>
        <v>0</v>
      </c>
      <c r="V345" s="6">
        <f t="shared" si="641"/>
        <v>0</v>
      </c>
      <c r="W345" s="6">
        <f t="shared" si="641"/>
        <v>0</v>
      </c>
      <c r="X345" s="6">
        <f t="shared" si="641"/>
        <v>0</v>
      </c>
      <c r="Y345" s="6">
        <f t="shared" si="641"/>
        <v>0</v>
      </c>
      <c r="Z345" s="6">
        <f t="shared" si="641"/>
        <v>0</v>
      </c>
      <c r="AA345" s="6">
        <f t="shared" si="641"/>
        <v>0</v>
      </c>
      <c r="AB345" s="6">
        <f t="shared" si="641"/>
        <v>0</v>
      </c>
      <c r="AC345" s="67"/>
      <c r="AD345" s="55"/>
    </row>
    <row r="346" spans="1:30" s="52" customFormat="1">
      <c r="A346" s="96" t="s">
        <v>231</v>
      </c>
      <c r="B346" s="181">
        <f>1055591.59/2</f>
        <v>527795.79500000004</v>
      </c>
      <c r="C346" s="211">
        <f>ROUND(B346/12,2)+ROUND(21595.64/2,2)</f>
        <v>54780.800000000003</v>
      </c>
      <c r="D346" s="170">
        <v>1.6500000000000001E-2</v>
      </c>
      <c r="E346" s="170">
        <v>0.1368</v>
      </c>
      <c r="F346" s="170">
        <v>5.7599999999999998E-2</v>
      </c>
      <c r="G346" s="170">
        <v>8.0399999999999999E-2</v>
      </c>
      <c r="H346" s="170">
        <v>4.1099999999999998E-2</v>
      </c>
      <c r="I346" s="170">
        <v>0.13389999999999999</v>
      </c>
      <c r="J346" s="170">
        <v>2.12E-2</v>
      </c>
      <c r="K346" s="170">
        <v>3.2500000000000001E-2</v>
      </c>
      <c r="L346" s="170">
        <v>1.7100000000000001E-2</v>
      </c>
      <c r="M346" s="170">
        <v>2.5999999999999999E-2</v>
      </c>
      <c r="N346" s="170">
        <v>0.13320000000000001</v>
      </c>
      <c r="O346" s="170">
        <v>1.89E-2</v>
      </c>
      <c r="P346" s="170">
        <v>0</v>
      </c>
      <c r="Q346" s="170">
        <v>3.8600000000000002E-2</v>
      </c>
      <c r="R346" s="170">
        <v>1.9E-2</v>
      </c>
      <c r="S346" s="170">
        <v>4.1999999999999997E-3</v>
      </c>
      <c r="T346" s="170">
        <v>5.3999999999999999E-2</v>
      </c>
      <c r="U346" s="170">
        <v>1.78E-2</v>
      </c>
      <c r="V346" s="170">
        <v>3.6700000000000003E-2</v>
      </c>
      <c r="W346" s="170">
        <v>4.7199999999999999E-2</v>
      </c>
      <c r="X346" s="170">
        <v>6.3899999999999998E-2</v>
      </c>
      <c r="Y346" s="170">
        <v>2.5999999999999999E-3</v>
      </c>
      <c r="Z346" s="171">
        <v>0</v>
      </c>
      <c r="AA346" s="171">
        <v>8.0000000000000004E-4</v>
      </c>
      <c r="AB346" s="171">
        <v>0</v>
      </c>
      <c r="AC346" s="67"/>
      <c r="AD346" s="55"/>
    </row>
    <row r="347" spans="1:30" s="52" customFormat="1">
      <c r="A347" s="97"/>
      <c r="B347" s="84"/>
      <c r="C347" s="211"/>
      <c r="D347" s="6">
        <f t="shared" ref="D347" si="642">$C346*D346</f>
        <v>903.8832000000001</v>
      </c>
      <c r="E347" s="6">
        <f t="shared" ref="E347" si="643">$C346*E346</f>
        <v>7494.0134400000006</v>
      </c>
      <c r="F347" s="6">
        <f t="shared" ref="F347:AB347" si="644">$C346*F346</f>
        <v>3155.37408</v>
      </c>
      <c r="G347" s="6">
        <f t="shared" si="644"/>
        <v>4404.3763200000003</v>
      </c>
      <c r="H347" s="6">
        <f t="shared" si="644"/>
        <v>2251.4908799999998</v>
      </c>
      <c r="I347" s="6">
        <f t="shared" si="644"/>
        <v>7335.14912</v>
      </c>
      <c r="J347" s="6">
        <f t="shared" si="644"/>
        <v>1161.3529600000002</v>
      </c>
      <c r="K347" s="6">
        <f t="shared" si="644"/>
        <v>1780.3760000000002</v>
      </c>
      <c r="L347" s="6">
        <f t="shared" si="644"/>
        <v>936.75168000000008</v>
      </c>
      <c r="M347" s="6">
        <f t="shared" si="644"/>
        <v>1424.3008</v>
      </c>
      <c r="N347" s="6">
        <f t="shared" si="644"/>
        <v>7296.802560000001</v>
      </c>
      <c r="O347" s="6">
        <f t="shared" si="644"/>
        <v>1035.3571200000001</v>
      </c>
      <c r="P347" s="6">
        <f t="shared" si="644"/>
        <v>0</v>
      </c>
      <c r="Q347" s="6">
        <f t="shared" si="644"/>
        <v>2114.5388800000001</v>
      </c>
      <c r="R347" s="6">
        <f t="shared" si="644"/>
        <v>1040.8352</v>
      </c>
      <c r="S347" s="6">
        <f t="shared" si="644"/>
        <v>230.07936000000001</v>
      </c>
      <c r="T347" s="6">
        <f t="shared" si="644"/>
        <v>2958.1632</v>
      </c>
      <c r="U347" s="6">
        <f t="shared" si="644"/>
        <v>975.09824000000003</v>
      </c>
      <c r="V347" s="6">
        <f t="shared" si="644"/>
        <v>2010.4553600000004</v>
      </c>
      <c r="W347" s="6">
        <f t="shared" si="644"/>
        <v>2585.6537600000001</v>
      </c>
      <c r="X347" s="6">
        <f t="shared" si="644"/>
        <v>3500.4931200000001</v>
      </c>
      <c r="Y347" s="6">
        <f t="shared" si="644"/>
        <v>142.43008</v>
      </c>
      <c r="Z347" s="6">
        <f t="shared" si="644"/>
        <v>0</v>
      </c>
      <c r="AA347" s="6">
        <f t="shared" si="644"/>
        <v>43.824640000000002</v>
      </c>
      <c r="AB347" s="6">
        <f t="shared" si="644"/>
        <v>0</v>
      </c>
      <c r="AC347" s="67"/>
      <c r="AD347" s="55"/>
    </row>
    <row r="348" spans="1:30" s="52" customFormat="1">
      <c r="A348" s="96" t="s">
        <v>429</v>
      </c>
      <c r="B348" s="181">
        <f>1055591.59/2</f>
        <v>527795.79500000004</v>
      </c>
      <c r="C348" s="211">
        <f>ROUND(B348/12,2)+ROUND(21595.64/2,2)</f>
        <v>54780.800000000003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>
        <v>1</v>
      </c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67"/>
      <c r="AD348" s="55"/>
    </row>
    <row r="349" spans="1:30" s="52" customFormat="1">
      <c r="A349" s="97"/>
      <c r="B349" s="74"/>
      <c r="C349" s="211"/>
      <c r="D349" s="6">
        <f t="shared" ref="D349" si="645">$C348*D348</f>
        <v>0</v>
      </c>
      <c r="E349" s="6">
        <f t="shared" ref="E349" si="646">$C348*E348</f>
        <v>0</v>
      </c>
      <c r="F349" s="6">
        <f t="shared" ref="F349:O349" si="647">$C348*F348</f>
        <v>0</v>
      </c>
      <c r="G349" s="6">
        <f t="shared" si="647"/>
        <v>0</v>
      </c>
      <c r="H349" s="6">
        <f t="shared" si="647"/>
        <v>0</v>
      </c>
      <c r="I349" s="6">
        <f t="shared" si="647"/>
        <v>0</v>
      </c>
      <c r="J349" s="6">
        <f t="shared" si="647"/>
        <v>0</v>
      </c>
      <c r="K349" s="6">
        <f t="shared" si="647"/>
        <v>0</v>
      </c>
      <c r="L349" s="6">
        <f t="shared" si="647"/>
        <v>0</v>
      </c>
      <c r="M349" s="6">
        <f t="shared" si="647"/>
        <v>0</v>
      </c>
      <c r="N349" s="6">
        <f t="shared" si="647"/>
        <v>54780.800000000003</v>
      </c>
      <c r="O349" s="6">
        <f t="shared" si="647"/>
        <v>0</v>
      </c>
      <c r="P349" s="6">
        <f t="shared" ref="P349" si="648">$C348*P348</f>
        <v>0</v>
      </c>
      <c r="Q349" s="6">
        <f t="shared" ref="Q349" si="649">$C348*Q348</f>
        <v>0</v>
      </c>
      <c r="R349" s="6">
        <f t="shared" ref="R349:AB349" si="650">$C348*R348</f>
        <v>0</v>
      </c>
      <c r="S349" s="6">
        <f t="shared" si="650"/>
        <v>0</v>
      </c>
      <c r="T349" s="6">
        <f t="shared" si="650"/>
        <v>0</v>
      </c>
      <c r="U349" s="6">
        <f t="shared" si="650"/>
        <v>0</v>
      </c>
      <c r="V349" s="6">
        <f t="shared" si="650"/>
        <v>0</v>
      </c>
      <c r="W349" s="6">
        <f t="shared" si="650"/>
        <v>0</v>
      </c>
      <c r="X349" s="6">
        <f t="shared" si="650"/>
        <v>0</v>
      </c>
      <c r="Y349" s="6">
        <f t="shared" si="650"/>
        <v>0</v>
      </c>
      <c r="Z349" s="6">
        <f t="shared" si="650"/>
        <v>0</v>
      </c>
      <c r="AA349" s="6">
        <f t="shared" si="650"/>
        <v>0</v>
      </c>
      <c r="AB349" s="6">
        <f t="shared" si="650"/>
        <v>0</v>
      </c>
      <c r="AC349" s="67"/>
      <c r="AD349" s="55"/>
    </row>
    <row r="350" spans="1:30" s="52" customFormat="1">
      <c r="A350" s="96" t="s">
        <v>232</v>
      </c>
      <c r="B350" s="181">
        <f>13584192.38/2</f>
        <v>6792096.1900000004</v>
      </c>
      <c r="C350" s="211">
        <f>ROUND(B350/12,2)+ROUND(269874.43/2,2)</f>
        <v>700945.24</v>
      </c>
      <c r="D350" s="170">
        <v>1.6500000000000001E-2</v>
      </c>
      <c r="E350" s="170">
        <v>0.1368</v>
      </c>
      <c r="F350" s="170">
        <v>5.7599999999999998E-2</v>
      </c>
      <c r="G350" s="170">
        <v>8.0399999999999999E-2</v>
      </c>
      <c r="H350" s="170">
        <v>4.1099999999999998E-2</v>
      </c>
      <c r="I350" s="170">
        <v>0.13389999999999999</v>
      </c>
      <c r="J350" s="170">
        <v>2.12E-2</v>
      </c>
      <c r="K350" s="170">
        <v>3.2500000000000001E-2</v>
      </c>
      <c r="L350" s="170">
        <v>1.7100000000000001E-2</v>
      </c>
      <c r="M350" s="170">
        <v>2.5999999999999999E-2</v>
      </c>
      <c r="N350" s="170">
        <v>0.13320000000000001</v>
      </c>
      <c r="O350" s="170">
        <v>1.89E-2</v>
      </c>
      <c r="P350" s="170">
        <v>0</v>
      </c>
      <c r="Q350" s="170">
        <v>3.8600000000000002E-2</v>
      </c>
      <c r="R350" s="170">
        <v>1.9E-2</v>
      </c>
      <c r="S350" s="170">
        <v>4.1999999999999997E-3</v>
      </c>
      <c r="T350" s="170">
        <v>5.3999999999999999E-2</v>
      </c>
      <c r="U350" s="170">
        <v>1.78E-2</v>
      </c>
      <c r="V350" s="170">
        <v>3.6700000000000003E-2</v>
      </c>
      <c r="W350" s="170">
        <v>4.7199999999999999E-2</v>
      </c>
      <c r="X350" s="170">
        <v>6.3899999999999998E-2</v>
      </c>
      <c r="Y350" s="170">
        <v>2.5999999999999999E-3</v>
      </c>
      <c r="Z350" s="171">
        <v>0</v>
      </c>
      <c r="AA350" s="171">
        <v>8.0000000000000004E-4</v>
      </c>
      <c r="AB350" s="171">
        <v>0</v>
      </c>
      <c r="AC350" s="67"/>
      <c r="AD350" s="55"/>
    </row>
    <row r="351" spans="1:30" s="52" customFormat="1">
      <c r="A351" s="97"/>
      <c r="B351" s="84"/>
      <c r="C351" s="211"/>
      <c r="D351" s="6">
        <f t="shared" ref="D351" si="651">$C350*D350</f>
        <v>11565.596460000001</v>
      </c>
      <c r="E351" s="6">
        <f t="shared" ref="E351" si="652">$C350*E350</f>
        <v>95889.308831999995</v>
      </c>
      <c r="F351" s="6">
        <f t="shared" ref="F351:AB351" si="653">$C350*F350</f>
        <v>40374.445823999995</v>
      </c>
      <c r="G351" s="6">
        <f t="shared" si="653"/>
        <v>56355.997296000001</v>
      </c>
      <c r="H351" s="6">
        <f t="shared" si="653"/>
        <v>28808.849363999998</v>
      </c>
      <c r="I351" s="6">
        <f t="shared" si="653"/>
        <v>93856.567635999992</v>
      </c>
      <c r="J351" s="6">
        <f t="shared" si="653"/>
        <v>14860.039088</v>
      </c>
      <c r="K351" s="6">
        <f t="shared" si="653"/>
        <v>22780.720300000001</v>
      </c>
      <c r="L351" s="6">
        <f t="shared" si="653"/>
        <v>11986.163603999999</v>
      </c>
      <c r="M351" s="6">
        <f t="shared" si="653"/>
        <v>18224.576239999999</v>
      </c>
      <c r="N351" s="6">
        <f t="shared" si="653"/>
        <v>93365.905968000006</v>
      </c>
      <c r="O351" s="6">
        <f t="shared" si="653"/>
        <v>13247.865035999999</v>
      </c>
      <c r="P351" s="6">
        <f t="shared" si="653"/>
        <v>0</v>
      </c>
      <c r="Q351" s="6">
        <f t="shared" si="653"/>
        <v>27056.486264000003</v>
      </c>
      <c r="R351" s="6">
        <f t="shared" si="653"/>
        <v>13317.959559999999</v>
      </c>
      <c r="S351" s="6">
        <f t="shared" si="653"/>
        <v>2943.9700079999998</v>
      </c>
      <c r="T351" s="6">
        <f t="shared" si="653"/>
        <v>37851.042959999999</v>
      </c>
      <c r="U351" s="6">
        <f t="shared" si="653"/>
        <v>12476.825272</v>
      </c>
      <c r="V351" s="6">
        <f t="shared" si="653"/>
        <v>25724.690308000001</v>
      </c>
      <c r="W351" s="6">
        <f t="shared" si="653"/>
        <v>33084.615328</v>
      </c>
      <c r="X351" s="6">
        <f t="shared" si="653"/>
        <v>44790.400836000001</v>
      </c>
      <c r="Y351" s="6">
        <f t="shared" si="653"/>
        <v>1822.4576239999999</v>
      </c>
      <c r="Z351" s="6">
        <f t="shared" si="653"/>
        <v>0</v>
      </c>
      <c r="AA351" s="6">
        <f t="shared" si="653"/>
        <v>560.75619200000006</v>
      </c>
      <c r="AB351" s="6">
        <f t="shared" si="653"/>
        <v>0</v>
      </c>
      <c r="AC351" s="67"/>
      <c r="AD351" s="55"/>
    </row>
    <row r="352" spans="1:30" s="52" customFormat="1">
      <c r="A352" s="96" t="s">
        <v>430</v>
      </c>
      <c r="B352" s="181">
        <f>13584192.38/2</f>
        <v>6792096.1900000004</v>
      </c>
      <c r="C352" s="211">
        <f>ROUND(B352/12,2)+ROUND(269874.43/2,2)</f>
        <v>700945.24</v>
      </c>
      <c r="D352" s="5"/>
      <c r="E352" s="5"/>
      <c r="F352" s="5"/>
      <c r="G352" s="5"/>
      <c r="H352" s="171">
        <v>0.1003</v>
      </c>
      <c r="I352" s="5"/>
      <c r="J352" s="5"/>
      <c r="K352" s="5"/>
      <c r="L352" s="5"/>
      <c r="M352" s="5"/>
      <c r="N352" s="171">
        <v>0.76119999999999999</v>
      </c>
      <c r="O352" s="171">
        <v>3.3E-3</v>
      </c>
      <c r="P352" s="5"/>
      <c r="Q352" s="5"/>
      <c r="R352" s="5"/>
      <c r="S352" s="5"/>
      <c r="T352" s="5"/>
      <c r="U352" s="5"/>
      <c r="V352" s="171">
        <v>0.13519999999999999</v>
      </c>
      <c r="W352" s="5"/>
      <c r="X352" s="5"/>
      <c r="Y352" s="5"/>
      <c r="Z352" s="5"/>
      <c r="AA352" s="5"/>
      <c r="AB352" s="5"/>
      <c r="AC352" s="67"/>
      <c r="AD352" s="55"/>
    </row>
    <row r="353" spans="1:30" s="52" customFormat="1">
      <c r="A353" s="97"/>
      <c r="B353" s="74"/>
      <c r="C353" s="211"/>
      <c r="D353" s="6">
        <f t="shared" ref="D353" si="654">$C352*D352</f>
        <v>0</v>
      </c>
      <c r="E353" s="6">
        <f t="shared" ref="E353" si="655">$C352*E352</f>
        <v>0</v>
      </c>
      <c r="F353" s="6">
        <f t="shared" ref="F353:O353" si="656">$C352*F352</f>
        <v>0</v>
      </c>
      <c r="G353" s="6">
        <f t="shared" si="656"/>
        <v>0</v>
      </c>
      <c r="H353" s="6">
        <f t="shared" si="656"/>
        <v>70304.807572000005</v>
      </c>
      <c r="I353" s="6">
        <f t="shared" si="656"/>
        <v>0</v>
      </c>
      <c r="J353" s="6">
        <f t="shared" si="656"/>
        <v>0</v>
      </c>
      <c r="K353" s="6">
        <f t="shared" si="656"/>
        <v>0</v>
      </c>
      <c r="L353" s="6">
        <f t="shared" si="656"/>
        <v>0</v>
      </c>
      <c r="M353" s="6">
        <f t="shared" si="656"/>
        <v>0</v>
      </c>
      <c r="N353" s="6">
        <f t="shared" si="656"/>
        <v>533559.51668799995</v>
      </c>
      <c r="O353" s="6">
        <f t="shared" si="656"/>
        <v>2313.1192919999999</v>
      </c>
      <c r="P353" s="6">
        <f t="shared" ref="P353" si="657">$C352*P352</f>
        <v>0</v>
      </c>
      <c r="Q353" s="6">
        <f t="shared" ref="Q353" si="658">$C352*Q352</f>
        <v>0</v>
      </c>
      <c r="R353" s="6">
        <f t="shared" ref="R353:AB353" si="659">$C352*R352</f>
        <v>0</v>
      </c>
      <c r="S353" s="6">
        <f t="shared" si="659"/>
        <v>0</v>
      </c>
      <c r="T353" s="6">
        <f t="shared" si="659"/>
        <v>0</v>
      </c>
      <c r="U353" s="6">
        <f t="shared" si="659"/>
        <v>0</v>
      </c>
      <c r="V353" s="6">
        <f t="shared" si="659"/>
        <v>94767.796447999994</v>
      </c>
      <c r="W353" s="6">
        <f t="shared" si="659"/>
        <v>0</v>
      </c>
      <c r="X353" s="6">
        <f t="shared" si="659"/>
        <v>0</v>
      </c>
      <c r="Y353" s="6">
        <f t="shared" si="659"/>
        <v>0</v>
      </c>
      <c r="Z353" s="6">
        <f t="shared" si="659"/>
        <v>0</v>
      </c>
      <c r="AA353" s="6">
        <f t="shared" si="659"/>
        <v>0</v>
      </c>
      <c r="AB353" s="6">
        <f t="shared" si="659"/>
        <v>0</v>
      </c>
      <c r="AC353" s="67"/>
      <c r="AD353" s="55"/>
    </row>
    <row r="354" spans="1:30" s="52" customFormat="1">
      <c r="A354" s="96" t="s">
        <v>233</v>
      </c>
      <c r="B354" s="181">
        <f>193226.59/2</f>
        <v>96613.294999999998</v>
      </c>
      <c r="C354" s="211">
        <f>ROUND(B354/12,2)+ROUND(3933.6/2,2)</f>
        <v>10017.91</v>
      </c>
      <c r="D354" s="170">
        <v>1.6500000000000001E-2</v>
      </c>
      <c r="E354" s="170">
        <v>0.1368</v>
      </c>
      <c r="F354" s="170">
        <v>5.7599999999999998E-2</v>
      </c>
      <c r="G354" s="170">
        <v>8.0399999999999999E-2</v>
      </c>
      <c r="H354" s="170">
        <v>4.1099999999999998E-2</v>
      </c>
      <c r="I354" s="170">
        <v>0.13389999999999999</v>
      </c>
      <c r="J354" s="170">
        <v>2.12E-2</v>
      </c>
      <c r="K354" s="170">
        <v>3.2500000000000001E-2</v>
      </c>
      <c r="L354" s="170">
        <v>1.7100000000000001E-2</v>
      </c>
      <c r="M354" s="170">
        <v>2.5999999999999999E-2</v>
      </c>
      <c r="N354" s="170">
        <v>0.13320000000000001</v>
      </c>
      <c r="O354" s="170">
        <v>1.89E-2</v>
      </c>
      <c r="P354" s="170">
        <v>0</v>
      </c>
      <c r="Q354" s="170">
        <v>3.8600000000000002E-2</v>
      </c>
      <c r="R354" s="170">
        <v>1.9E-2</v>
      </c>
      <c r="S354" s="170">
        <v>4.1999999999999997E-3</v>
      </c>
      <c r="T354" s="170">
        <v>5.3999999999999999E-2</v>
      </c>
      <c r="U354" s="170">
        <v>1.78E-2</v>
      </c>
      <c r="V354" s="170">
        <v>3.6700000000000003E-2</v>
      </c>
      <c r="W354" s="170">
        <v>4.7199999999999999E-2</v>
      </c>
      <c r="X354" s="170">
        <v>6.3899999999999998E-2</v>
      </c>
      <c r="Y354" s="170">
        <v>2.5999999999999999E-3</v>
      </c>
      <c r="Z354" s="171">
        <v>0</v>
      </c>
      <c r="AA354" s="171">
        <v>8.0000000000000004E-4</v>
      </c>
      <c r="AB354" s="171">
        <v>0</v>
      </c>
      <c r="AC354" s="67"/>
      <c r="AD354" s="55"/>
    </row>
    <row r="355" spans="1:30" s="52" customFormat="1">
      <c r="A355" s="97"/>
      <c r="B355" s="84"/>
      <c r="C355" s="211"/>
      <c r="D355" s="6">
        <f t="shared" ref="D355" si="660">$C354*D354</f>
        <v>165.29551499999999</v>
      </c>
      <c r="E355" s="6">
        <f t="shared" ref="E355" si="661">$C354*E354</f>
        <v>1370.4500880000001</v>
      </c>
      <c r="F355" s="6">
        <f t="shared" ref="F355:AB355" si="662">$C354*F354</f>
        <v>577.03161599999999</v>
      </c>
      <c r="G355" s="6">
        <f t="shared" si="662"/>
        <v>805.43996400000003</v>
      </c>
      <c r="H355" s="6">
        <f t="shared" si="662"/>
        <v>411.73610099999996</v>
      </c>
      <c r="I355" s="6">
        <f t="shared" si="662"/>
        <v>1341.3981489999999</v>
      </c>
      <c r="J355" s="6">
        <f t="shared" si="662"/>
        <v>212.37969200000001</v>
      </c>
      <c r="K355" s="6">
        <f t="shared" si="662"/>
        <v>325.58207500000003</v>
      </c>
      <c r="L355" s="6">
        <f t="shared" si="662"/>
        <v>171.30626100000001</v>
      </c>
      <c r="M355" s="6">
        <f t="shared" si="662"/>
        <v>260.46565999999996</v>
      </c>
      <c r="N355" s="6">
        <f t="shared" si="662"/>
        <v>1334.385612</v>
      </c>
      <c r="O355" s="6">
        <f t="shared" si="662"/>
        <v>189.33849899999998</v>
      </c>
      <c r="P355" s="6">
        <f t="shared" si="662"/>
        <v>0</v>
      </c>
      <c r="Q355" s="6">
        <f t="shared" si="662"/>
        <v>386.691326</v>
      </c>
      <c r="R355" s="6">
        <f t="shared" si="662"/>
        <v>190.34028999999998</v>
      </c>
      <c r="S355" s="6">
        <f t="shared" si="662"/>
        <v>42.075221999999997</v>
      </c>
      <c r="T355" s="6">
        <f t="shared" si="662"/>
        <v>540.96713999999997</v>
      </c>
      <c r="U355" s="6">
        <f t="shared" si="662"/>
        <v>178.31879799999999</v>
      </c>
      <c r="V355" s="6">
        <f t="shared" si="662"/>
        <v>367.65729700000003</v>
      </c>
      <c r="W355" s="6">
        <f t="shared" si="662"/>
        <v>472.84535199999999</v>
      </c>
      <c r="X355" s="6">
        <f t="shared" si="662"/>
        <v>640.14444900000001</v>
      </c>
      <c r="Y355" s="6">
        <f t="shared" si="662"/>
        <v>26.046565999999999</v>
      </c>
      <c r="Z355" s="6">
        <f t="shared" si="662"/>
        <v>0</v>
      </c>
      <c r="AA355" s="6">
        <f t="shared" si="662"/>
        <v>8.0143280000000008</v>
      </c>
      <c r="AB355" s="6">
        <f t="shared" si="662"/>
        <v>0</v>
      </c>
      <c r="AC355" s="67"/>
      <c r="AD355" s="55"/>
    </row>
    <row r="356" spans="1:30" s="52" customFormat="1">
      <c r="A356" s="96" t="s">
        <v>431</v>
      </c>
      <c r="B356" s="181">
        <f>193226.59/2</f>
        <v>96613.294999999998</v>
      </c>
      <c r="C356" s="211">
        <f>ROUND(B356/12,2)+ROUND(3933.6/2,2)</f>
        <v>10017.91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>
        <v>1</v>
      </c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67"/>
      <c r="AD356" s="55"/>
    </row>
    <row r="357" spans="1:30" s="52" customFormat="1">
      <c r="A357" s="97"/>
      <c r="B357" s="74"/>
      <c r="C357" s="211"/>
      <c r="D357" s="6">
        <f t="shared" ref="D357" si="663">$C356*D356</f>
        <v>0</v>
      </c>
      <c r="E357" s="6">
        <f t="shared" ref="E357" si="664">$C356*E356</f>
        <v>0</v>
      </c>
      <c r="F357" s="6">
        <f t="shared" ref="F357:O357" si="665">$C356*F356</f>
        <v>0</v>
      </c>
      <c r="G357" s="6">
        <f t="shared" si="665"/>
        <v>0</v>
      </c>
      <c r="H357" s="6">
        <f t="shared" si="665"/>
        <v>0</v>
      </c>
      <c r="I357" s="6">
        <f t="shared" si="665"/>
        <v>0</v>
      </c>
      <c r="J357" s="6">
        <f t="shared" si="665"/>
        <v>0</v>
      </c>
      <c r="K357" s="6">
        <f t="shared" si="665"/>
        <v>0</v>
      </c>
      <c r="L357" s="6">
        <f t="shared" si="665"/>
        <v>0</v>
      </c>
      <c r="M357" s="6">
        <f t="shared" si="665"/>
        <v>0</v>
      </c>
      <c r="N357" s="6">
        <f t="shared" si="665"/>
        <v>10017.91</v>
      </c>
      <c r="O357" s="6">
        <f t="shared" si="665"/>
        <v>0</v>
      </c>
      <c r="P357" s="6">
        <f t="shared" ref="P357" si="666">$C356*P356</f>
        <v>0</v>
      </c>
      <c r="Q357" s="6">
        <f t="shared" ref="Q357" si="667">$C356*Q356</f>
        <v>0</v>
      </c>
      <c r="R357" s="6">
        <f t="shared" ref="R357:AB357" si="668">$C356*R356</f>
        <v>0</v>
      </c>
      <c r="S357" s="6">
        <f t="shared" si="668"/>
        <v>0</v>
      </c>
      <c r="T357" s="6">
        <f t="shared" si="668"/>
        <v>0</v>
      </c>
      <c r="U357" s="6">
        <f t="shared" si="668"/>
        <v>0</v>
      </c>
      <c r="V357" s="6">
        <f t="shared" si="668"/>
        <v>0</v>
      </c>
      <c r="W357" s="6">
        <f t="shared" si="668"/>
        <v>0</v>
      </c>
      <c r="X357" s="6">
        <f t="shared" si="668"/>
        <v>0</v>
      </c>
      <c r="Y357" s="6">
        <f t="shared" si="668"/>
        <v>0</v>
      </c>
      <c r="Z357" s="6">
        <f t="shared" si="668"/>
        <v>0</v>
      </c>
      <c r="AA357" s="6">
        <f t="shared" si="668"/>
        <v>0</v>
      </c>
      <c r="AB357" s="6">
        <f t="shared" si="668"/>
        <v>0</v>
      </c>
      <c r="AC357" s="67"/>
      <c r="AD357" s="55"/>
    </row>
    <row r="358" spans="1:30" s="52" customFormat="1">
      <c r="A358" s="99" t="s">
        <v>234</v>
      </c>
      <c r="B358" s="181">
        <v>410728.86</v>
      </c>
      <c r="C358" s="211">
        <f>ROUND(B358/12,2)+8411.99</f>
        <v>42639.4</v>
      </c>
      <c r="D358" s="38">
        <v>6.6E-3</v>
      </c>
      <c r="E358" s="38"/>
      <c r="F358" s="38">
        <v>3.5900000000000001E-2</v>
      </c>
      <c r="G358" s="38"/>
      <c r="H358" s="38"/>
      <c r="I358" s="38"/>
      <c r="J358" s="38"/>
      <c r="K358" s="38"/>
      <c r="L358" s="38"/>
      <c r="M358" s="38">
        <v>9.1000000000000004E-3</v>
      </c>
      <c r="N358" s="38">
        <v>0.9294</v>
      </c>
      <c r="O358" s="38"/>
      <c r="P358" s="38"/>
      <c r="Q358" s="38"/>
      <c r="R358" s="38"/>
      <c r="S358" s="38"/>
      <c r="T358" s="38">
        <v>1.9E-2</v>
      </c>
      <c r="U358" s="38"/>
      <c r="V358" s="38"/>
      <c r="W358" s="38"/>
      <c r="X358" s="38"/>
      <c r="Y358" s="38"/>
      <c r="Z358" s="5"/>
      <c r="AA358" s="5"/>
      <c r="AB358" s="5"/>
      <c r="AC358" s="67"/>
      <c r="AD358" s="55"/>
    </row>
    <row r="359" spans="1:30" s="52" customFormat="1">
      <c r="A359" s="97"/>
      <c r="B359" s="217"/>
      <c r="C359" s="211"/>
      <c r="D359" s="6">
        <f t="shared" ref="D359" si="669">$C358*D358</f>
        <v>281.42004000000003</v>
      </c>
      <c r="E359" s="6">
        <f t="shared" ref="E359" si="670">$C358*E358</f>
        <v>0</v>
      </c>
      <c r="F359" s="6">
        <f t="shared" ref="F359:AB359" si="671">$C358*F358</f>
        <v>1530.7544600000001</v>
      </c>
      <c r="G359" s="6">
        <f t="shared" si="671"/>
        <v>0</v>
      </c>
      <c r="H359" s="6">
        <f t="shared" si="671"/>
        <v>0</v>
      </c>
      <c r="I359" s="6">
        <f t="shared" si="671"/>
        <v>0</v>
      </c>
      <c r="J359" s="6">
        <f t="shared" si="671"/>
        <v>0</v>
      </c>
      <c r="K359" s="6">
        <f t="shared" si="671"/>
        <v>0</v>
      </c>
      <c r="L359" s="6">
        <f t="shared" si="671"/>
        <v>0</v>
      </c>
      <c r="M359" s="6">
        <f t="shared" si="671"/>
        <v>388.01854000000003</v>
      </c>
      <c r="N359" s="6">
        <f t="shared" si="671"/>
        <v>39629.058360000003</v>
      </c>
      <c r="O359" s="6">
        <f t="shared" si="671"/>
        <v>0</v>
      </c>
      <c r="P359" s="6">
        <f t="shared" si="671"/>
        <v>0</v>
      </c>
      <c r="Q359" s="6">
        <f t="shared" si="671"/>
        <v>0</v>
      </c>
      <c r="R359" s="6">
        <f t="shared" si="671"/>
        <v>0</v>
      </c>
      <c r="S359" s="6">
        <f t="shared" si="671"/>
        <v>0</v>
      </c>
      <c r="T359" s="6">
        <f t="shared" si="671"/>
        <v>810.14859999999999</v>
      </c>
      <c r="U359" s="6">
        <f t="shared" si="671"/>
        <v>0</v>
      </c>
      <c r="V359" s="6">
        <f t="shared" si="671"/>
        <v>0</v>
      </c>
      <c r="W359" s="6">
        <f t="shared" si="671"/>
        <v>0</v>
      </c>
      <c r="X359" s="6">
        <f t="shared" si="671"/>
        <v>0</v>
      </c>
      <c r="Y359" s="6">
        <f t="shared" si="671"/>
        <v>0</v>
      </c>
      <c r="Z359" s="6">
        <f t="shared" si="671"/>
        <v>0</v>
      </c>
      <c r="AA359" s="6">
        <f t="shared" si="671"/>
        <v>0</v>
      </c>
      <c r="AB359" s="6">
        <f t="shared" si="671"/>
        <v>0</v>
      </c>
      <c r="AC359" s="67"/>
      <c r="AD359" s="55"/>
    </row>
    <row r="360" spans="1:30" s="52" customFormat="1">
      <c r="A360" s="99" t="s">
        <v>268</v>
      </c>
      <c r="B360" s="181">
        <f>2429543.84</f>
        <v>2429543.84</v>
      </c>
      <c r="C360" s="211">
        <f>ROUND(B360/12,2)+48781.57</f>
        <v>251243.56</v>
      </c>
      <c r="D360" s="38"/>
      <c r="E360" s="38"/>
      <c r="F360" s="38">
        <v>4.2099999999999999E-2</v>
      </c>
      <c r="G360" s="38"/>
      <c r="H360" s="38">
        <v>0.1328</v>
      </c>
      <c r="I360" s="38"/>
      <c r="J360" s="38"/>
      <c r="K360" s="38"/>
      <c r="L360" s="38"/>
      <c r="M360" s="38">
        <v>1.09E-2</v>
      </c>
      <c r="N360" s="38">
        <v>0.59379999999999999</v>
      </c>
      <c r="O360" s="38"/>
      <c r="P360" s="38"/>
      <c r="Q360" s="38"/>
      <c r="R360" s="38"/>
      <c r="S360" s="38"/>
      <c r="T360" s="38"/>
      <c r="U360" s="38"/>
      <c r="V360" s="38">
        <v>0.22040000000000001</v>
      </c>
      <c r="W360" s="38"/>
      <c r="X360" s="38"/>
      <c r="Y360" s="38"/>
      <c r="Z360" s="5"/>
      <c r="AA360" s="5"/>
      <c r="AB360" s="5"/>
      <c r="AC360" s="67"/>
      <c r="AD360" s="55"/>
    </row>
    <row r="361" spans="1:30" s="52" customFormat="1">
      <c r="A361" s="97"/>
      <c r="B361" s="217"/>
      <c r="C361" s="211"/>
      <c r="D361" s="6">
        <f t="shared" ref="D361" si="672">$C360*D360</f>
        <v>0</v>
      </c>
      <c r="E361" s="6">
        <f t="shared" ref="E361" si="673">$C360*E360</f>
        <v>0</v>
      </c>
      <c r="F361" s="6">
        <f t="shared" ref="F361:AB361" si="674">$C360*F360</f>
        <v>10577.353875999999</v>
      </c>
      <c r="G361" s="6">
        <f t="shared" si="674"/>
        <v>0</v>
      </c>
      <c r="H361" s="6">
        <f t="shared" si="674"/>
        <v>33365.144767999998</v>
      </c>
      <c r="I361" s="6">
        <f t="shared" si="674"/>
        <v>0</v>
      </c>
      <c r="J361" s="6">
        <f t="shared" si="674"/>
        <v>0</v>
      </c>
      <c r="K361" s="6">
        <f t="shared" si="674"/>
        <v>0</v>
      </c>
      <c r="L361" s="6">
        <f t="shared" si="674"/>
        <v>0</v>
      </c>
      <c r="M361" s="6">
        <f t="shared" si="674"/>
        <v>2738.5548039999999</v>
      </c>
      <c r="N361" s="6">
        <f t="shared" si="674"/>
        <v>149188.42592800001</v>
      </c>
      <c r="O361" s="6">
        <f t="shared" si="674"/>
        <v>0</v>
      </c>
      <c r="P361" s="6">
        <f t="shared" si="674"/>
        <v>0</v>
      </c>
      <c r="Q361" s="6">
        <f t="shared" si="674"/>
        <v>0</v>
      </c>
      <c r="R361" s="6">
        <f t="shared" si="674"/>
        <v>0</v>
      </c>
      <c r="S361" s="6">
        <f t="shared" si="674"/>
        <v>0</v>
      </c>
      <c r="T361" s="6">
        <f t="shared" si="674"/>
        <v>0</v>
      </c>
      <c r="U361" s="6">
        <f t="shared" si="674"/>
        <v>0</v>
      </c>
      <c r="V361" s="6">
        <f t="shared" si="674"/>
        <v>55374.080624000002</v>
      </c>
      <c r="W361" s="6">
        <f t="shared" si="674"/>
        <v>0</v>
      </c>
      <c r="X361" s="6">
        <f t="shared" si="674"/>
        <v>0</v>
      </c>
      <c r="Y361" s="6">
        <f t="shared" si="674"/>
        <v>0</v>
      </c>
      <c r="Z361" s="6">
        <f t="shared" si="674"/>
        <v>0</v>
      </c>
      <c r="AA361" s="6">
        <f t="shared" si="674"/>
        <v>0</v>
      </c>
      <c r="AB361" s="6">
        <f t="shared" si="674"/>
        <v>0</v>
      </c>
      <c r="AC361" s="67"/>
      <c r="AD361" s="55"/>
    </row>
    <row r="362" spans="1:30" s="52" customFormat="1">
      <c r="A362" s="99" t="s">
        <v>269</v>
      </c>
      <c r="B362" s="181">
        <v>2030461.7</v>
      </c>
      <c r="C362" s="211">
        <f>ROUND(B362/12,2)+42399.91</f>
        <v>211605.05000000002</v>
      </c>
      <c r="D362" s="38"/>
      <c r="E362" s="38"/>
      <c r="F362" s="38">
        <v>5.8299999999999998E-2</v>
      </c>
      <c r="G362" s="38"/>
      <c r="H362" s="38">
        <v>4.7399999999999998E-2</v>
      </c>
      <c r="I362" s="38"/>
      <c r="J362" s="38"/>
      <c r="K362" s="38"/>
      <c r="L362" s="38"/>
      <c r="M362" s="38"/>
      <c r="N362" s="38">
        <v>0.81789999999999996</v>
      </c>
      <c r="O362" s="38"/>
      <c r="P362" s="38"/>
      <c r="Q362" s="38"/>
      <c r="R362" s="38"/>
      <c r="S362" s="38"/>
      <c r="T362" s="38"/>
      <c r="U362" s="38"/>
      <c r="V362" s="38">
        <v>7.6399999999999996E-2</v>
      </c>
      <c r="W362" s="38"/>
      <c r="X362" s="38"/>
      <c r="Y362" s="38"/>
      <c r="Z362" s="5"/>
      <c r="AA362" s="5"/>
      <c r="AB362" s="5"/>
      <c r="AC362" s="67"/>
      <c r="AD362" s="55"/>
    </row>
    <row r="363" spans="1:30" s="52" customFormat="1">
      <c r="A363" s="97"/>
      <c r="B363" s="217"/>
      <c r="C363" s="211"/>
      <c r="D363" s="6">
        <f t="shared" ref="D363" si="675">$C362*D362</f>
        <v>0</v>
      </c>
      <c r="E363" s="6">
        <f t="shared" ref="E363" si="676">$C362*E362</f>
        <v>0</v>
      </c>
      <c r="F363" s="6">
        <f t="shared" ref="F363:AB363" si="677">$C362*F362</f>
        <v>12336.574415000001</v>
      </c>
      <c r="G363" s="6">
        <f t="shared" si="677"/>
        <v>0</v>
      </c>
      <c r="H363" s="6">
        <f t="shared" si="677"/>
        <v>10030.079369999999</v>
      </c>
      <c r="I363" s="6">
        <f t="shared" si="677"/>
        <v>0</v>
      </c>
      <c r="J363" s="6">
        <f t="shared" si="677"/>
        <v>0</v>
      </c>
      <c r="K363" s="6">
        <f t="shared" si="677"/>
        <v>0</v>
      </c>
      <c r="L363" s="6">
        <f t="shared" si="677"/>
        <v>0</v>
      </c>
      <c r="M363" s="6">
        <f t="shared" si="677"/>
        <v>0</v>
      </c>
      <c r="N363" s="6">
        <f t="shared" si="677"/>
        <v>173071.770395</v>
      </c>
      <c r="O363" s="6">
        <f t="shared" si="677"/>
        <v>0</v>
      </c>
      <c r="P363" s="6">
        <f t="shared" si="677"/>
        <v>0</v>
      </c>
      <c r="Q363" s="6">
        <f t="shared" si="677"/>
        <v>0</v>
      </c>
      <c r="R363" s="6">
        <f t="shared" si="677"/>
        <v>0</v>
      </c>
      <c r="S363" s="6">
        <f t="shared" si="677"/>
        <v>0</v>
      </c>
      <c r="T363" s="6">
        <f t="shared" si="677"/>
        <v>0</v>
      </c>
      <c r="U363" s="6">
        <f t="shared" si="677"/>
        <v>0</v>
      </c>
      <c r="V363" s="6">
        <f t="shared" si="677"/>
        <v>16166.625820000001</v>
      </c>
      <c r="W363" s="6">
        <f t="shared" si="677"/>
        <v>0</v>
      </c>
      <c r="X363" s="6">
        <f t="shared" si="677"/>
        <v>0</v>
      </c>
      <c r="Y363" s="6">
        <f t="shared" si="677"/>
        <v>0</v>
      </c>
      <c r="Z363" s="6">
        <f t="shared" si="677"/>
        <v>0</v>
      </c>
      <c r="AA363" s="6">
        <f t="shared" si="677"/>
        <v>0</v>
      </c>
      <c r="AB363" s="6">
        <f t="shared" si="677"/>
        <v>0</v>
      </c>
      <c r="AC363" s="67"/>
      <c r="AD363" s="55"/>
    </row>
    <row r="364" spans="1:30" s="52" customFormat="1">
      <c r="A364" s="99" t="s">
        <v>270</v>
      </c>
      <c r="B364" s="181">
        <v>357468.77</v>
      </c>
      <c r="C364" s="211">
        <f>ROUND(B364/12,2)+7427.16</f>
        <v>37216.22</v>
      </c>
      <c r="D364" s="38"/>
      <c r="E364" s="38"/>
      <c r="F364" s="38">
        <v>6.3100000000000003E-2</v>
      </c>
      <c r="G364" s="38"/>
      <c r="H364" s="38">
        <v>3.8100000000000002E-2</v>
      </c>
      <c r="I364" s="38"/>
      <c r="J364" s="38"/>
      <c r="K364" s="38"/>
      <c r="L364" s="38"/>
      <c r="M364" s="38"/>
      <c r="N364" s="38">
        <v>0.81899999999999995</v>
      </c>
      <c r="O364" s="38"/>
      <c r="P364" s="38"/>
      <c r="Q364" s="38"/>
      <c r="R364" s="38"/>
      <c r="S364" s="38"/>
      <c r="T364" s="38"/>
      <c r="U364" s="38"/>
      <c r="V364" s="38">
        <v>7.9799999999999996E-2</v>
      </c>
      <c r="W364" s="38"/>
      <c r="X364" s="38"/>
      <c r="Y364" s="38"/>
      <c r="Z364" s="5"/>
      <c r="AA364" s="5"/>
      <c r="AB364" s="5"/>
      <c r="AC364" s="67"/>
      <c r="AD364" s="55"/>
    </row>
    <row r="365" spans="1:30" s="52" customFormat="1">
      <c r="A365" s="97"/>
      <c r="B365" s="217"/>
      <c r="C365" s="211"/>
      <c r="D365" s="6">
        <f t="shared" ref="D365" si="678">$C364*D364</f>
        <v>0</v>
      </c>
      <c r="E365" s="6">
        <f t="shared" ref="E365" si="679">$C364*E364</f>
        <v>0</v>
      </c>
      <c r="F365" s="6">
        <f t="shared" ref="F365:AB365" si="680">$C364*F364</f>
        <v>2348.3434820000002</v>
      </c>
      <c r="G365" s="6">
        <f t="shared" si="680"/>
        <v>0</v>
      </c>
      <c r="H365" s="6">
        <f t="shared" si="680"/>
        <v>1417.9379820000001</v>
      </c>
      <c r="I365" s="6">
        <f t="shared" si="680"/>
        <v>0</v>
      </c>
      <c r="J365" s="6">
        <f t="shared" si="680"/>
        <v>0</v>
      </c>
      <c r="K365" s="6">
        <f t="shared" si="680"/>
        <v>0</v>
      </c>
      <c r="L365" s="6">
        <f t="shared" si="680"/>
        <v>0</v>
      </c>
      <c r="M365" s="6">
        <f t="shared" si="680"/>
        <v>0</v>
      </c>
      <c r="N365" s="6">
        <f t="shared" si="680"/>
        <v>30480.084179999998</v>
      </c>
      <c r="O365" s="6">
        <f t="shared" si="680"/>
        <v>0</v>
      </c>
      <c r="P365" s="6">
        <f t="shared" si="680"/>
        <v>0</v>
      </c>
      <c r="Q365" s="6">
        <f t="shared" si="680"/>
        <v>0</v>
      </c>
      <c r="R365" s="6">
        <f t="shared" si="680"/>
        <v>0</v>
      </c>
      <c r="S365" s="6">
        <f t="shared" si="680"/>
        <v>0</v>
      </c>
      <c r="T365" s="6">
        <f t="shared" si="680"/>
        <v>0</v>
      </c>
      <c r="U365" s="6">
        <f t="shared" si="680"/>
        <v>0</v>
      </c>
      <c r="V365" s="6">
        <f t="shared" si="680"/>
        <v>2969.8543559999998</v>
      </c>
      <c r="W365" s="6">
        <f t="shared" si="680"/>
        <v>0</v>
      </c>
      <c r="X365" s="6">
        <f t="shared" si="680"/>
        <v>0</v>
      </c>
      <c r="Y365" s="6">
        <f t="shared" si="680"/>
        <v>0</v>
      </c>
      <c r="Z365" s="6">
        <f t="shared" si="680"/>
        <v>0</v>
      </c>
      <c r="AA365" s="6">
        <f t="shared" si="680"/>
        <v>0</v>
      </c>
      <c r="AB365" s="6">
        <f t="shared" si="680"/>
        <v>0</v>
      </c>
      <c r="AC365" s="67"/>
      <c r="AD365" s="55"/>
    </row>
    <row r="366" spans="1:30" s="52" customFormat="1">
      <c r="A366" s="99" t="s">
        <v>271</v>
      </c>
      <c r="B366" s="181">
        <v>10600529.26</v>
      </c>
      <c r="C366" s="211">
        <f>ROUND(B366/12,2)+219543.75</f>
        <v>1102921.19</v>
      </c>
      <c r="D366" s="38"/>
      <c r="E366" s="38"/>
      <c r="F366" s="38"/>
      <c r="G366" s="38"/>
      <c r="H366" s="38"/>
      <c r="I366" s="38"/>
      <c r="J366" s="38"/>
      <c r="K366" s="38">
        <v>4.5999999999999999E-3</v>
      </c>
      <c r="L366" s="38"/>
      <c r="M366" s="38"/>
      <c r="N366" s="38">
        <v>0.99539999999999995</v>
      </c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5"/>
      <c r="AA366" s="5"/>
      <c r="AB366" s="5"/>
      <c r="AC366" s="67"/>
      <c r="AD366" s="55"/>
    </row>
    <row r="367" spans="1:30" s="52" customFormat="1">
      <c r="A367" s="97"/>
      <c r="B367" s="217"/>
      <c r="C367" s="211"/>
      <c r="D367" s="6">
        <f t="shared" ref="D367" si="681">$C366*D366</f>
        <v>0</v>
      </c>
      <c r="E367" s="6">
        <f t="shared" ref="E367" si="682">$C366*E366</f>
        <v>0</v>
      </c>
      <c r="F367" s="6">
        <f t="shared" ref="F367:AB367" si="683">$C366*F366</f>
        <v>0</v>
      </c>
      <c r="G367" s="6">
        <f t="shared" si="683"/>
        <v>0</v>
      </c>
      <c r="H367" s="6">
        <f t="shared" si="683"/>
        <v>0</v>
      </c>
      <c r="I367" s="6">
        <f t="shared" si="683"/>
        <v>0</v>
      </c>
      <c r="J367" s="6">
        <f t="shared" si="683"/>
        <v>0</v>
      </c>
      <c r="K367" s="6">
        <f t="shared" si="683"/>
        <v>5073.4374739999994</v>
      </c>
      <c r="L367" s="6">
        <f t="shared" si="683"/>
        <v>0</v>
      </c>
      <c r="M367" s="6">
        <f t="shared" si="683"/>
        <v>0</v>
      </c>
      <c r="N367" s="6">
        <f t="shared" si="683"/>
        <v>1097847.7525259999</v>
      </c>
      <c r="O367" s="6">
        <f t="shared" si="683"/>
        <v>0</v>
      </c>
      <c r="P367" s="6">
        <f t="shared" si="683"/>
        <v>0</v>
      </c>
      <c r="Q367" s="6">
        <f t="shared" si="683"/>
        <v>0</v>
      </c>
      <c r="R367" s="6">
        <f t="shared" si="683"/>
        <v>0</v>
      </c>
      <c r="S367" s="6">
        <f t="shared" si="683"/>
        <v>0</v>
      </c>
      <c r="T367" s="6">
        <f t="shared" si="683"/>
        <v>0</v>
      </c>
      <c r="U367" s="6">
        <f t="shared" si="683"/>
        <v>0</v>
      </c>
      <c r="V367" s="6">
        <f t="shared" si="683"/>
        <v>0</v>
      </c>
      <c r="W367" s="6">
        <f t="shared" si="683"/>
        <v>0</v>
      </c>
      <c r="X367" s="6">
        <f t="shared" si="683"/>
        <v>0</v>
      </c>
      <c r="Y367" s="6">
        <f t="shared" si="683"/>
        <v>0</v>
      </c>
      <c r="Z367" s="6">
        <f t="shared" si="683"/>
        <v>0</v>
      </c>
      <c r="AA367" s="6">
        <f t="shared" si="683"/>
        <v>0</v>
      </c>
      <c r="AB367" s="6">
        <f t="shared" si="683"/>
        <v>0</v>
      </c>
      <c r="AC367" s="67"/>
      <c r="AD367" s="55"/>
    </row>
    <row r="368" spans="1:30" s="52" customFormat="1">
      <c r="A368" s="99" t="s">
        <v>272</v>
      </c>
      <c r="B368" s="181">
        <f>343350.79</f>
        <v>343350.79</v>
      </c>
      <c r="C368" s="211">
        <f>ROUND(B368/12,2)+7077.19</f>
        <v>35689.760000000002</v>
      </c>
      <c r="D368" s="38"/>
      <c r="E368" s="38"/>
      <c r="F368" s="38">
        <v>8.6599999999999996E-2</v>
      </c>
      <c r="G368" s="38"/>
      <c r="H368" s="38">
        <v>0.1095</v>
      </c>
      <c r="I368" s="38"/>
      <c r="J368" s="38"/>
      <c r="K368" s="38"/>
      <c r="L368" s="38"/>
      <c r="M368" s="38"/>
      <c r="N368" s="38">
        <v>0.63300000000000001</v>
      </c>
      <c r="O368" s="38"/>
      <c r="P368" s="38"/>
      <c r="Q368" s="38"/>
      <c r="R368" s="38"/>
      <c r="S368" s="38"/>
      <c r="T368" s="38"/>
      <c r="U368" s="38"/>
      <c r="V368" s="38">
        <v>0.1709</v>
      </c>
      <c r="W368" s="38"/>
      <c r="X368" s="38"/>
      <c r="Y368" s="38"/>
      <c r="Z368" s="5"/>
      <c r="AA368" s="5"/>
      <c r="AB368" s="5"/>
      <c r="AC368" s="67"/>
      <c r="AD368" s="55"/>
    </row>
    <row r="369" spans="1:30" s="52" customFormat="1">
      <c r="A369" s="97"/>
      <c r="B369" s="217"/>
      <c r="C369" s="211"/>
      <c r="D369" s="6">
        <f t="shared" ref="D369" si="684">$C368*D368</f>
        <v>0</v>
      </c>
      <c r="E369" s="6">
        <f t="shared" ref="E369" si="685">$C368*E368</f>
        <v>0</v>
      </c>
      <c r="F369" s="6">
        <f t="shared" ref="F369:AB369" si="686">$C368*F368</f>
        <v>3090.7332160000001</v>
      </c>
      <c r="G369" s="6">
        <f t="shared" si="686"/>
        <v>0</v>
      </c>
      <c r="H369" s="6">
        <f t="shared" si="686"/>
        <v>3908.0287200000002</v>
      </c>
      <c r="I369" s="6">
        <f t="shared" si="686"/>
        <v>0</v>
      </c>
      <c r="J369" s="6">
        <f t="shared" si="686"/>
        <v>0</v>
      </c>
      <c r="K369" s="6">
        <f t="shared" si="686"/>
        <v>0</v>
      </c>
      <c r="L369" s="6">
        <f t="shared" si="686"/>
        <v>0</v>
      </c>
      <c r="M369" s="6">
        <f t="shared" si="686"/>
        <v>0</v>
      </c>
      <c r="N369" s="6">
        <f t="shared" si="686"/>
        <v>22591.61808</v>
      </c>
      <c r="O369" s="6">
        <f t="shared" si="686"/>
        <v>0</v>
      </c>
      <c r="P369" s="6">
        <f t="shared" si="686"/>
        <v>0</v>
      </c>
      <c r="Q369" s="6">
        <f t="shared" si="686"/>
        <v>0</v>
      </c>
      <c r="R369" s="6">
        <f t="shared" si="686"/>
        <v>0</v>
      </c>
      <c r="S369" s="6">
        <f t="shared" si="686"/>
        <v>0</v>
      </c>
      <c r="T369" s="6">
        <f t="shared" si="686"/>
        <v>0</v>
      </c>
      <c r="U369" s="6">
        <f t="shared" si="686"/>
        <v>0</v>
      </c>
      <c r="V369" s="6">
        <f t="shared" si="686"/>
        <v>6099.3799840000001</v>
      </c>
      <c r="W369" s="6">
        <f t="shared" si="686"/>
        <v>0</v>
      </c>
      <c r="X369" s="6">
        <f t="shared" si="686"/>
        <v>0</v>
      </c>
      <c r="Y369" s="6">
        <f t="shared" si="686"/>
        <v>0</v>
      </c>
      <c r="Z369" s="6">
        <f t="shared" si="686"/>
        <v>0</v>
      </c>
      <c r="AA369" s="6">
        <f t="shared" si="686"/>
        <v>0</v>
      </c>
      <c r="AB369" s="6">
        <f t="shared" si="686"/>
        <v>0</v>
      </c>
      <c r="AC369" s="67"/>
      <c r="AD369" s="55"/>
    </row>
    <row r="370" spans="1:30" s="52" customFormat="1">
      <c r="A370" s="99" t="s">
        <v>279</v>
      </c>
      <c r="B370" s="181">
        <v>168491.21</v>
      </c>
      <c r="C370" s="211">
        <f>ROUND(B370/12,2)+7345.31</f>
        <v>21386.240000000002</v>
      </c>
      <c r="D370" s="38"/>
      <c r="E370" s="38"/>
      <c r="F370" s="38">
        <v>5.8299999999999998E-2</v>
      </c>
      <c r="G370" s="38"/>
      <c r="H370" s="38">
        <v>6.25E-2</v>
      </c>
      <c r="I370" s="38"/>
      <c r="J370" s="38"/>
      <c r="K370" s="38"/>
      <c r="L370" s="38"/>
      <c r="M370" s="38"/>
      <c r="N370" s="38">
        <v>0.78380000000000005</v>
      </c>
      <c r="O370" s="38"/>
      <c r="P370" s="38"/>
      <c r="Q370" s="38"/>
      <c r="R370" s="38"/>
      <c r="S370" s="38"/>
      <c r="T370" s="38"/>
      <c r="U370" s="38"/>
      <c r="V370" s="38">
        <v>9.5399999999999999E-2</v>
      </c>
      <c r="W370" s="38"/>
      <c r="X370" s="38"/>
      <c r="Y370" s="38"/>
      <c r="Z370" s="5"/>
      <c r="AA370" s="5"/>
      <c r="AB370" s="5"/>
      <c r="AC370" s="67"/>
      <c r="AD370" s="55"/>
    </row>
    <row r="371" spans="1:30" s="52" customFormat="1">
      <c r="A371" s="97"/>
      <c r="B371" s="217"/>
      <c r="C371" s="211"/>
      <c r="D371" s="6">
        <f t="shared" ref="D371" si="687">$C370*D370</f>
        <v>0</v>
      </c>
      <c r="E371" s="6">
        <f t="shared" ref="E371" si="688">$C370*E370</f>
        <v>0</v>
      </c>
      <c r="F371" s="6">
        <f t="shared" ref="F371:AB371" si="689">$C370*F370</f>
        <v>1246.8177920000001</v>
      </c>
      <c r="G371" s="6">
        <f t="shared" si="689"/>
        <v>0</v>
      </c>
      <c r="H371" s="6">
        <f t="shared" si="689"/>
        <v>1336.64</v>
      </c>
      <c r="I371" s="6">
        <f t="shared" si="689"/>
        <v>0</v>
      </c>
      <c r="J371" s="6">
        <f t="shared" si="689"/>
        <v>0</v>
      </c>
      <c r="K371" s="6">
        <f t="shared" si="689"/>
        <v>0</v>
      </c>
      <c r="L371" s="6">
        <f t="shared" si="689"/>
        <v>0</v>
      </c>
      <c r="M371" s="6">
        <f t="shared" si="689"/>
        <v>0</v>
      </c>
      <c r="N371" s="6">
        <f t="shared" si="689"/>
        <v>16762.534912000003</v>
      </c>
      <c r="O371" s="6">
        <f t="shared" si="689"/>
        <v>0</v>
      </c>
      <c r="P371" s="6">
        <f t="shared" si="689"/>
        <v>0</v>
      </c>
      <c r="Q371" s="6">
        <f t="shared" si="689"/>
        <v>0</v>
      </c>
      <c r="R371" s="6">
        <f t="shared" si="689"/>
        <v>0</v>
      </c>
      <c r="S371" s="6">
        <f t="shared" si="689"/>
        <v>0</v>
      </c>
      <c r="T371" s="6">
        <f t="shared" si="689"/>
        <v>0</v>
      </c>
      <c r="U371" s="6">
        <f t="shared" si="689"/>
        <v>0</v>
      </c>
      <c r="V371" s="6">
        <f t="shared" si="689"/>
        <v>2040.2472960000002</v>
      </c>
      <c r="W371" s="6">
        <f t="shared" si="689"/>
        <v>0</v>
      </c>
      <c r="X371" s="6">
        <f t="shared" si="689"/>
        <v>0</v>
      </c>
      <c r="Y371" s="6">
        <f t="shared" si="689"/>
        <v>0</v>
      </c>
      <c r="Z371" s="6">
        <f t="shared" si="689"/>
        <v>0</v>
      </c>
      <c r="AA371" s="6">
        <f t="shared" si="689"/>
        <v>0</v>
      </c>
      <c r="AB371" s="6">
        <f t="shared" si="689"/>
        <v>0</v>
      </c>
      <c r="AC371" s="67"/>
      <c r="AD371" s="55"/>
    </row>
    <row r="372" spans="1:30" s="52" customFormat="1">
      <c r="A372" s="96" t="s">
        <v>273</v>
      </c>
      <c r="B372" s="181">
        <f>4990997.49/2</f>
        <v>2495498.7450000001</v>
      </c>
      <c r="C372" s="211">
        <f>ROUND(B372/12,2)+ROUND(102326.75/2,2)</f>
        <v>259121.61000000002</v>
      </c>
      <c r="D372" s="170">
        <v>1.6500000000000001E-2</v>
      </c>
      <c r="E372" s="170">
        <v>0.1368</v>
      </c>
      <c r="F372" s="170">
        <v>5.7599999999999998E-2</v>
      </c>
      <c r="G372" s="170">
        <v>8.0399999999999999E-2</v>
      </c>
      <c r="H372" s="170">
        <v>4.1099999999999998E-2</v>
      </c>
      <c r="I372" s="170">
        <v>0.13389999999999999</v>
      </c>
      <c r="J372" s="170">
        <v>2.12E-2</v>
      </c>
      <c r="K372" s="170">
        <v>3.2500000000000001E-2</v>
      </c>
      <c r="L372" s="170">
        <v>1.7100000000000001E-2</v>
      </c>
      <c r="M372" s="170">
        <v>2.5999999999999999E-2</v>
      </c>
      <c r="N372" s="170">
        <v>0.13320000000000001</v>
      </c>
      <c r="O372" s="170">
        <v>1.89E-2</v>
      </c>
      <c r="P372" s="170">
        <v>0</v>
      </c>
      <c r="Q372" s="170">
        <v>3.8600000000000002E-2</v>
      </c>
      <c r="R372" s="170">
        <v>1.9E-2</v>
      </c>
      <c r="S372" s="170">
        <v>4.1999999999999997E-3</v>
      </c>
      <c r="T372" s="170">
        <v>5.3999999999999999E-2</v>
      </c>
      <c r="U372" s="170">
        <v>1.78E-2</v>
      </c>
      <c r="V372" s="170">
        <v>3.6700000000000003E-2</v>
      </c>
      <c r="W372" s="170">
        <v>4.7199999999999999E-2</v>
      </c>
      <c r="X372" s="170">
        <v>6.3899999999999998E-2</v>
      </c>
      <c r="Y372" s="170">
        <v>2.5999999999999999E-3</v>
      </c>
      <c r="Z372" s="171">
        <v>0</v>
      </c>
      <c r="AA372" s="171">
        <v>8.0000000000000004E-4</v>
      </c>
      <c r="AB372" s="171">
        <v>0</v>
      </c>
      <c r="AC372" s="67"/>
      <c r="AD372" s="55"/>
    </row>
    <row r="373" spans="1:30" s="52" customFormat="1">
      <c r="A373" s="97"/>
      <c r="B373" s="84"/>
      <c r="C373" s="211"/>
      <c r="D373" s="6">
        <f t="shared" ref="D373" si="690">$C372*D372</f>
        <v>4275.5065650000006</v>
      </c>
      <c r="E373" s="6">
        <f t="shared" ref="E373" si="691">$C372*E372</f>
        <v>35447.836248000007</v>
      </c>
      <c r="F373" s="6">
        <f t="shared" ref="F373:AB373" si="692">$C372*F372</f>
        <v>14925.404736</v>
      </c>
      <c r="G373" s="6">
        <f t="shared" si="692"/>
        <v>20833.377444000002</v>
      </c>
      <c r="H373" s="6">
        <f t="shared" si="692"/>
        <v>10649.898171000001</v>
      </c>
      <c r="I373" s="6">
        <f t="shared" si="692"/>
        <v>34696.383579000001</v>
      </c>
      <c r="J373" s="6">
        <f t="shared" si="692"/>
        <v>5493.3781320000007</v>
      </c>
      <c r="K373" s="6">
        <f t="shared" si="692"/>
        <v>8421.4523250000002</v>
      </c>
      <c r="L373" s="6">
        <f t="shared" si="692"/>
        <v>4430.9795310000009</v>
      </c>
      <c r="M373" s="6">
        <f t="shared" si="692"/>
        <v>6737.1618600000002</v>
      </c>
      <c r="N373" s="6">
        <f t="shared" si="692"/>
        <v>34514.998452000007</v>
      </c>
      <c r="O373" s="6">
        <f t="shared" si="692"/>
        <v>4897.3984290000008</v>
      </c>
      <c r="P373" s="6">
        <f t="shared" si="692"/>
        <v>0</v>
      </c>
      <c r="Q373" s="6">
        <f t="shared" si="692"/>
        <v>10002.094146000001</v>
      </c>
      <c r="R373" s="6">
        <f t="shared" si="692"/>
        <v>4923.31059</v>
      </c>
      <c r="S373" s="6">
        <f t="shared" si="692"/>
        <v>1088.3107620000001</v>
      </c>
      <c r="T373" s="6">
        <f t="shared" si="692"/>
        <v>13992.566940000001</v>
      </c>
      <c r="U373" s="6">
        <f t="shared" si="692"/>
        <v>4612.3646580000004</v>
      </c>
      <c r="V373" s="6">
        <f t="shared" si="692"/>
        <v>9509.7630870000012</v>
      </c>
      <c r="W373" s="6">
        <f t="shared" si="692"/>
        <v>12230.539992</v>
      </c>
      <c r="X373" s="6">
        <f t="shared" si="692"/>
        <v>16557.870879000002</v>
      </c>
      <c r="Y373" s="6">
        <f t="shared" si="692"/>
        <v>673.71618599999999</v>
      </c>
      <c r="Z373" s="6">
        <f t="shared" si="692"/>
        <v>0</v>
      </c>
      <c r="AA373" s="6">
        <f t="shared" si="692"/>
        <v>207.29728800000001</v>
      </c>
      <c r="AB373" s="6">
        <f t="shared" si="692"/>
        <v>0</v>
      </c>
      <c r="AC373" s="67"/>
      <c r="AD373" s="55"/>
    </row>
    <row r="374" spans="1:30" s="52" customFormat="1">
      <c r="A374" s="96" t="s">
        <v>432</v>
      </c>
      <c r="B374" s="181">
        <f>4990997.49/2</f>
        <v>2495498.7450000001</v>
      </c>
      <c r="C374" s="211">
        <f>ROUND(B374/12,2)+ROUND(102326.75/2,2)</f>
        <v>259121.61000000002</v>
      </c>
      <c r="D374" s="5"/>
      <c r="E374" s="5"/>
      <c r="F374" s="5"/>
      <c r="G374" s="5"/>
      <c r="H374" s="171">
        <v>0.11890000000000001</v>
      </c>
      <c r="I374" s="5"/>
      <c r="J374" s="5"/>
      <c r="K374" s="5"/>
      <c r="L374" s="5"/>
      <c r="M374" s="5"/>
      <c r="N374" s="171">
        <v>0.74019999999999997</v>
      </c>
      <c r="O374" s="5"/>
      <c r="P374" s="5"/>
      <c r="Q374" s="5"/>
      <c r="R374" s="5"/>
      <c r="S374" s="5"/>
      <c r="T374" s="5"/>
      <c r="U374" s="5"/>
      <c r="V374" s="171">
        <v>0.1409</v>
      </c>
      <c r="W374" s="5"/>
      <c r="X374" s="5"/>
      <c r="Y374" s="5"/>
      <c r="Z374" s="5"/>
      <c r="AA374" s="5"/>
      <c r="AB374" s="5"/>
      <c r="AC374" s="67"/>
      <c r="AD374" s="55"/>
    </row>
    <row r="375" spans="1:30" s="52" customFormat="1">
      <c r="A375" s="97"/>
      <c r="B375" s="74"/>
      <c r="C375" s="211"/>
      <c r="D375" s="6">
        <f t="shared" ref="D375" si="693">$C374*D374</f>
        <v>0</v>
      </c>
      <c r="E375" s="6">
        <f t="shared" ref="E375" si="694">$C374*E374</f>
        <v>0</v>
      </c>
      <c r="F375" s="6">
        <f t="shared" ref="F375:O375" si="695">$C374*F374</f>
        <v>0</v>
      </c>
      <c r="G375" s="6">
        <f t="shared" si="695"/>
        <v>0</v>
      </c>
      <c r="H375" s="6">
        <f t="shared" si="695"/>
        <v>30809.559429000004</v>
      </c>
      <c r="I375" s="6">
        <f t="shared" si="695"/>
        <v>0</v>
      </c>
      <c r="J375" s="6">
        <f t="shared" si="695"/>
        <v>0</v>
      </c>
      <c r="K375" s="6">
        <f t="shared" si="695"/>
        <v>0</v>
      </c>
      <c r="L375" s="6">
        <f t="shared" si="695"/>
        <v>0</v>
      </c>
      <c r="M375" s="6">
        <f t="shared" si="695"/>
        <v>0</v>
      </c>
      <c r="N375" s="6">
        <f t="shared" si="695"/>
        <v>191801.815722</v>
      </c>
      <c r="O375" s="6">
        <f t="shared" si="695"/>
        <v>0</v>
      </c>
      <c r="P375" s="6">
        <f t="shared" ref="P375" si="696">$C374*P374</f>
        <v>0</v>
      </c>
      <c r="Q375" s="6">
        <f t="shared" ref="Q375" si="697">$C374*Q374</f>
        <v>0</v>
      </c>
      <c r="R375" s="6">
        <f t="shared" ref="R375:AB375" si="698">$C374*R374</f>
        <v>0</v>
      </c>
      <c r="S375" s="6">
        <f t="shared" si="698"/>
        <v>0</v>
      </c>
      <c r="T375" s="6">
        <f t="shared" si="698"/>
        <v>0</v>
      </c>
      <c r="U375" s="6">
        <f t="shared" si="698"/>
        <v>0</v>
      </c>
      <c r="V375" s="6">
        <f t="shared" si="698"/>
        <v>36510.234849</v>
      </c>
      <c r="W375" s="6">
        <f t="shared" si="698"/>
        <v>0</v>
      </c>
      <c r="X375" s="6">
        <f t="shared" si="698"/>
        <v>0</v>
      </c>
      <c r="Y375" s="6">
        <f t="shared" si="698"/>
        <v>0</v>
      </c>
      <c r="Z375" s="6">
        <f t="shared" si="698"/>
        <v>0</v>
      </c>
      <c r="AA375" s="6">
        <f t="shared" si="698"/>
        <v>0</v>
      </c>
      <c r="AB375" s="6">
        <f t="shared" si="698"/>
        <v>0</v>
      </c>
      <c r="AC375" s="67"/>
      <c r="AD375" s="55"/>
    </row>
    <row r="376" spans="1:30" s="52" customFormat="1">
      <c r="A376" s="99" t="s">
        <v>274</v>
      </c>
      <c r="B376" s="181">
        <v>2347584.37</v>
      </c>
      <c r="C376" s="211">
        <f>ROUND(B376/12,2)+48165.08</f>
        <v>243797.11</v>
      </c>
      <c r="D376" s="38"/>
      <c r="E376" s="38"/>
      <c r="F376" s="38">
        <v>0.14849999999999999</v>
      </c>
      <c r="G376" s="38"/>
      <c r="H376" s="38">
        <v>3.1E-2</v>
      </c>
      <c r="I376" s="38"/>
      <c r="J376" s="38"/>
      <c r="K376" s="38"/>
      <c r="L376" s="38"/>
      <c r="M376" s="38"/>
      <c r="N376" s="38">
        <v>0.74119999999999997</v>
      </c>
      <c r="O376" s="38"/>
      <c r="P376" s="38"/>
      <c r="Q376" s="38"/>
      <c r="R376" s="38"/>
      <c r="S376" s="38"/>
      <c r="T376" s="38"/>
      <c r="U376" s="38"/>
      <c r="V376" s="38">
        <v>7.9299999999999995E-2</v>
      </c>
      <c r="W376" s="38"/>
      <c r="X376" s="38"/>
      <c r="Y376" s="38"/>
      <c r="Z376" s="5"/>
      <c r="AA376" s="5"/>
      <c r="AB376" s="5"/>
      <c r="AC376" s="67"/>
      <c r="AD376" s="55"/>
    </row>
    <row r="377" spans="1:30" s="52" customFormat="1">
      <c r="A377" s="97"/>
      <c r="B377" s="217"/>
      <c r="C377" s="211"/>
      <c r="D377" s="6">
        <f t="shared" ref="D377" si="699">$C376*D376</f>
        <v>0</v>
      </c>
      <c r="E377" s="6">
        <f t="shared" ref="E377" si="700">$C376*E376</f>
        <v>0</v>
      </c>
      <c r="F377" s="6">
        <f t="shared" ref="F377:AB377" si="701">$C376*F376</f>
        <v>36203.870834999994</v>
      </c>
      <c r="G377" s="6">
        <f t="shared" si="701"/>
        <v>0</v>
      </c>
      <c r="H377" s="6">
        <f t="shared" si="701"/>
        <v>7557.7104099999997</v>
      </c>
      <c r="I377" s="6">
        <f t="shared" si="701"/>
        <v>0</v>
      </c>
      <c r="J377" s="6">
        <f t="shared" si="701"/>
        <v>0</v>
      </c>
      <c r="K377" s="6">
        <f t="shared" si="701"/>
        <v>0</v>
      </c>
      <c r="L377" s="6">
        <f t="shared" si="701"/>
        <v>0</v>
      </c>
      <c r="M377" s="6">
        <f t="shared" si="701"/>
        <v>0</v>
      </c>
      <c r="N377" s="6">
        <f t="shared" si="701"/>
        <v>180702.41793199998</v>
      </c>
      <c r="O377" s="6">
        <f t="shared" si="701"/>
        <v>0</v>
      </c>
      <c r="P377" s="6">
        <f t="shared" si="701"/>
        <v>0</v>
      </c>
      <c r="Q377" s="6">
        <f t="shared" si="701"/>
        <v>0</v>
      </c>
      <c r="R377" s="6">
        <f t="shared" si="701"/>
        <v>0</v>
      </c>
      <c r="S377" s="6">
        <f t="shared" si="701"/>
        <v>0</v>
      </c>
      <c r="T377" s="6">
        <f t="shared" si="701"/>
        <v>0</v>
      </c>
      <c r="U377" s="6">
        <f t="shared" si="701"/>
        <v>0</v>
      </c>
      <c r="V377" s="6">
        <f t="shared" si="701"/>
        <v>19333.110822999999</v>
      </c>
      <c r="W377" s="6">
        <f t="shared" si="701"/>
        <v>0</v>
      </c>
      <c r="X377" s="6">
        <f t="shared" si="701"/>
        <v>0</v>
      </c>
      <c r="Y377" s="6">
        <f t="shared" si="701"/>
        <v>0</v>
      </c>
      <c r="Z377" s="6">
        <f t="shared" si="701"/>
        <v>0</v>
      </c>
      <c r="AA377" s="6">
        <f t="shared" si="701"/>
        <v>0</v>
      </c>
      <c r="AB377" s="6">
        <f t="shared" si="701"/>
        <v>0</v>
      </c>
      <c r="AC377" s="67"/>
      <c r="AD377" s="55"/>
    </row>
    <row r="378" spans="1:30" s="52" customFormat="1">
      <c r="A378" s="99" t="s">
        <v>276</v>
      </c>
      <c r="B378" s="181">
        <f>834079.47/2</f>
        <v>417039.73499999999</v>
      </c>
      <c r="C378" s="211">
        <f>ROUND(B378/12,2)+ROUND(17077.38/2,2)</f>
        <v>43292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>
        <v>1</v>
      </c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5"/>
      <c r="AA378" s="5"/>
      <c r="AB378" s="5"/>
      <c r="AC378" s="67"/>
      <c r="AD378" s="55"/>
    </row>
    <row r="379" spans="1:30" s="52" customFormat="1">
      <c r="A379" s="97"/>
      <c r="B379" s="217"/>
      <c r="C379" s="211"/>
      <c r="D379" s="6">
        <f t="shared" ref="D379" si="702">$C378*D378</f>
        <v>0</v>
      </c>
      <c r="E379" s="6">
        <f t="shared" ref="E379" si="703">$C378*E378</f>
        <v>0</v>
      </c>
      <c r="F379" s="6">
        <f t="shared" ref="F379:AB379" si="704">$C378*F378</f>
        <v>0</v>
      </c>
      <c r="G379" s="6">
        <f t="shared" si="704"/>
        <v>0</v>
      </c>
      <c r="H379" s="6">
        <f t="shared" si="704"/>
        <v>0</v>
      </c>
      <c r="I379" s="6">
        <f t="shared" si="704"/>
        <v>0</v>
      </c>
      <c r="J379" s="6">
        <f t="shared" si="704"/>
        <v>0</v>
      </c>
      <c r="K379" s="6">
        <f t="shared" si="704"/>
        <v>0</v>
      </c>
      <c r="L379" s="6">
        <f t="shared" si="704"/>
        <v>0</v>
      </c>
      <c r="M379" s="6">
        <f t="shared" si="704"/>
        <v>0</v>
      </c>
      <c r="N379" s="6">
        <f t="shared" si="704"/>
        <v>43292</v>
      </c>
      <c r="O379" s="6">
        <f t="shared" si="704"/>
        <v>0</v>
      </c>
      <c r="P379" s="6">
        <f t="shared" si="704"/>
        <v>0</v>
      </c>
      <c r="Q379" s="6">
        <f t="shared" si="704"/>
        <v>0</v>
      </c>
      <c r="R379" s="6">
        <f t="shared" si="704"/>
        <v>0</v>
      </c>
      <c r="S379" s="6">
        <f t="shared" si="704"/>
        <v>0</v>
      </c>
      <c r="T379" s="6">
        <f t="shared" si="704"/>
        <v>0</v>
      </c>
      <c r="U379" s="6">
        <f t="shared" si="704"/>
        <v>0</v>
      </c>
      <c r="V379" s="6">
        <f t="shared" si="704"/>
        <v>0</v>
      </c>
      <c r="W379" s="6">
        <f t="shared" si="704"/>
        <v>0</v>
      </c>
      <c r="X379" s="6">
        <f t="shared" si="704"/>
        <v>0</v>
      </c>
      <c r="Y379" s="6">
        <f t="shared" si="704"/>
        <v>0</v>
      </c>
      <c r="Z379" s="6">
        <f t="shared" si="704"/>
        <v>0</v>
      </c>
      <c r="AA379" s="6">
        <f t="shared" si="704"/>
        <v>0</v>
      </c>
      <c r="AB379" s="6">
        <f t="shared" si="704"/>
        <v>0</v>
      </c>
      <c r="AC379" s="67"/>
      <c r="AD379" s="55"/>
    </row>
    <row r="380" spans="1:30" s="52" customFormat="1">
      <c r="A380" s="99" t="s">
        <v>275</v>
      </c>
      <c r="B380" s="181">
        <f>834079.47/2</f>
        <v>417039.73499999999</v>
      </c>
      <c r="C380" s="211">
        <f>ROUND(B380/12,2)+ROUND(17077.38/2,2)</f>
        <v>43292</v>
      </c>
      <c r="D380" s="170">
        <v>1.6500000000000001E-2</v>
      </c>
      <c r="E380" s="170">
        <v>0.1368</v>
      </c>
      <c r="F380" s="170">
        <v>5.7599999999999998E-2</v>
      </c>
      <c r="G380" s="170">
        <v>8.0399999999999999E-2</v>
      </c>
      <c r="H380" s="170">
        <v>4.1099999999999998E-2</v>
      </c>
      <c r="I380" s="170">
        <v>0.13389999999999999</v>
      </c>
      <c r="J380" s="170">
        <v>2.12E-2</v>
      </c>
      <c r="K380" s="170">
        <v>3.2500000000000001E-2</v>
      </c>
      <c r="L380" s="170">
        <v>1.7100000000000001E-2</v>
      </c>
      <c r="M380" s="170">
        <v>2.5999999999999999E-2</v>
      </c>
      <c r="N380" s="170">
        <v>0.13320000000000001</v>
      </c>
      <c r="O380" s="170">
        <v>1.89E-2</v>
      </c>
      <c r="P380" s="170">
        <v>0</v>
      </c>
      <c r="Q380" s="170">
        <v>3.8600000000000002E-2</v>
      </c>
      <c r="R380" s="170">
        <v>1.9E-2</v>
      </c>
      <c r="S380" s="170">
        <v>4.1999999999999997E-3</v>
      </c>
      <c r="T380" s="170">
        <v>5.3999999999999999E-2</v>
      </c>
      <c r="U380" s="170">
        <v>1.78E-2</v>
      </c>
      <c r="V380" s="170">
        <v>3.6700000000000003E-2</v>
      </c>
      <c r="W380" s="170">
        <v>4.7199999999999999E-2</v>
      </c>
      <c r="X380" s="170">
        <v>6.3899999999999998E-2</v>
      </c>
      <c r="Y380" s="170">
        <v>2.5999999999999999E-3</v>
      </c>
      <c r="Z380" s="171">
        <v>0</v>
      </c>
      <c r="AA380" s="171">
        <v>8.0000000000000004E-4</v>
      </c>
      <c r="AB380" s="171">
        <v>0</v>
      </c>
      <c r="AC380" s="67"/>
      <c r="AD380" s="55"/>
    </row>
    <row r="381" spans="1:30" s="52" customFormat="1">
      <c r="A381" s="97"/>
      <c r="B381" s="217"/>
      <c r="C381" s="211"/>
      <c r="D381" s="6">
        <f t="shared" ref="D381" si="705">$C380*D380</f>
        <v>714.31799999999998</v>
      </c>
      <c r="E381" s="6">
        <f t="shared" ref="E381" si="706">$C380*E380</f>
        <v>5922.3456000000006</v>
      </c>
      <c r="F381" s="6">
        <f t="shared" ref="F381:AB381" si="707">$C380*F380</f>
        <v>2493.6192000000001</v>
      </c>
      <c r="G381" s="6">
        <f t="shared" si="707"/>
        <v>3480.6768000000002</v>
      </c>
      <c r="H381" s="6">
        <f t="shared" si="707"/>
        <v>1779.3011999999999</v>
      </c>
      <c r="I381" s="6">
        <f t="shared" si="707"/>
        <v>5796.7987999999996</v>
      </c>
      <c r="J381" s="6">
        <f t="shared" si="707"/>
        <v>917.79039999999998</v>
      </c>
      <c r="K381" s="6">
        <f t="shared" si="707"/>
        <v>1406.99</v>
      </c>
      <c r="L381" s="6">
        <f t="shared" si="707"/>
        <v>740.29320000000007</v>
      </c>
      <c r="M381" s="6">
        <f t="shared" si="707"/>
        <v>1125.5919999999999</v>
      </c>
      <c r="N381" s="6">
        <f t="shared" si="707"/>
        <v>5766.4944000000005</v>
      </c>
      <c r="O381" s="6">
        <f t="shared" si="707"/>
        <v>818.21879999999999</v>
      </c>
      <c r="P381" s="6">
        <f t="shared" si="707"/>
        <v>0</v>
      </c>
      <c r="Q381" s="6">
        <f t="shared" si="707"/>
        <v>1671.0712000000001</v>
      </c>
      <c r="R381" s="6">
        <f t="shared" si="707"/>
        <v>822.548</v>
      </c>
      <c r="S381" s="6">
        <f t="shared" si="707"/>
        <v>181.82639999999998</v>
      </c>
      <c r="T381" s="6">
        <f t="shared" si="707"/>
        <v>2337.768</v>
      </c>
      <c r="U381" s="6">
        <f t="shared" si="707"/>
        <v>770.59759999999994</v>
      </c>
      <c r="V381" s="6">
        <f t="shared" si="707"/>
        <v>1588.8164000000002</v>
      </c>
      <c r="W381" s="6">
        <f t="shared" si="707"/>
        <v>2043.3824</v>
      </c>
      <c r="X381" s="6">
        <f t="shared" si="707"/>
        <v>2766.3588</v>
      </c>
      <c r="Y381" s="6">
        <f t="shared" si="707"/>
        <v>112.55919999999999</v>
      </c>
      <c r="Z381" s="6">
        <f t="shared" si="707"/>
        <v>0</v>
      </c>
      <c r="AA381" s="6">
        <f t="shared" si="707"/>
        <v>34.633600000000001</v>
      </c>
      <c r="AB381" s="6">
        <f t="shared" si="707"/>
        <v>0</v>
      </c>
      <c r="AC381" s="67"/>
      <c r="AD381" s="55"/>
    </row>
    <row r="382" spans="1:30" s="52" customFormat="1">
      <c r="A382" s="96" t="s">
        <v>305</v>
      </c>
      <c r="B382" s="181">
        <f>28311352.38/2</f>
        <v>14155676.189999999</v>
      </c>
      <c r="C382" s="211">
        <f>ROUND(B382/12,2)+ROUND(578684.41/2,2)</f>
        <v>1468981.89</v>
      </c>
      <c r="D382" s="170">
        <v>1.6500000000000001E-2</v>
      </c>
      <c r="E382" s="170">
        <v>0.1368</v>
      </c>
      <c r="F382" s="170">
        <v>5.7599999999999998E-2</v>
      </c>
      <c r="G382" s="170">
        <v>8.0399999999999999E-2</v>
      </c>
      <c r="H382" s="170">
        <v>4.1099999999999998E-2</v>
      </c>
      <c r="I382" s="170">
        <v>0.13389999999999999</v>
      </c>
      <c r="J382" s="170">
        <v>2.12E-2</v>
      </c>
      <c r="K382" s="170">
        <v>3.2500000000000001E-2</v>
      </c>
      <c r="L382" s="170">
        <v>1.7100000000000001E-2</v>
      </c>
      <c r="M382" s="170">
        <v>2.5999999999999999E-2</v>
      </c>
      <c r="N382" s="170">
        <v>0.13320000000000001</v>
      </c>
      <c r="O382" s="170">
        <v>1.89E-2</v>
      </c>
      <c r="P382" s="170">
        <v>0</v>
      </c>
      <c r="Q382" s="170">
        <v>3.8600000000000002E-2</v>
      </c>
      <c r="R382" s="170">
        <v>1.9E-2</v>
      </c>
      <c r="S382" s="170">
        <v>4.1999999999999997E-3</v>
      </c>
      <c r="T382" s="170">
        <v>5.3999999999999999E-2</v>
      </c>
      <c r="U382" s="170">
        <v>1.78E-2</v>
      </c>
      <c r="V382" s="170">
        <v>3.6700000000000003E-2</v>
      </c>
      <c r="W382" s="170">
        <v>4.7199999999999999E-2</v>
      </c>
      <c r="X382" s="170">
        <v>6.3899999999999998E-2</v>
      </c>
      <c r="Y382" s="170">
        <v>2.5999999999999999E-3</v>
      </c>
      <c r="Z382" s="171">
        <v>0</v>
      </c>
      <c r="AA382" s="171">
        <v>8.0000000000000004E-4</v>
      </c>
      <c r="AB382" s="171">
        <v>0</v>
      </c>
      <c r="AC382" s="67"/>
      <c r="AD382" s="55"/>
    </row>
    <row r="383" spans="1:30" s="52" customFormat="1">
      <c r="A383" s="97"/>
      <c r="B383" s="84"/>
      <c r="C383" s="211"/>
      <c r="D383" s="6">
        <f t="shared" ref="D383" si="708">$C382*D382</f>
        <v>24238.201184999998</v>
      </c>
      <c r="E383" s="6">
        <f t="shared" ref="E383" si="709">$C382*E382</f>
        <v>200956.72255199999</v>
      </c>
      <c r="F383" s="6">
        <f t="shared" ref="F383:AB383" si="710">$C382*F382</f>
        <v>84613.356863999987</v>
      </c>
      <c r="G383" s="6">
        <f t="shared" si="710"/>
        <v>118106.14395599999</v>
      </c>
      <c r="H383" s="6">
        <f t="shared" si="710"/>
        <v>60375.155678999996</v>
      </c>
      <c r="I383" s="6">
        <f t="shared" si="710"/>
        <v>196696.67507099998</v>
      </c>
      <c r="J383" s="6">
        <f t="shared" si="710"/>
        <v>31142.416067999999</v>
      </c>
      <c r="K383" s="6">
        <f t="shared" si="710"/>
        <v>47741.911424999998</v>
      </c>
      <c r="L383" s="6">
        <f t="shared" si="710"/>
        <v>25119.590318999999</v>
      </c>
      <c r="M383" s="6">
        <f t="shared" si="710"/>
        <v>38193.529139999999</v>
      </c>
      <c r="N383" s="6">
        <f t="shared" si="710"/>
        <v>195668.38774800001</v>
      </c>
      <c r="O383" s="6">
        <f t="shared" si="710"/>
        <v>27763.757720999998</v>
      </c>
      <c r="P383" s="6">
        <f t="shared" si="710"/>
        <v>0</v>
      </c>
      <c r="Q383" s="6">
        <f t="shared" si="710"/>
        <v>56702.700954</v>
      </c>
      <c r="R383" s="6">
        <f t="shared" si="710"/>
        <v>27910.655909999998</v>
      </c>
      <c r="S383" s="6">
        <f t="shared" si="710"/>
        <v>6169.7239379999992</v>
      </c>
      <c r="T383" s="6">
        <f t="shared" si="710"/>
        <v>79325.022059999988</v>
      </c>
      <c r="U383" s="6">
        <f t="shared" si="710"/>
        <v>26147.877641999999</v>
      </c>
      <c r="V383" s="6">
        <f t="shared" si="710"/>
        <v>53911.635363000001</v>
      </c>
      <c r="W383" s="6">
        <f t="shared" si="710"/>
        <v>69335.94520799999</v>
      </c>
      <c r="X383" s="6">
        <f t="shared" si="710"/>
        <v>93867.942770999987</v>
      </c>
      <c r="Y383" s="6">
        <f t="shared" si="710"/>
        <v>3819.3529139999996</v>
      </c>
      <c r="Z383" s="6">
        <f t="shared" si="710"/>
        <v>0</v>
      </c>
      <c r="AA383" s="6">
        <f t="shared" si="710"/>
        <v>1175.185512</v>
      </c>
      <c r="AB383" s="6">
        <f t="shared" si="710"/>
        <v>0</v>
      </c>
      <c r="AC383" s="67"/>
      <c r="AD383" s="55"/>
    </row>
    <row r="384" spans="1:30" s="52" customFormat="1">
      <c r="A384" s="96" t="s">
        <v>433</v>
      </c>
      <c r="B384" s="181">
        <f>28311352.38/2</f>
        <v>14155676.189999999</v>
      </c>
      <c r="C384" s="211">
        <f>ROUND(B384/12,2)+ROUND(578684.41/2,2)</f>
        <v>1468981.89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>
        <v>1</v>
      </c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67"/>
      <c r="AD384" s="55"/>
    </row>
    <row r="385" spans="1:30" s="52" customFormat="1">
      <c r="A385" s="97"/>
      <c r="B385" s="74"/>
      <c r="C385" s="211"/>
      <c r="D385" s="6">
        <f t="shared" ref="D385" si="711">$C384*D384</f>
        <v>0</v>
      </c>
      <c r="E385" s="6">
        <f t="shared" ref="E385" si="712">$C384*E384</f>
        <v>0</v>
      </c>
      <c r="F385" s="6">
        <f t="shared" ref="F385:O385" si="713">$C384*F384</f>
        <v>0</v>
      </c>
      <c r="G385" s="6">
        <f t="shared" si="713"/>
        <v>0</v>
      </c>
      <c r="H385" s="6">
        <f t="shared" si="713"/>
        <v>0</v>
      </c>
      <c r="I385" s="6">
        <f t="shared" si="713"/>
        <v>0</v>
      </c>
      <c r="J385" s="6">
        <f t="shared" si="713"/>
        <v>0</v>
      </c>
      <c r="K385" s="6">
        <f t="shared" si="713"/>
        <v>0</v>
      </c>
      <c r="L385" s="6">
        <f t="shared" si="713"/>
        <v>0</v>
      </c>
      <c r="M385" s="6">
        <f t="shared" si="713"/>
        <v>0</v>
      </c>
      <c r="N385" s="6">
        <f t="shared" si="713"/>
        <v>1468981.89</v>
      </c>
      <c r="O385" s="6">
        <f t="shared" si="713"/>
        <v>0</v>
      </c>
      <c r="P385" s="6">
        <f t="shared" ref="P385" si="714">$C384*P384</f>
        <v>0</v>
      </c>
      <c r="Q385" s="6">
        <f t="shared" ref="Q385" si="715">$C384*Q384</f>
        <v>0</v>
      </c>
      <c r="R385" s="6">
        <f t="shared" ref="R385:AB385" si="716">$C384*R384</f>
        <v>0</v>
      </c>
      <c r="S385" s="6">
        <f t="shared" si="716"/>
        <v>0</v>
      </c>
      <c r="T385" s="6">
        <f t="shared" si="716"/>
        <v>0</v>
      </c>
      <c r="U385" s="6">
        <f t="shared" si="716"/>
        <v>0</v>
      </c>
      <c r="V385" s="6">
        <f t="shared" si="716"/>
        <v>0</v>
      </c>
      <c r="W385" s="6">
        <f t="shared" si="716"/>
        <v>0</v>
      </c>
      <c r="X385" s="6">
        <f t="shared" si="716"/>
        <v>0</v>
      </c>
      <c r="Y385" s="6">
        <f t="shared" si="716"/>
        <v>0</v>
      </c>
      <c r="Z385" s="6">
        <f t="shared" si="716"/>
        <v>0</v>
      </c>
      <c r="AA385" s="6">
        <f t="shared" si="716"/>
        <v>0</v>
      </c>
      <c r="AB385" s="6">
        <f t="shared" si="716"/>
        <v>0</v>
      </c>
      <c r="AC385" s="67"/>
      <c r="AD385" s="55"/>
    </row>
    <row r="386" spans="1:30" s="52" customFormat="1">
      <c r="A386" s="99" t="s">
        <v>306</v>
      </c>
      <c r="B386" s="181">
        <v>567899.35</v>
      </c>
      <c r="C386" s="211">
        <f>ROUND(B386/12,2)+11814.64</f>
        <v>59139.59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>
        <v>0.99839999999999995</v>
      </c>
      <c r="O386" s="38"/>
      <c r="P386" s="38"/>
      <c r="Q386" s="38"/>
      <c r="R386" s="38"/>
      <c r="S386" s="38"/>
      <c r="T386" s="38"/>
      <c r="U386" s="38"/>
      <c r="V386" s="38">
        <v>1.6000000000000001E-3</v>
      </c>
      <c r="W386" s="38"/>
      <c r="X386" s="38"/>
      <c r="Y386" s="38"/>
      <c r="Z386" s="5"/>
      <c r="AA386" s="5"/>
      <c r="AB386" s="5"/>
      <c r="AC386" s="67"/>
      <c r="AD386" s="55"/>
    </row>
    <row r="387" spans="1:30" s="52" customFormat="1">
      <c r="A387" s="97"/>
      <c r="B387" s="217"/>
      <c r="C387" s="211"/>
      <c r="D387" s="6">
        <f t="shared" ref="D387" si="717">$C386*D386</f>
        <v>0</v>
      </c>
      <c r="E387" s="6">
        <f t="shared" ref="E387" si="718">$C386*E386</f>
        <v>0</v>
      </c>
      <c r="F387" s="6">
        <f t="shared" ref="F387:AB387" si="719">$C386*F386</f>
        <v>0</v>
      </c>
      <c r="G387" s="6">
        <f t="shared" si="719"/>
        <v>0</v>
      </c>
      <c r="H387" s="6">
        <f t="shared" si="719"/>
        <v>0</v>
      </c>
      <c r="I387" s="6">
        <f t="shared" si="719"/>
        <v>0</v>
      </c>
      <c r="J387" s="6">
        <f t="shared" si="719"/>
        <v>0</v>
      </c>
      <c r="K387" s="6">
        <f t="shared" si="719"/>
        <v>0</v>
      </c>
      <c r="L387" s="6">
        <f t="shared" si="719"/>
        <v>0</v>
      </c>
      <c r="M387" s="6">
        <f t="shared" si="719"/>
        <v>0</v>
      </c>
      <c r="N387" s="6">
        <f t="shared" si="719"/>
        <v>59044.966655999997</v>
      </c>
      <c r="O387" s="6">
        <f t="shared" si="719"/>
        <v>0</v>
      </c>
      <c r="P387" s="6">
        <f t="shared" si="719"/>
        <v>0</v>
      </c>
      <c r="Q387" s="6">
        <f t="shared" si="719"/>
        <v>0</v>
      </c>
      <c r="R387" s="6">
        <f t="shared" si="719"/>
        <v>0</v>
      </c>
      <c r="S387" s="6">
        <f t="shared" si="719"/>
        <v>0</v>
      </c>
      <c r="T387" s="6">
        <f t="shared" si="719"/>
        <v>0</v>
      </c>
      <c r="U387" s="6">
        <f t="shared" si="719"/>
        <v>0</v>
      </c>
      <c r="V387" s="6">
        <f t="shared" si="719"/>
        <v>94.623344000000003</v>
      </c>
      <c r="W387" s="6">
        <f t="shared" si="719"/>
        <v>0</v>
      </c>
      <c r="X387" s="6">
        <f t="shared" si="719"/>
        <v>0</v>
      </c>
      <c r="Y387" s="6">
        <f t="shared" si="719"/>
        <v>0</v>
      </c>
      <c r="Z387" s="6">
        <f t="shared" si="719"/>
        <v>0</v>
      </c>
      <c r="AA387" s="6">
        <f t="shared" si="719"/>
        <v>0</v>
      </c>
      <c r="AB387" s="6">
        <f t="shared" si="719"/>
        <v>0</v>
      </c>
      <c r="AC387" s="67"/>
      <c r="AD387" s="55"/>
    </row>
    <row r="388" spans="1:30" s="52" customFormat="1">
      <c r="A388" s="99" t="s">
        <v>307</v>
      </c>
      <c r="B388" s="181">
        <v>-885195.8</v>
      </c>
      <c r="C388" s="211">
        <f>ROUND(B388/12,2)+4664.62</f>
        <v>-69101.700000000012</v>
      </c>
      <c r="D388" s="38">
        <v>4.5999999999999999E-3</v>
      </c>
      <c r="E388" s="38"/>
      <c r="F388" s="38">
        <v>4.1799999999999997E-2</v>
      </c>
      <c r="G388" s="38"/>
      <c r="H388" s="38">
        <v>2.0199999999999999E-2</v>
      </c>
      <c r="I388" s="38"/>
      <c r="J388" s="38"/>
      <c r="K388" s="38"/>
      <c r="L388" s="38"/>
      <c r="M388" s="38">
        <v>8.0000000000000002E-3</v>
      </c>
      <c r="N388" s="38">
        <v>0.88449999999999995</v>
      </c>
      <c r="O388" s="38"/>
      <c r="P388" s="38"/>
      <c r="Q388" s="38">
        <v>6.4000000000000003E-3</v>
      </c>
      <c r="R388" s="38">
        <v>5.0000000000000001E-3</v>
      </c>
      <c r="S388" s="38">
        <v>5.9999999999999995E-4</v>
      </c>
      <c r="T388" s="38">
        <v>1.55E-2</v>
      </c>
      <c r="U388" s="38"/>
      <c r="V388" s="38">
        <v>1.34E-2</v>
      </c>
      <c r="W388" s="38"/>
      <c r="X388" s="38"/>
      <c r="Y388" s="38"/>
      <c r="Z388" s="5"/>
      <c r="AA388" s="5"/>
      <c r="AB388" s="5"/>
      <c r="AC388" s="67"/>
      <c r="AD388" s="55"/>
    </row>
    <row r="389" spans="1:30" s="52" customFormat="1">
      <c r="A389" s="97"/>
      <c r="B389" s="217"/>
      <c r="C389" s="211"/>
      <c r="D389" s="6">
        <f t="shared" ref="D389" si="720">$C388*D388</f>
        <v>-317.86782000000005</v>
      </c>
      <c r="E389" s="6">
        <f t="shared" ref="E389" si="721">$C388*E388</f>
        <v>0</v>
      </c>
      <c r="F389" s="6">
        <f t="shared" ref="F389:AB389" si="722">$C388*F388</f>
        <v>-2888.4510600000003</v>
      </c>
      <c r="G389" s="6">
        <f t="shared" si="722"/>
        <v>0</v>
      </c>
      <c r="H389" s="6">
        <f t="shared" si="722"/>
        <v>-1395.8543400000001</v>
      </c>
      <c r="I389" s="6">
        <f t="shared" si="722"/>
        <v>0</v>
      </c>
      <c r="J389" s="6">
        <f t="shared" si="722"/>
        <v>0</v>
      </c>
      <c r="K389" s="6">
        <f t="shared" si="722"/>
        <v>0</v>
      </c>
      <c r="L389" s="6">
        <f t="shared" si="722"/>
        <v>0</v>
      </c>
      <c r="M389" s="6">
        <f t="shared" si="722"/>
        <v>-552.81360000000006</v>
      </c>
      <c r="N389" s="6">
        <f t="shared" si="722"/>
        <v>-61120.45365000001</v>
      </c>
      <c r="O389" s="6">
        <f t="shared" si="722"/>
        <v>0</v>
      </c>
      <c r="P389" s="6">
        <f t="shared" si="722"/>
        <v>0</v>
      </c>
      <c r="Q389" s="6">
        <f t="shared" si="722"/>
        <v>-442.25088000000011</v>
      </c>
      <c r="R389" s="6">
        <f t="shared" si="722"/>
        <v>-345.50850000000008</v>
      </c>
      <c r="S389" s="6">
        <f t="shared" si="722"/>
        <v>-41.461020000000005</v>
      </c>
      <c r="T389" s="6">
        <f t="shared" si="722"/>
        <v>-1071.0763500000003</v>
      </c>
      <c r="U389" s="6">
        <f t="shared" si="722"/>
        <v>0</v>
      </c>
      <c r="V389" s="6">
        <f t="shared" si="722"/>
        <v>-925.96278000000018</v>
      </c>
      <c r="W389" s="6">
        <f t="shared" si="722"/>
        <v>0</v>
      </c>
      <c r="X389" s="6">
        <f t="shared" si="722"/>
        <v>0</v>
      </c>
      <c r="Y389" s="6">
        <f t="shared" si="722"/>
        <v>0</v>
      </c>
      <c r="Z389" s="6">
        <f t="shared" si="722"/>
        <v>0</v>
      </c>
      <c r="AA389" s="6">
        <f t="shared" si="722"/>
        <v>0</v>
      </c>
      <c r="AB389" s="6">
        <f t="shared" si="722"/>
        <v>0</v>
      </c>
      <c r="AC389" s="67"/>
      <c r="AD389" s="55"/>
    </row>
    <row r="390" spans="1:30" s="52" customFormat="1">
      <c r="A390" s="99" t="s">
        <v>308</v>
      </c>
      <c r="B390" s="181">
        <f>4734024.94/2</f>
        <v>2367012.4700000002</v>
      </c>
      <c r="C390" s="211">
        <f>ROUND(B390/12,2)+ROUND(97054.62/2,2)</f>
        <v>245778.35</v>
      </c>
      <c r="D390" s="170">
        <v>1.6500000000000001E-2</v>
      </c>
      <c r="E390" s="170">
        <v>0.1368</v>
      </c>
      <c r="F390" s="170">
        <v>5.7599999999999998E-2</v>
      </c>
      <c r="G390" s="170">
        <v>8.0399999999999999E-2</v>
      </c>
      <c r="H390" s="170">
        <v>4.1099999999999998E-2</v>
      </c>
      <c r="I390" s="170">
        <v>0.13389999999999999</v>
      </c>
      <c r="J390" s="170">
        <v>2.12E-2</v>
      </c>
      <c r="K390" s="170">
        <v>3.2500000000000001E-2</v>
      </c>
      <c r="L390" s="170">
        <v>1.7100000000000001E-2</v>
      </c>
      <c r="M390" s="170">
        <v>2.5999999999999999E-2</v>
      </c>
      <c r="N390" s="170">
        <v>0.13320000000000001</v>
      </c>
      <c r="O390" s="170">
        <v>1.89E-2</v>
      </c>
      <c r="P390" s="170">
        <v>0</v>
      </c>
      <c r="Q390" s="170">
        <v>3.8600000000000002E-2</v>
      </c>
      <c r="R390" s="170">
        <v>1.9E-2</v>
      </c>
      <c r="S390" s="170">
        <v>4.1999999999999997E-3</v>
      </c>
      <c r="T390" s="170">
        <v>5.3999999999999999E-2</v>
      </c>
      <c r="U390" s="170">
        <v>1.78E-2</v>
      </c>
      <c r="V390" s="170">
        <v>3.6700000000000003E-2</v>
      </c>
      <c r="W390" s="170">
        <v>4.7199999999999999E-2</v>
      </c>
      <c r="X390" s="170">
        <v>6.3899999999999998E-2</v>
      </c>
      <c r="Y390" s="170">
        <v>2.5999999999999999E-3</v>
      </c>
      <c r="Z390" s="171">
        <v>0</v>
      </c>
      <c r="AA390" s="171">
        <v>8.0000000000000004E-4</v>
      </c>
      <c r="AB390" s="171">
        <v>0</v>
      </c>
      <c r="AC390" s="67"/>
      <c r="AD390" s="55"/>
    </row>
    <row r="391" spans="1:30" s="52" customFormat="1">
      <c r="A391" s="97"/>
      <c r="B391" s="217"/>
      <c r="C391" s="211"/>
      <c r="D391" s="6">
        <f t="shared" ref="D391" si="723">$C390*D390</f>
        <v>4055.3427750000001</v>
      </c>
      <c r="E391" s="6">
        <f t="shared" ref="E391" si="724">$C390*E390</f>
        <v>33622.478280000003</v>
      </c>
      <c r="F391" s="6">
        <f t="shared" ref="F391:AB391" si="725">$C390*F390</f>
        <v>14156.83296</v>
      </c>
      <c r="G391" s="6">
        <f t="shared" si="725"/>
        <v>19760.57934</v>
      </c>
      <c r="H391" s="6">
        <f t="shared" si="725"/>
        <v>10101.490185000001</v>
      </c>
      <c r="I391" s="6">
        <f t="shared" si="725"/>
        <v>32909.721064999998</v>
      </c>
      <c r="J391" s="6">
        <f t="shared" si="725"/>
        <v>5210.5010199999997</v>
      </c>
      <c r="K391" s="6">
        <f t="shared" si="725"/>
        <v>7987.7963750000008</v>
      </c>
      <c r="L391" s="6">
        <f t="shared" si="725"/>
        <v>4202.8097850000004</v>
      </c>
      <c r="M391" s="6">
        <f t="shared" si="725"/>
        <v>6390.2371000000003</v>
      </c>
      <c r="N391" s="6">
        <f t="shared" si="725"/>
        <v>32737.676220000005</v>
      </c>
      <c r="O391" s="6">
        <f t="shared" si="725"/>
        <v>4645.2108150000004</v>
      </c>
      <c r="P391" s="6">
        <f t="shared" si="725"/>
        <v>0</v>
      </c>
      <c r="Q391" s="6">
        <f t="shared" si="725"/>
        <v>9487.0443100000011</v>
      </c>
      <c r="R391" s="6">
        <f t="shared" si="725"/>
        <v>4669.7886500000004</v>
      </c>
      <c r="S391" s="6">
        <f t="shared" si="725"/>
        <v>1032.2690700000001</v>
      </c>
      <c r="T391" s="6">
        <f t="shared" si="725"/>
        <v>13272.0309</v>
      </c>
      <c r="U391" s="6">
        <f t="shared" si="725"/>
        <v>4374.8546299999998</v>
      </c>
      <c r="V391" s="6">
        <f t="shared" si="725"/>
        <v>9020.0654450000002</v>
      </c>
      <c r="W391" s="6">
        <f t="shared" si="725"/>
        <v>11600.73812</v>
      </c>
      <c r="X391" s="6">
        <f t="shared" si="725"/>
        <v>15705.236564999999</v>
      </c>
      <c r="Y391" s="6">
        <f t="shared" si="725"/>
        <v>639.02370999999994</v>
      </c>
      <c r="Z391" s="6">
        <f t="shared" si="725"/>
        <v>0</v>
      </c>
      <c r="AA391" s="6">
        <f t="shared" si="725"/>
        <v>196.62268</v>
      </c>
      <c r="AB391" s="6">
        <f t="shared" si="725"/>
        <v>0</v>
      </c>
      <c r="AC391" s="67"/>
      <c r="AD391" s="55"/>
    </row>
    <row r="392" spans="1:30" s="52" customFormat="1">
      <c r="A392" s="99" t="s">
        <v>470</v>
      </c>
      <c r="B392" s="181">
        <f>4734024.94/2</f>
        <v>2367012.4700000002</v>
      </c>
      <c r="C392" s="211">
        <f>ROUND(B392/12,2)+ROUND(97054.62/2,2)</f>
        <v>245778.35</v>
      </c>
      <c r="D392" s="38"/>
      <c r="E392" s="38"/>
      <c r="F392" s="170">
        <v>0.83979999999999999</v>
      </c>
      <c r="G392" s="38"/>
      <c r="H392" s="38"/>
      <c r="I392" s="38"/>
      <c r="J392" s="38"/>
      <c r="K392" s="38"/>
      <c r="L392" s="38"/>
      <c r="M392" s="38"/>
      <c r="N392" s="170">
        <v>0.16020000000000001</v>
      </c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5"/>
      <c r="AA392" s="5"/>
      <c r="AB392" s="5"/>
      <c r="AC392" s="67"/>
      <c r="AD392" s="55"/>
    </row>
    <row r="393" spans="1:30" s="52" customFormat="1">
      <c r="A393" s="97"/>
      <c r="B393" s="217"/>
      <c r="C393" s="211"/>
      <c r="D393" s="6">
        <f t="shared" ref="D393" si="726">$C392*D392</f>
        <v>0</v>
      </c>
      <c r="E393" s="6">
        <f t="shared" ref="E393" si="727">$C392*E392</f>
        <v>0</v>
      </c>
      <c r="F393" s="6">
        <f t="shared" ref="F393:AB393" si="728">$C392*F392</f>
        <v>206404.65833000001</v>
      </c>
      <c r="G393" s="6">
        <f t="shared" si="728"/>
        <v>0</v>
      </c>
      <c r="H393" s="6">
        <f t="shared" si="728"/>
        <v>0</v>
      </c>
      <c r="I393" s="6">
        <f t="shared" si="728"/>
        <v>0</v>
      </c>
      <c r="J393" s="6">
        <f t="shared" si="728"/>
        <v>0</v>
      </c>
      <c r="K393" s="6">
        <f t="shared" si="728"/>
        <v>0</v>
      </c>
      <c r="L393" s="6">
        <f t="shared" si="728"/>
        <v>0</v>
      </c>
      <c r="M393" s="6">
        <f t="shared" si="728"/>
        <v>0</v>
      </c>
      <c r="N393" s="6">
        <f t="shared" si="728"/>
        <v>39373.69167</v>
      </c>
      <c r="O393" s="6">
        <f t="shared" si="728"/>
        <v>0</v>
      </c>
      <c r="P393" s="6">
        <f t="shared" si="728"/>
        <v>0</v>
      </c>
      <c r="Q393" s="6">
        <f t="shared" si="728"/>
        <v>0</v>
      </c>
      <c r="R393" s="6">
        <f t="shared" si="728"/>
        <v>0</v>
      </c>
      <c r="S393" s="6">
        <f t="shared" si="728"/>
        <v>0</v>
      </c>
      <c r="T393" s="6">
        <f t="shared" si="728"/>
        <v>0</v>
      </c>
      <c r="U393" s="6">
        <f t="shared" si="728"/>
        <v>0</v>
      </c>
      <c r="V393" s="6">
        <f t="shared" si="728"/>
        <v>0</v>
      </c>
      <c r="W393" s="6">
        <f t="shared" si="728"/>
        <v>0</v>
      </c>
      <c r="X393" s="6">
        <f t="shared" si="728"/>
        <v>0</v>
      </c>
      <c r="Y393" s="6">
        <f t="shared" si="728"/>
        <v>0</v>
      </c>
      <c r="Z393" s="6">
        <f t="shared" si="728"/>
        <v>0</v>
      </c>
      <c r="AA393" s="6">
        <f t="shared" si="728"/>
        <v>0</v>
      </c>
      <c r="AB393" s="6">
        <f t="shared" si="728"/>
        <v>0</v>
      </c>
      <c r="AC393" s="67"/>
      <c r="AD393" s="55"/>
    </row>
    <row r="394" spans="1:30" s="52" customFormat="1">
      <c r="A394" s="99" t="s">
        <v>382</v>
      </c>
      <c r="B394" s="181">
        <v>12700648.35</v>
      </c>
      <c r="C394" s="211">
        <f>ROUND(B394/12,2)+260855.23</f>
        <v>1319242.5900000001</v>
      </c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>
        <v>0.99839999999999995</v>
      </c>
      <c r="O394" s="38"/>
      <c r="P394" s="38"/>
      <c r="Q394" s="38"/>
      <c r="R394" s="38"/>
      <c r="S394" s="38"/>
      <c r="T394" s="38"/>
      <c r="U394" s="38"/>
      <c r="V394" s="38">
        <v>1.6000000000000001E-3</v>
      </c>
      <c r="W394" s="38"/>
      <c r="X394" s="38"/>
      <c r="Y394" s="38"/>
      <c r="Z394" s="5"/>
      <c r="AA394" s="5"/>
      <c r="AB394" s="5"/>
      <c r="AC394" s="67"/>
      <c r="AD394" s="55"/>
    </row>
    <row r="395" spans="1:30" s="52" customFormat="1">
      <c r="A395" s="97"/>
      <c r="B395" s="217"/>
      <c r="C395" s="211"/>
      <c r="D395" s="6">
        <f t="shared" ref="D395" si="729">$C394*D394</f>
        <v>0</v>
      </c>
      <c r="E395" s="6">
        <f t="shared" ref="E395" si="730">$C394*E394</f>
        <v>0</v>
      </c>
      <c r="F395" s="6">
        <f t="shared" ref="F395:AB395" si="731">$C394*F394</f>
        <v>0</v>
      </c>
      <c r="G395" s="6">
        <f t="shared" si="731"/>
        <v>0</v>
      </c>
      <c r="H395" s="6">
        <f t="shared" si="731"/>
        <v>0</v>
      </c>
      <c r="I395" s="6">
        <f t="shared" si="731"/>
        <v>0</v>
      </c>
      <c r="J395" s="6">
        <f t="shared" si="731"/>
        <v>0</v>
      </c>
      <c r="K395" s="6">
        <f t="shared" si="731"/>
        <v>0</v>
      </c>
      <c r="L395" s="6">
        <f t="shared" si="731"/>
        <v>0</v>
      </c>
      <c r="M395" s="6">
        <f t="shared" si="731"/>
        <v>0</v>
      </c>
      <c r="N395" s="6">
        <f t="shared" si="731"/>
        <v>1317131.801856</v>
      </c>
      <c r="O395" s="6">
        <f t="shared" si="731"/>
        <v>0</v>
      </c>
      <c r="P395" s="6">
        <f t="shared" si="731"/>
        <v>0</v>
      </c>
      <c r="Q395" s="6">
        <f t="shared" si="731"/>
        <v>0</v>
      </c>
      <c r="R395" s="6">
        <f t="shared" si="731"/>
        <v>0</v>
      </c>
      <c r="S395" s="6">
        <f t="shared" si="731"/>
        <v>0</v>
      </c>
      <c r="T395" s="6">
        <f t="shared" si="731"/>
        <v>0</v>
      </c>
      <c r="U395" s="6">
        <f t="shared" si="731"/>
        <v>0</v>
      </c>
      <c r="V395" s="6">
        <f t="shared" si="731"/>
        <v>2110.7881440000001</v>
      </c>
      <c r="W395" s="6">
        <f t="shared" si="731"/>
        <v>0</v>
      </c>
      <c r="X395" s="6">
        <f t="shared" si="731"/>
        <v>0</v>
      </c>
      <c r="Y395" s="6">
        <f t="shared" si="731"/>
        <v>0</v>
      </c>
      <c r="Z395" s="6">
        <f t="shared" si="731"/>
        <v>0</v>
      </c>
      <c r="AA395" s="6">
        <f t="shared" si="731"/>
        <v>0</v>
      </c>
      <c r="AB395" s="6">
        <f t="shared" si="731"/>
        <v>0</v>
      </c>
      <c r="AC395" s="67"/>
      <c r="AD395" s="55"/>
    </row>
    <row r="396" spans="1:30" s="52" customFormat="1">
      <c r="A396" s="99" t="s">
        <v>383</v>
      </c>
      <c r="B396" s="181">
        <v>9295730.5500000007</v>
      </c>
      <c r="C396" s="211">
        <f>ROUND(B396/12,2)+193242</f>
        <v>967886.21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>
        <v>0.99839999999999995</v>
      </c>
      <c r="O396" s="38"/>
      <c r="P396" s="38"/>
      <c r="Q396" s="38"/>
      <c r="R396" s="38"/>
      <c r="S396" s="38"/>
      <c r="T396" s="38"/>
      <c r="U396" s="38"/>
      <c r="V396" s="38">
        <v>1.6000000000000001E-3</v>
      </c>
      <c r="W396" s="38"/>
      <c r="X396" s="38"/>
      <c r="Y396" s="38"/>
      <c r="Z396" s="5"/>
      <c r="AA396" s="5"/>
      <c r="AB396" s="5"/>
      <c r="AC396" s="67"/>
      <c r="AD396" s="55"/>
    </row>
    <row r="397" spans="1:30" s="52" customFormat="1">
      <c r="A397" s="97"/>
      <c r="B397" s="217"/>
      <c r="C397" s="211"/>
      <c r="D397" s="6">
        <f t="shared" ref="D397" si="732">$C396*D396</f>
        <v>0</v>
      </c>
      <c r="E397" s="6">
        <f t="shared" ref="E397" si="733">$C396*E396</f>
        <v>0</v>
      </c>
      <c r="F397" s="6">
        <f t="shared" ref="F397:AB397" si="734">$C396*F396</f>
        <v>0</v>
      </c>
      <c r="G397" s="6">
        <f t="shared" si="734"/>
        <v>0</v>
      </c>
      <c r="H397" s="6">
        <f t="shared" si="734"/>
        <v>0</v>
      </c>
      <c r="I397" s="6">
        <f t="shared" si="734"/>
        <v>0</v>
      </c>
      <c r="J397" s="6">
        <f t="shared" si="734"/>
        <v>0</v>
      </c>
      <c r="K397" s="6">
        <f t="shared" si="734"/>
        <v>0</v>
      </c>
      <c r="L397" s="6">
        <f t="shared" si="734"/>
        <v>0</v>
      </c>
      <c r="M397" s="6">
        <f t="shared" si="734"/>
        <v>0</v>
      </c>
      <c r="N397" s="6">
        <f t="shared" si="734"/>
        <v>966337.59206399997</v>
      </c>
      <c r="O397" s="6">
        <f t="shared" si="734"/>
        <v>0</v>
      </c>
      <c r="P397" s="6">
        <f t="shared" si="734"/>
        <v>0</v>
      </c>
      <c r="Q397" s="6">
        <f t="shared" si="734"/>
        <v>0</v>
      </c>
      <c r="R397" s="6">
        <f t="shared" si="734"/>
        <v>0</v>
      </c>
      <c r="S397" s="6">
        <f t="shared" si="734"/>
        <v>0</v>
      </c>
      <c r="T397" s="6">
        <f t="shared" si="734"/>
        <v>0</v>
      </c>
      <c r="U397" s="6">
        <f t="shared" si="734"/>
        <v>0</v>
      </c>
      <c r="V397" s="6">
        <f t="shared" si="734"/>
        <v>1548.6179360000001</v>
      </c>
      <c r="W397" s="6">
        <f t="shared" si="734"/>
        <v>0</v>
      </c>
      <c r="X397" s="6">
        <f t="shared" si="734"/>
        <v>0</v>
      </c>
      <c r="Y397" s="6">
        <f t="shared" si="734"/>
        <v>0</v>
      </c>
      <c r="Z397" s="6">
        <f t="shared" si="734"/>
        <v>0</v>
      </c>
      <c r="AA397" s="6">
        <f t="shared" si="734"/>
        <v>0</v>
      </c>
      <c r="AB397" s="6">
        <f t="shared" si="734"/>
        <v>0</v>
      </c>
      <c r="AC397" s="67"/>
      <c r="AD397" s="55"/>
    </row>
    <row r="398" spans="1:30" s="52" customFormat="1">
      <c r="A398" s="99" t="s">
        <v>385</v>
      </c>
      <c r="B398" s="181">
        <f>6260596.48/2</f>
        <v>3130298.24</v>
      </c>
      <c r="C398" s="211">
        <f>ROUND(B398/12,2)+ROUND(129217.14/2,2)</f>
        <v>325466.76</v>
      </c>
      <c r="D398" s="38"/>
      <c r="E398" s="38"/>
      <c r="F398" s="38"/>
      <c r="G398" s="38"/>
      <c r="H398" s="170">
        <v>4.2700000000000002E-2</v>
      </c>
      <c r="I398" s="38"/>
      <c r="J398" s="38"/>
      <c r="K398" s="38"/>
      <c r="L398" s="38"/>
      <c r="M398" s="38"/>
      <c r="N398" s="170">
        <v>0.90129999999999999</v>
      </c>
      <c r="O398" s="170">
        <v>0</v>
      </c>
      <c r="P398" s="38"/>
      <c r="Q398" s="38"/>
      <c r="R398" s="38"/>
      <c r="S398" s="38"/>
      <c r="T398" s="38"/>
      <c r="U398" s="38"/>
      <c r="V398" s="170">
        <v>5.6000000000000001E-2</v>
      </c>
      <c r="W398" s="38"/>
      <c r="X398" s="38"/>
      <c r="Y398" s="38"/>
      <c r="Z398" s="5"/>
      <c r="AA398" s="5"/>
      <c r="AB398" s="5"/>
      <c r="AC398" s="67"/>
      <c r="AD398" s="55"/>
    </row>
    <row r="399" spans="1:30" s="52" customFormat="1">
      <c r="A399" s="97"/>
      <c r="B399" s="217"/>
      <c r="C399" s="211"/>
      <c r="D399" s="6">
        <f t="shared" ref="D399" si="735">$C398*D398</f>
        <v>0</v>
      </c>
      <c r="E399" s="6">
        <f t="shared" ref="E399" si="736">$C398*E398</f>
        <v>0</v>
      </c>
      <c r="F399" s="6">
        <f t="shared" ref="F399:AB399" si="737">$C398*F398</f>
        <v>0</v>
      </c>
      <c r="G399" s="6">
        <f t="shared" si="737"/>
        <v>0</v>
      </c>
      <c r="H399" s="6">
        <f t="shared" si="737"/>
        <v>13897.430652000001</v>
      </c>
      <c r="I399" s="6">
        <f t="shared" si="737"/>
        <v>0</v>
      </c>
      <c r="J399" s="6">
        <f t="shared" si="737"/>
        <v>0</v>
      </c>
      <c r="K399" s="6">
        <f t="shared" si="737"/>
        <v>0</v>
      </c>
      <c r="L399" s="6">
        <f t="shared" si="737"/>
        <v>0</v>
      </c>
      <c r="M399" s="6">
        <f t="shared" si="737"/>
        <v>0</v>
      </c>
      <c r="N399" s="6">
        <f t="shared" si="737"/>
        <v>293343.19078800001</v>
      </c>
      <c r="O399" s="6">
        <f t="shared" si="737"/>
        <v>0</v>
      </c>
      <c r="P399" s="6">
        <f t="shared" si="737"/>
        <v>0</v>
      </c>
      <c r="Q399" s="6">
        <f t="shared" si="737"/>
        <v>0</v>
      </c>
      <c r="R399" s="6">
        <f t="shared" si="737"/>
        <v>0</v>
      </c>
      <c r="S399" s="6">
        <f t="shared" si="737"/>
        <v>0</v>
      </c>
      <c r="T399" s="6">
        <f t="shared" si="737"/>
        <v>0</v>
      </c>
      <c r="U399" s="6">
        <f t="shared" si="737"/>
        <v>0</v>
      </c>
      <c r="V399" s="6">
        <f t="shared" si="737"/>
        <v>18226.138559999999</v>
      </c>
      <c r="W399" s="6">
        <f t="shared" si="737"/>
        <v>0</v>
      </c>
      <c r="X399" s="6">
        <f t="shared" si="737"/>
        <v>0</v>
      </c>
      <c r="Y399" s="6">
        <f t="shared" si="737"/>
        <v>0</v>
      </c>
      <c r="Z399" s="6">
        <f t="shared" si="737"/>
        <v>0</v>
      </c>
      <c r="AA399" s="6">
        <f t="shared" si="737"/>
        <v>0</v>
      </c>
      <c r="AB399" s="6">
        <f t="shared" si="737"/>
        <v>0</v>
      </c>
      <c r="AC399" s="67"/>
      <c r="AD399" s="55"/>
    </row>
    <row r="400" spans="1:30" s="52" customFormat="1">
      <c r="A400" s="99" t="s">
        <v>384</v>
      </c>
      <c r="B400" s="181">
        <f>6260596.48/2</f>
        <v>3130298.24</v>
      </c>
      <c r="C400" s="211">
        <f>ROUND(B400/12,2)+ROUND(129217.14/2,2)</f>
        <v>325466.76</v>
      </c>
      <c r="D400" s="170">
        <v>1.6500000000000001E-2</v>
      </c>
      <c r="E400" s="170">
        <v>0.1368</v>
      </c>
      <c r="F400" s="170">
        <v>5.7599999999999998E-2</v>
      </c>
      <c r="G400" s="170">
        <v>8.0399999999999999E-2</v>
      </c>
      <c r="H400" s="170">
        <v>4.1099999999999998E-2</v>
      </c>
      <c r="I400" s="170">
        <v>0.13389999999999999</v>
      </c>
      <c r="J400" s="170">
        <v>2.12E-2</v>
      </c>
      <c r="K400" s="170">
        <v>3.2500000000000001E-2</v>
      </c>
      <c r="L400" s="170">
        <v>1.7100000000000001E-2</v>
      </c>
      <c r="M400" s="170">
        <v>2.5999999999999999E-2</v>
      </c>
      <c r="N400" s="170">
        <v>0.13320000000000001</v>
      </c>
      <c r="O400" s="170">
        <v>1.89E-2</v>
      </c>
      <c r="P400" s="170">
        <v>0</v>
      </c>
      <c r="Q400" s="170">
        <v>3.8600000000000002E-2</v>
      </c>
      <c r="R400" s="170">
        <v>1.9E-2</v>
      </c>
      <c r="S400" s="170">
        <v>4.1999999999999997E-3</v>
      </c>
      <c r="T400" s="170">
        <v>5.3999999999999999E-2</v>
      </c>
      <c r="U400" s="170">
        <v>1.78E-2</v>
      </c>
      <c r="V400" s="170">
        <v>3.6700000000000003E-2</v>
      </c>
      <c r="W400" s="170">
        <v>4.7199999999999999E-2</v>
      </c>
      <c r="X400" s="170">
        <v>6.3899999999999998E-2</v>
      </c>
      <c r="Y400" s="170">
        <v>2.5999999999999999E-3</v>
      </c>
      <c r="Z400" s="171">
        <v>0</v>
      </c>
      <c r="AA400" s="171">
        <v>8.0000000000000004E-4</v>
      </c>
      <c r="AB400" s="171">
        <v>0</v>
      </c>
      <c r="AC400" s="67"/>
      <c r="AD400" s="55"/>
    </row>
    <row r="401" spans="1:30" s="52" customFormat="1">
      <c r="A401" s="97"/>
      <c r="B401" s="218"/>
      <c r="C401" s="211"/>
      <c r="D401" s="6">
        <f t="shared" ref="D401" si="738">$C400*D400</f>
        <v>5370.20154</v>
      </c>
      <c r="E401" s="6">
        <f t="shared" ref="E401" si="739">$C400*E400</f>
        <v>44523.852768000004</v>
      </c>
      <c r="F401" s="6">
        <f t="shared" ref="F401:AB401" si="740">$C400*F400</f>
        <v>18746.885375999998</v>
      </c>
      <c r="G401" s="6">
        <f t="shared" si="740"/>
        <v>26167.527504000001</v>
      </c>
      <c r="H401" s="6">
        <f t="shared" si="740"/>
        <v>13376.683836</v>
      </c>
      <c r="I401" s="6">
        <f t="shared" si="740"/>
        <v>43579.999164000001</v>
      </c>
      <c r="J401" s="6">
        <f t="shared" si="740"/>
        <v>6899.8953120000006</v>
      </c>
      <c r="K401" s="6">
        <f t="shared" si="740"/>
        <v>10577.6697</v>
      </c>
      <c r="L401" s="6">
        <f t="shared" si="740"/>
        <v>5565.4815960000005</v>
      </c>
      <c r="M401" s="6">
        <f t="shared" si="740"/>
        <v>8462.1357599999992</v>
      </c>
      <c r="N401" s="6">
        <f t="shared" si="740"/>
        <v>43352.172432000007</v>
      </c>
      <c r="O401" s="6">
        <f t="shared" si="740"/>
        <v>6151.3217640000003</v>
      </c>
      <c r="P401" s="6">
        <f t="shared" si="740"/>
        <v>0</v>
      </c>
      <c r="Q401" s="6">
        <f t="shared" si="740"/>
        <v>12563.016936000002</v>
      </c>
      <c r="R401" s="6">
        <f t="shared" si="740"/>
        <v>6183.8684400000002</v>
      </c>
      <c r="S401" s="6">
        <f t="shared" si="740"/>
        <v>1366.960392</v>
      </c>
      <c r="T401" s="6">
        <f t="shared" si="740"/>
        <v>17575.205040000001</v>
      </c>
      <c r="U401" s="6">
        <f t="shared" si="740"/>
        <v>5793.3083280000001</v>
      </c>
      <c r="V401" s="6">
        <f t="shared" si="740"/>
        <v>11944.630092000001</v>
      </c>
      <c r="W401" s="6">
        <f t="shared" si="740"/>
        <v>15362.031072</v>
      </c>
      <c r="X401" s="6">
        <f t="shared" si="740"/>
        <v>20797.325964</v>
      </c>
      <c r="Y401" s="6">
        <f t="shared" si="740"/>
        <v>846.21357599999999</v>
      </c>
      <c r="Z401" s="6">
        <f t="shared" si="740"/>
        <v>0</v>
      </c>
      <c r="AA401" s="6">
        <f t="shared" si="740"/>
        <v>260.37340800000004</v>
      </c>
      <c r="AB401" s="6">
        <f t="shared" si="740"/>
        <v>0</v>
      </c>
      <c r="AC401" s="67"/>
      <c r="AD401" s="55"/>
    </row>
    <row r="402" spans="1:30" s="52" customFormat="1">
      <c r="A402" s="99" t="s">
        <v>477</v>
      </c>
      <c r="B402" s="181">
        <v>155501.26999999999</v>
      </c>
      <c r="C402" s="211">
        <f>ROUND(B402/12,2)+3207.91</f>
        <v>16166.35</v>
      </c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>
        <v>0.99839999999999995</v>
      </c>
      <c r="O402" s="38"/>
      <c r="P402" s="38"/>
      <c r="Q402" s="38"/>
      <c r="R402" s="38"/>
      <c r="S402" s="38"/>
      <c r="T402" s="38"/>
      <c r="U402" s="38"/>
      <c r="V402" s="38">
        <v>1.6000000000000001E-3</v>
      </c>
      <c r="W402" s="38"/>
      <c r="X402" s="38"/>
      <c r="Y402" s="38"/>
      <c r="Z402" s="5"/>
      <c r="AA402" s="5"/>
      <c r="AB402" s="5"/>
      <c r="AC402" s="67"/>
      <c r="AD402" s="55"/>
    </row>
    <row r="403" spans="1:30" s="52" customFormat="1">
      <c r="A403" s="97"/>
      <c r="B403" s="217"/>
      <c r="C403" s="211"/>
      <c r="D403" s="6">
        <f t="shared" ref="D403" si="741">$C402*D402</f>
        <v>0</v>
      </c>
      <c r="E403" s="6">
        <f t="shared" ref="E403" si="742">$C402*E402</f>
        <v>0</v>
      </c>
      <c r="F403" s="6">
        <f t="shared" ref="F403:AB403" si="743">$C402*F402</f>
        <v>0</v>
      </c>
      <c r="G403" s="6">
        <f t="shared" si="743"/>
        <v>0</v>
      </c>
      <c r="H403" s="6">
        <f t="shared" si="743"/>
        <v>0</v>
      </c>
      <c r="I403" s="6">
        <f t="shared" si="743"/>
        <v>0</v>
      </c>
      <c r="J403" s="6">
        <f t="shared" si="743"/>
        <v>0</v>
      </c>
      <c r="K403" s="6">
        <f t="shared" si="743"/>
        <v>0</v>
      </c>
      <c r="L403" s="6">
        <f t="shared" si="743"/>
        <v>0</v>
      </c>
      <c r="M403" s="6">
        <f t="shared" si="743"/>
        <v>0</v>
      </c>
      <c r="N403" s="6">
        <f t="shared" si="743"/>
        <v>16140.483839999999</v>
      </c>
      <c r="O403" s="6">
        <f t="shared" si="743"/>
        <v>0</v>
      </c>
      <c r="P403" s="6">
        <f t="shared" si="743"/>
        <v>0</v>
      </c>
      <c r="Q403" s="6">
        <f t="shared" si="743"/>
        <v>0</v>
      </c>
      <c r="R403" s="6">
        <f t="shared" si="743"/>
        <v>0</v>
      </c>
      <c r="S403" s="6">
        <f t="shared" si="743"/>
        <v>0</v>
      </c>
      <c r="T403" s="6">
        <f t="shared" si="743"/>
        <v>0</v>
      </c>
      <c r="U403" s="6">
        <f t="shared" si="743"/>
        <v>0</v>
      </c>
      <c r="V403" s="6">
        <f t="shared" si="743"/>
        <v>25.866160000000001</v>
      </c>
      <c r="W403" s="6">
        <f t="shared" si="743"/>
        <v>0</v>
      </c>
      <c r="X403" s="6">
        <f t="shared" si="743"/>
        <v>0</v>
      </c>
      <c r="Y403" s="6">
        <f t="shared" si="743"/>
        <v>0</v>
      </c>
      <c r="Z403" s="6">
        <f t="shared" si="743"/>
        <v>0</v>
      </c>
      <c r="AA403" s="6">
        <f t="shared" si="743"/>
        <v>0</v>
      </c>
      <c r="AB403" s="6">
        <f t="shared" si="743"/>
        <v>0</v>
      </c>
      <c r="AC403" s="67"/>
      <c r="AD403" s="55"/>
    </row>
    <row r="404" spans="1:30" s="52" customFormat="1">
      <c r="A404" s="99" t="s">
        <v>478</v>
      </c>
      <c r="B404" s="181">
        <v>12173.48</v>
      </c>
      <c r="C404" s="211">
        <f>ROUND(B404/12,2)+252</f>
        <v>1266.46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>
        <v>0.99839999999999995</v>
      </c>
      <c r="O404" s="38"/>
      <c r="P404" s="38"/>
      <c r="Q404" s="38"/>
      <c r="R404" s="38"/>
      <c r="S404" s="38"/>
      <c r="T404" s="38"/>
      <c r="U404" s="38"/>
      <c r="V404" s="38">
        <v>1.6000000000000001E-3</v>
      </c>
      <c r="W404" s="38"/>
      <c r="X404" s="38"/>
      <c r="Y404" s="38"/>
      <c r="Z404" s="5"/>
      <c r="AA404" s="5"/>
      <c r="AB404" s="5"/>
      <c r="AC404" s="67"/>
      <c r="AD404" s="55"/>
    </row>
    <row r="405" spans="1:30" s="52" customFormat="1">
      <c r="A405" s="97"/>
      <c r="B405" s="217"/>
      <c r="C405" s="211"/>
      <c r="D405" s="6">
        <f t="shared" ref="D405" si="744">$C404*D404</f>
        <v>0</v>
      </c>
      <c r="E405" s="6">
        <f t="shared" ref="E405" si="745">$C404*E404</f>
        <v>0</v>
      </c>
      <c r="F405" s="6">
        <f t="shared" ref="F405:AB405" si="746">$C404*F404</f>
        <v>0</v>
      </c>
      <c r="G405" s="6">
        <f t="shared" si="746"/>
        <v>0</v>
      </c>
      <c r="H405" s="6">
        <f t="shared" si="746"/>
        <v>0</v>
      </c>
      <c r="I405" s="6">
        <f t="shared" si="746"/>
        <v>0</v>
      </c>
      <c r="J405" s="6">
        <f t="shared" si="746"/>
        <v>0</v>
      </c>
      <c r="K405" s="6">
        <f t="shared" si="746"/>
        <v>0</v>
      </c>
      <c r="L405" s="6">
        <f t="shared" si="746"/>
        <v>0</v>
      </c>
      <c r="M405" s="6">
        <f t="shared" si="746"/>
        <v>0</v>
      </c>
      <c r="N405" s="6">
        <f t="shared" si="746"/>
        <v>1264.4336639999999</v>
      </c>
      <c r="O405" s="6">
        <f t="shared" si="746"/>
        <v>0</v>
      </c>
      <c r="P405" s="6">
        <f t="shared" si="746"/>
        <v>0</v>
      </c>
      <c r="Q405" s="6">
        <f t="shared" si="746"/>
        <v>0</v>
      </c>
      <c r="R405" s="6">
        <f t="shared" si="746"/>
        <v>0</v>
      </c>
      <c r="S405" s="6">
        <f t="shared" si="746"/>
        <v>0</v>
      </c>
      <c r="T405" s="6">
        <f t="shared" si="746"/>
        <v>0</v>
      </c>
      <c r="U405" s="6">
        <f t="shared" si="746"/>
        <v>0</v>
      </c>
      <c r="V405" s="6">
        <f t="shared" si="746"/>
        <v>2.0263360000000001</v>
      </c>
      <c r="W405" s="6">
        <f t="shared" si="746"/>
        <v>0</v>
      </c>
      <c r="X405" s="6">
        <f t="shared" si="746"/>
        <v>0</v>
      </c>
      <c r="Y405" s="6">
        <f t="shared" si="746"/>
        <v>0</v>
      </c>
      <c r="Z405" s="6">
        <f t="shared" si="746"/>
        <v>0</v>
      </c>
      <c r="AA405" s="6">
        <f t="shared" si="746"/>
        <v>0</v>
      </c>
      <c r="AB405" s="6">
        <f t="shared" si="746"/>
        <v>0</v>
      </c>
      <c r="AC405" s="67"/>
      <c r="AD405" s="55"/>
    </row>
    <row r="406" spans="1:30" s="52" customFormat="1">
      <c r="A406" s="99" t="s">
        <v>479</v>
      </c>
      <c r="B406" s="181">
        <v>9694.74</v>
      </c>
      <c r="C406" s="211">
        <f>ROUND(B406/12,2)+201.34</f>
        <v>1009.24</v>
      </c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>
        <v>0.99839999999999995</v>
      </c>
      <c r="O406" s="38"/>
      <c r="P406" s="38"/>
      <c r="Q406" s="38"/>
      <c r="R406" s="38"/>
      <c r="S406" s="38"/>
      <c r="T406" s="38"/>
      <c r="U406" s="38"/>
      <c r="V406" s="38">
        <v>1.6000000000000001E-3</v>
      </c>
      <c r="W406" s="38"/>
      <c r="X406" s="38"/>
      <c r="Y406" s="38"/>
      <c r="Z406" s="5"/>
      <c r="AA406" s="5"/>
      <c r="AB406" s="5"/>
      <c r="AC406" s="67"/>
      <c r="AD406" s="55"/>
    </row>
    <row r="407" spans="1:30" s="52" customFormat="1">
      <c r="A407" s="97"/>
      <c r="B407" s="217"/>
      <c r="C407" s="211"/>
      <c r="D407" s="6">
        <f t="shared" ref="D407" si="747">$C406*D406</f>
        <v>0</v>
      </c>
      <c r="E407" s="6">
        <f t="shared" ref="E407" si="748">$C406*E406</f>
        <v>0</v>
      </c>
      <c r="F407" s="6">
        <f t="shared" ref="F407:AB407" si="749">$C406*F406</f>
        <v>0</v>
      </c>
      <c r="G407" s="6">
        <f t="shared" si="749"/>
        <v>0</v>
      </c>
      <c r="H407" s="6">
        <f t="shared" si="749"/>
        <v>0</v>
      </c>
      <c r="I407" s="6">
        <f t="shared" si="749"/>
        <v>0</v>
      </c>
      <c r="J407" s="6">
        <f t="shared" si="749"/>
        <v>0</v>
      </c>
      <c r="K407" s="6">
        <f t="shared" si="749"/>
        <v>0</v>
      </c>
      <c r="L407" s="6">
        <f t="shared" si="749"/>
        <v>0</v>
      </c>
      <c r="M407" s="6">
        <f t="shared" si="749"/>
        <v>0</v>
      </c>
      <c r="N407" s="6">
        <f t="shared" si="749"/>
        <v>1007.6252159999999</v>
      </c>
      <c r="O407" s="6">
        <f t="shared" si="749"/>
        <v>0</v>
      </c>
      <c r="P407" s="6">
        <f t="shared" si="749"/>
        <v>0</v>
      </c>
      <c r="Q407" s="6">
        <f t="shared" si="749"/>
        <v>0</v>
      </c>
      <c r="R407" s="6">
        <f t="shared" si="749"/>
        <v>0</v>
      </c>
      <c r="S407" s="6">
        <f t="shared" si="749"/>
        <v>0</v>
      </c>
      <c r="T407" s="6">
        <f t="shared" si="749"/>
        <v>0</v>
      </c>
      <c r="U407" s="6">
        <f t="shared" si="749"/>
        <v>0</v>
      </c>
      <c r="V407" s="6">
        <f t="shared" si="749"/>
        <v>1.614784</v>
      </c>
      <c r="W407" s="6">
        <f t="shared" si="749"/>
        <v>0</v>
      </c>
      <c r="X407" s="6">
        <f t="shared" si="749"/>
        <v>0</v>
      </c>
      <c r="Y407" s="6">
        <f t="shared" si="749"/>
        <v>0</v>
      </c>
      <c r="Z407" s="6">
        <f t="shared" si="749"/>
        <v>0</v>
      </c>
      <c r="AA407" s="6">
        <f t="shared" si="749"/>
        <v>0</v>
      </c>
      <c r="AB407" s="6">
        <f t="shared" si="749"/>
        <v>0</v>
      </c>
      <c r="AC407" s="67"/>
      <c r="AD407" s="55"/>
    </row>
    <row r="408" spans="1:30" s="52" customFormat="1">
      <c r="A408" s="99" t="s">
        <v>480</v>
      </c>
      <c r="B408" s="181">
        <f>10280803.33/2</f>
        <v>5140401.665</v>
      </c>
      <c r="C408" s="211">
        <f>ROUND(B408/12,2)+ROUND(211736.39/2,2)</f>
        <v>534235.01</v>
      </c>
      <c r="D408" s="170">
        <v>1.6500000000000001E-2</v>
      </c>
      <c r="E408" s="170">
        <v>0.1368</v>
      </c>
      <c r="F408" s="170">
        <v>5.7599999999999998E-2</v>
      </c>
      <c r="G408" s="170">
        <v>8.0399999999999999E-2</v>
      </c>
      <c r="H408" s="170">
        <v>4.1099999999999998E-2</v>
      </c>
      <c r="I408" s="170">
        <v>0.13389999999999999</v>
      </c>
      <c r="J408" s="170">
        <v>2.12E-2</v>
      </c>
      <c r="K408" s="170">
        <v>3.2500000000000001E-2</v>
      </c>
      <c r="L408" s="170">
        <v>1.7100000000000001E-2</v>
      </c>
      <c r="M408" s="170">
        <v>2.5999999999999999E-2</v>
      </c>
      <c r="N408" s="170">
        <v>0.13320000000000001</v>
      </c>
      <c r="O408" s="170">
        <v>1.89E-2</v>
      </c>
      <c r="P408" s="170">
        <v>0</v>
      </c>
      <c r="Q408" s="170">
        <v>3.8600000000000002E-2</v>
      </c>
      <c r="R408" s="170">
        <v>1.9E-2</v>
      </c>
      <c r="S408" s="170">
        <v>4.1999999999999997E-3</v>
      </c>
      <c r="T408" s="170">
        <v>5.3999999999999999E-2</v>
      </c>
      <c r="U408" s="170">
        <v>1.78E-2</v>
      </c>
      <c r="V408" s="170">
        <v>3.6700000000000003E-2</v>
      </c>
      <c r="W408" s="170">
        <v>4.7199999999999999E-2</v>
      </c>
      <c r="X408" s="170">
        <v>6.3899999999999998E-2</v>
      </c>
      <c r="Y408" s="170">
        <v>2.5999999999999999E-3</v>
      </c>
      <c r="Z408" s="171">
        <v>0</v>
      </c>
      <c r="AA408" s="171">
        <v>8.0000000000000004E-4</v>
      </c>
      <c r="AB408" s="171">
        <v>0</v>
      </c>
      <c r="AC408" s="67"/>
      <c r="AD408" s="55"/>
    </row>
    <row r="409" spans="1:30" s="52" customFormat="1">
      <c r="A409" s="100"/>
      <c r="B409" s="217"/>
      <c r="C409" s="211"/>
      <c r="D409" s="39">
        <f t="shared" ref="D409" si="750">$C408*D408</f>
        <v>8814.877665</v>
      </c>
      <c r="E409" s="39">
        <f t="shared" ref="E409" si="751">$C408*E408</f>
        <v>73083.34936800001</v>
      </c>
      <c r="F409" s="39">
        <f t="shared" ref="F409:AA409" si="752">$C408*F408</f>
        <v>30771.936576</v>
      </c>
      <c r="G409" s="39">
        <f t="shared" si="752"/>
        <v>42952.494804000002</v>
      </c>
      <c r="H409" s="39">
        <f t="shared" si="752"/>
        <v>21957.058911</v>
      </c>
      <c r="I409" s="39">
        <f t="shared" si="752"/>
        <v>71534.067838999996</v>
      </c>
      <c r="J409" s="39">
        <f t="shared" si="752"/>
        <v>11325.782212</v>
      </c>
      <c r="K409" s="39">
        <f t="shared" si="752"/>
        <v>17362.637825000002</v>
      </c>
      <c r="L409" s="39">
        <f t="shared" si="752"/>
        <v>9135.4186710000013</v>
      </c>
      <c r="M409" s="39">
        <f t="shared" si="752"/>
        <v>13890.110259999999</v>
      </c>
      <c r="N409" s="39">
        <f t="shared" si="752"/>
        <v>71160.103332000013</v>
      </c>
      <c r="O409" s="39">
        <f t="shared" si="752"/>
        <v>10097.041689</v>
      </c>
      <c r="P409" s="39">
        <f t="shared" si="752"/>
        <v>0</v>
      </c>
      <c r="Q409" s="39">
        <f t="shared" si="752"/>
        <v>20621.471386000001</v>
      </c>
      <c r="R409" s="39">
        <f t="shared" si="752"/>
        <v>10150.465190000001</v>
      </c>
      <c r="S409" s="39">
        <f t="shared" si="752"/>
        <v>2243.7870419999999</v>
      </c>
      <c r="T409" s="39">
        <f t="shared" si="752"/>
        <v>28848.69054</v>
      </c>
      <c r="U409" s="39">
        <f t="shared" si="752"/>
        <v>9509.383178</v>
      </c>
      <c r="V409" s="39">
        <f t="shared" si="752"/>
        <v>19606.424867000002</v>
      </c>
      <c r="W409" s="39">
        <f t="shared" si="752"/>
        <v>25215.892472</v>
      </c>
      <c r="X409" s="39">
        <f t="shared" si="752"/>
        <v>34137.617139000002</v>
      </c>
      <c r="Y409" s="39">
        <f t="shared" si="752"/>
        <v>1389.0110259999999</v>
      </c>
      <c r="Z409" s="39">
        <f t="shared" si="752"/>
        <v>0</v>
      </c>
      <c r="AA409" s="39">
        <f t="shared" si="752"/>
        <v>427.38800800000001</v>
      </c>
      <c r="AB409" s="39">
        <f t="shared" ref="AB409" si="753">$C408*AB408</f>
        <v>0</v>
      </c>
      <c r="AC409" s="67"/>
      <c r="AD409" s="55"/>
    </row>
    <row r="410" spans="1:30" s="52" customFormat="1">
      <c r="A410" s="99" t="s">
        <v>556</v>
      </c>
      <c r="B410" s="181">
        <f>10280803.33/2</f>
        <v>5140401.665</v>
      </c>
      <c r="C410" s="211">
        <f>ROUND(B410/12,2)+ROUND(211736.39/2,2)</f>
        <v>534235.01</v>
      </c>
      <c r="D410" s="38"/>
      <c r="E410" s="38"/>
      <c r="F410" s="170">
        <v>0</v>
      </c>
      <c r="G410" s="38"/>
      <c r="H410" s="170">
        <v>5.7099999999999998E-2</v>
      </c>
      <c r="I410" s="38"/>
      <c r="J410" s="38"/>
      <c r="K410" s="38"/>
      <c r="L410" s="38"/>
      <c r="M410" s="38"/>
      <c r="N410" s="170">
        <v>0.84430000000000005</v>
      </c>
      <c r="O410" s="38"/>
      <c r="P410" s="38"/>
      <c r="Q410" s="38"/>
      <c r="R410" s="38"/>
      <c r="S410" s="38"/>
      <c r="T410" s="38"/>
      <c r="U410" s="38"/>
      <c r="V410" s="170">
        <v>9.8599999999999993E-2</v>
      </c>
      <c r="W410" s="38"/>
      <c r="X410" s="38"/>
      <c r="Y410" s="38"/>
      <c r="Z410" s="40"/>
      <c r="AA410" s="40"/>
      <c r="AB410" s="40"/>
      <c r="AC410" s="67"/>
      <c r="AD410" s="55"/>
    </row>
    <row r="411" spans="1:30" s="52" customFormat="1">
      <c r="A411" s="100"/>
      <c r="B411" s="217"/>
      <c r="C411" s="211"/>
      <c r="D411" s="39">
        <f t="shared" ref="D411" si="754">$C410*D410</f>
        <v>0</v>
      </c>
      <c r="E411" s="39">
        <f t="shared" ref="E411" si="755">$C410*E410</f>
        <v>0</v>
      </c>
      <c r="F411" s="39">
        <f t="shared" ref="F411:AB411" si="756">$C410*F410</f>
        <v>0</v>
      </c>
      <c r="G411" s="39">
        <f t="shared" si="756"/>
        <v>0</v>
      </c>
      <c r="H411" s="39">
        <f t="shared" si="756"/>
        <v>30504.819070999998</v>
      </c>
      <c r="I411" s="39">
        <f t="shared" si="756"/>
        <v>0</v>
      </c>
      <c r="J411" s="39">
        <f t="shared" si="756"/>
        <v>0</v>
      </c>
      <c r="K411" s="39">
        <f t="shared" si="756"/>
        <v>0</v>
      </c>
      <c r="L411" s="39">
        <f t="shared" si="756"/>
        <v>0</v>
      </c>
      <c r="M411" s="39">
        <f t="shared" si="756"/>
        <v>0</v>
      </c>
      <c r="N411" s="39">
        <f t="shared" si="756"/>
        <v>451054.61894300004</v>
      </c>
      <c r="O411" s="39">
        <f t="shared" si="756"/>
        <v>0</v>
      </c>
      <c r="P411" s="39">
        <f t="shared" si="756"/>
        <v>0</v>
      </c>
      <c r="Q411" s="39">
        <f t="shared" si="756"/>
        <v>0</v>
      </c>
      <c r="R411" s="39">
        <f t="shared" si="756"/>
        <v>0</v>
      </c>
      <c r="S411" s="39">
        <f t="shared" si="756"/>
        <v>0</v>
      </c>
      <c r="T411" s="39">
        <f t="shared" si="756"/>
        <v>0</v>
      </c>
      <c r="U411" s="39">
        <f t="shared" si="756"/>
        <v>0</v>
      </c>
      <c r="V411" s="39">
        <f t="shared" si="756"/>
        <v>52675.571985999995</v>
      </c>
      <c r="W411" s="39">
        <f t="shared" si="756"/>
        <v>0</v>
      </c>
      <c r="X411" s="39">
        <f t="shared" si="756"/>
        <v>0</v>
      </c>
      <c r="Y411" s="39">
        <f t="shared" si="756"/>
        <v>0</v>
      </c>
      <c r="Z411" s="39">
        <f t="shared" si="756"/>
        <v>0</v>
      </c>
      <c r="AA411" s="39">
        <f t="shared" si="756"/>
        <v>0</v>
      </c>
      <c r="AB411" s="39">
        <f t="shared" si="756"/>
        <v>0</v>
      </c>
      <c r="AC411" s="67"/>
      <c r="AD411" s="55"/>
    </row>
    <row r="412" spans="1:30" s="52" customFormat="1">
      <c r="A412" s="99" t="s">
        <v>600</v>
      </c>
      <c r="B412" s="181">
        <v>599675.03</v>
      </c>
      <c r="C412" s="211">
        <f t="shared" ref="C412" si="757">ROUND(B412/12,2)</f>
        <v>49972.92</v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>
        <v>0.97109999999999996</v>
      </c>
      <c r="O412" s="38"/>
      <c r="P412" s="38"/>
      <c r="Q412" s="38"/>
      <c r="R412" s="38">
        <v>1.8E-3</v>
      </c>
      <c r="S412" s="38"/>
      <c r="T412" s="38"/>
      <c r="U412" s="38"/>
      <c r="V412" s="38">
        <v>2.7099999999999999E-2</v>
      </c>
      <c r="W412" s="38"/>
      <c r="X412" s="38"/>
      <c r="Y412" s="38"/>
      <c r="Z412" s="5"/>
      <c r="AA412" s="5"/>
      <c r="AB412" s="5"/>
      <c r="AC412" s="67"/>
      <c r="AD412" s="55"/>
    </row>
    <row r="413" spans="1:30" s="52" customFormat="1">
      <c r="A413" s="100"/>
      <c r="B413" s="217"/>
      <c r="C413" s="211"/>
      <c r="D413" s="39">
        <f t="shared" ref="D413" si="758">$C412*D412</f>
        <v>0</v>
      </c>
      <c r="E413" s="39">
        <f t="shared" ref="E413" si="759">$C412*E412</f>
        <v>0</v>
      </c>
      <c r="F413" s="39">
        <f t="shared" ref="F413:AA413" si="760">$C412*F412</f>
        <v>0</v>
      </c>
      <c r="G413" s="39">
        <f t="shared" si="760"/>
        <v>0</v>
      </c>
      <c r="H413" s="39">
        <f t="shared" si="760"/>
        <v>0</v>
      </c>
      <c r="I413" s="39">
        <f t="shared" si="760"/>
        <v>0</v>
      </c>
      <c r="J413" s="39">
        <f t="shared" si="760"/>
        <v>0</v>
      </c>
      <c r="K413" s="39">
        <f t="shared" si="760"/>
        <v>0</v>
      </c>
      <c r="L413" s="39">
        <f t="shared" si="760"/>
        <v>0</v>
      </c>
      <c r="M413" s="39">
        <f t="shared" si="760"/>
        <v>0</v>
      </c>
      <c r="N413" s="39">
        <f t="shared" si="760"/>
        <v>48528.702611999994</v>
      </c>
      <c r="O413" s="39">
        <f t="shared" si="760"/>
        <v>0</v>
      </c>
      <c r="P413" s="39">
        <f t="shared" si="760"/>
        <v>0</v>
      </c>
      <c r="Q413" s="39">
        <f t="shared" si="760"/>
        <v>0</v>
      </c>
      <c r="R413" s="39">
        <f t="shared" si="760"/>
        <v>89.951256000000001</v>
      </c>
      <c r="S413" s="39">
        <f t="shared" si="760"/>
        <v>0</v>
      </c>
      <c r="T413" s="39">
        <f t="shared" si="760"/>
        <v>0</v>
      </c>
      <c r="U413" s="39">
        <f t="shared" si="760"/>
        <v>0</v>
      </c>
      <c r="V413" s="39">
        <f t="shared" si="760"/>
        <v>1354.266132</v>
      </c>
      <c r="W413" s="39">
        <f t="shared" si="760"/>
        <v>0</v>
      </c>
      <c r="X413" s="39">
        <f t="shared" si="760"/>
        <v>0</v>
      </c>
      <c r="Y413" s="39">
        <f t="shared" si="760"/>
        <v>0</v>
      </c>
      <c r="Z413" s="39">
        <f t="shared" si="760"/>
        <v>0</v>
      </c>
      <c r="AA413" s="39">
        <f t="shared" si="760"/>
        <v>0</v>
      </c>
      <c r="AB413" s="39">
        <f t="shared" ref="AB413" si="761">$C412*AB412</f>
        <v>0</v>
      </c>
      <c r="AC413" s="67"/>
      <c r="AD413" s="55"/>
    </row>
    <row r="414" spans="1:30" s="52" customFormat="1">
      <c r="A414" s="99" t="s">
        <v>481</v>
      </c>
      <c r="B414" s="181">
        <f>9171992.06/2</f>
        <v>4585996.03</v>
      </c>
      <c r="C414" s="211">
        <f>ROUND(B414/12,2)+ROUND(187662.11/2,2)</f>
        <v>475997.4</v>
      </c>
      <c r="D414" s="170">
        <v>1.6500000000000001E-2</v>
      </c>
      <c r="E414" s="170">
        <v>0.1368</v>
      </c>
      <c r="F414" s="170">
        <v>5.7599999999999998E-2</v>
      </c>
      <c r="G414" s="170">
        <v>8.0399999999999999E-2</v>
      </c>
      <c r="H414" s="170">
        <v>4.1099999999999998E-2</v>
      </c>
      <c r="I414" s="170">
        <v>0.13389999999999999</v>
      </c>
      <c r="J414" s="170">
        <v>2.12E-2</v>
      </c>
      <c r="K414" s="170">
        <v>3.2500000000000001E-2</v>
      </c>
      <c r="L414" s="170">
        <v>1.7100000000000001E-2</v>
      </c>
      <c r="M414" s="170">
        <v>2.5999999999999999E-2</v>
      </c>
      <c r="N414" s="170">
        <v>0.13320000000000001</v>
      </c>
      <c r="O414" s="170">
        <v>1.89E-2</v>
      </c>
      <c r="P414" s="170">
        <v>0</v>
      </c>
      <c r="Q414" s="170">
        <v>3.8600000000000002E-2</v>
      </c>
      <c r="R414" s="170">
        <v>1.9E-2</v>
      </c>
      <c r="S414" s="170">
        <v>4.1999999999999997E-3</v>
      </c>
      <c r="T414" s="170">
        <v>5.3999999999999999E-2</v>
      </c>
      <c r="U414" s="170">
        <v>1.78E-2</v>
      </c>
      <c r="V414" s="170">
        <v>3.6700000000000003E-2</v>
      </c>
      <c r="W414" s="170">
        <v>4.7199999999999999E-2</v>
      </c>
      <c r="X414" s="170">
        <v>6.3899999999999998E-2</v>
      </c>
      <c r="Y414" s="170">
        <v>2.5999999999999999E-3</v>
      </c>
      <c r="Z414" s="171">
        <v>0</v>
      </c>
      <c r="AA414" s="171">
        <v>8.0000000000000004E-4</v>
      </c>
      <c r="AB414" s="171">
        <v>0</v>
      </c>
      <c r="AC414" s="67"/>
      <c r="AD414" s="55"/>
    </row>
    <row r="415" spans="1:30" s="52" customFormat="1">
      <c r="A415" s="100"/>
      <c r="B415" s="217"/>
      <c r="C415" s="211"/>
      <c r="D415" s="39">
        <f t="shared" ref="D415" si="762">$C414*D414</f>
        <v>7853.9571000000005</v>
      </c>
      <c r="E415" s="39">
        <f t="shared" ref="E415" si="763">$C414*E414</f>
        <v>65116.444320000002</v>
      </c>
      <c r="F415" s="39">
        <f t="shared" ref="F415:AB415" si="764">$C414*F414</f>
        <v>27417.450240000002</v>
      </c>
      <c r="G415" s="39">
        <f t="shared" si="764"/>
        <v>38270.19096</v>
      </c>
      <c r="H415" s="39">
        <f t="shared" si="764"/>
        <v>19563.493139999999</v>
      </c>
      <c r="I415" s="39">
        <f t="shared" si="764"/>
        <v>63736.05186</v>
      </c>
      <c r="J415" s="39">
        <f t="shared" si="764"/>
        <v>10091.14488</v>
      </c>
      <c r="K415" s="39">
        <f t="shared" si="764"/>
        <v>15469.915500000001</v>
      </c>
      <c r="L415" s="39">
        <f t="shared" si="764"/>
        <v>8139.5555400000003</v>
      </c>
      <c r="M415" s="39">
        <f t="shared" si="764"/>
        <v>12375.9324</v>
      </c>
      <c r="N415" s="39">
        <f t="shared" si="764"/>
        <v>63402.853680000007</v>
      </c>
      <c r="O415" s="39">
        <f t="shared" si="764"/>
        <v>8996.3508600000005</v>
      </c>
      <c r="P415" s="39">
        <f t="shared" si="764"/>
        <v>0</v>
      </c>
      <c r="Q415" s="39">
        <f t="shared" si="764"/>
        <v>18373.499640000002</v>
      </c>
      <c r="R415" s="39">
        <f t="shared" si="764"/>
        <v>9043.9506000000001</v>
      </c>
      <c r="S415" s="39">
        <f t="shared" si="764"/>
        <v>1999.1890799999999</v>
      </c>
      <c r="T415" s="39">
        <f t="shared" si="764"/>
        <v>25703.8596</v>
      </c>
      <c r="U415" s="39">
        <f t="shared" si="764"/>
        <v>8472.7537200000006</v>
      </c>
      <c r="V415" s="39">
        <f t="shared" si="764"/>
        <v>17469.104580000003</v>
      </c>
      <c r="W415" s="39">
        <f t="shared" si="764"/>
        <v>22467.077280000001</v>
      </c>
      <c r="X415" s="39">
        <f t="shared" si="764"/>
        <v>30416.23386</v>
      </c>
      <c r="Y415" s="39">
        <f t="shared" si="764"/>
        <v>1237.5932399999999</v>
      </c>
      <c r="Z415" s="39">
        <f t="shared" si="764"/>
        <v>0</v>
      </c>
      <c r="AA415" s="39">
        <f t="shared" si="764"/>
        <v>380.79792000000003</v>
      </c>
      <c r="AB415" s="39">
        <f t="shared" si="764"/>
        <v>0</v>
      </c>
      <c r="AC415" s="67"/>
      <c r="AD415" s="55"/>
    </row>
    <row r="416" spans="1:30">
      <c r="A416" s="99" t="s">
        <v>557</v>
      </c>
      <c r="B416" s="181">
        <f>9171992.06/2</f>
        <v>4585996.03</v>
      </c>
      <c r="C416" s="211">
        <f>ROUND(B416/12,2)+ROUND(187662.11/2,2)</f>
        <v>475997.4</v>
      </c>
      <c r="D416" s="38"/>
      <c r="E416" s="38"/>
      <c r="F416" s="38"/>
      <c r="G416" s="38"/>
      <c r="H416" s="170">
        <v>9.35E-2</v>
      </c>
      <c r="I416" s="38"/>
      <c r="J416" s="38"/>
      <c r="K416" s="38"/>
      <c r="L416" s="38"/>
      <c r="M416" s="38"/>
      <c r="N416" s="170">
        <v>0.73040000000000005</v>
      </c>
      <c r="O416" s="38"/>
      <c r="P416" s="38"/>
      <c r="Q416" s="38"/>
      <c r="R416" s="38"/>
      <c r="S416" s="38"/>
      <c r="T416" s="38"/>
      <c r="U416" s="38"/>
      <c r="V416" s="170">
        <v>0.17610000000000001</v>
      </c>
      <c r="W416" s="38"/>
      <c r="X416" s="38"/>
      <c r="Y416" s="38"/>
      <c r="Z416" s="40"/>
      <c r="AA416" s="40"/>
      <c r="AB416" s="40"/>
      <c r="AC416" s="67"/>
      <c r="AD416" s="147"/>
    </row>
    <row r="417" spans="1:30">
      <c r="A417" s="100"/>
      <c r="B417" s="217"/>
      <c r="C417" s="211"/>
      <c r="D417" s="39">
        <f t="shared" ref="D417" si="765">$C416*D416</f>
        <v>0</v>
      </c>
      <c r="E417" s="39">
        <f t="shared" ref="E417" si="766">$C416*E416</f>
        <v>0</v>
      </c>
      <c r="F417" s="39">
        <f t="shared" ref="F417:AB417" si="767">$C416*F416</f>
        <v>0</v>
      </c>
      <c r="G417" s="39">
        <f t="shared" si="767"/>
        <v>0</v>
      </c>
      <c r="H417" s="39">
        <f t="shared" si="767"/>
        <v>44505.7569</v>
      </c>
      <c r="I417" s="39">
        <f t="shared" si="767"/>
        <v>0</v>
      </c>
      <c r="J417" s="39">
        <f t="shared" si="767"/>
        <v>0</v>
      </c>
      <c r="K417" s="39">
        <f t="shared" si="767"/>
        <v>0</v>
      </c>
      <c r="L417" s="39">
        <f t="shared" si="767"/>
        <v>0</v>
      </c>
      <c r="M417" s="39">
        <f t="shared" si="767"/>
        <v>0</v>
      </c>
      <c r="N417" s="39">
        <f t="shared" si="767"/>
        <v>347668.50096000003</v>
      </c>
      <c r="O417" s="39">
        <f t="shared" si="767"/>
        <v>0</v>
      </c>
      <c r="P417" s="39">
        <f t="shared" si="767"/>
        <v>0</v>
      </c>
      <c r="Q417" s="39">
        <f t="shared" si="767"/>
        <v>0</v>
      </c>
      <c r="R417" s="39">
        <f t="shared" si="767"/>
        <v>0</v>
      </c>
      <c r="S417" s="39">
        <f t="shared" si="767"/>
        <v>0</v>
      </c>
      <c r="T417" s="39">
        <f t="shared" si="767"/>
        <v>0</v>
      </c>
      <c r="U417" s="39">
        <f t="shared" si="767"/>
        <v>0</v>
      </c>
      <c r="V417" s="39">
        <f t="shared" si="767"/>
        <v>83823.142140000011</v>
      </c>
      <c r="W417" s="39">
        <f t="shared" si="767"/>
        <v>0</v>
      </c>
      <c r="X417" s="39">
        <f t="shared" si="767"/>
        <v>0</v>
      </c>
      <c r="Y417" s="39">
        <f t="shared" si="767"/>
        <v>0</v>
      </c>
      <c r="Z417" s="39">
        <f t="shared" si="767"/>
        <v>0</v>
      </c>
      <c r="AA417" s="39">
        <f t="shared" si="767"/>
        <v>0</v>
      </c>
      <c r="AB417" s="39">
        <f t="shared" si="767"/>
        <v>0</v>
      </c>
      <c r="AC417" s="67"/>
      <c r="AD417" s="147"/>
    </row>
    <row r="418" spans="1:30" s="52" customFormat="1" ht="15.6" customHeight="1">
      <c r="A418" s="99" t="s">
        <v>482</v>
      </c>
      <c r="B418" s="181">
        <f>6495862.66/2</f>
        <v>3247931.33</v>
      </c>
      <c r="C418" s="211">
        <f>ROUND(B418/12,2)+ROUND(111922.21/2,2)</f>
        <v>326622.05</v>
      </c>
      <c r="D418" s="170">
        <v>1.6500000000000001E-2</v>
      </c>
      <c r="E418" s="170">
        <v>0.1368</v>
      </c>
      <c r="F418" s="170">
        <v>5.7599999999999998E-2</v>
      </c>
      <c r="G418" s="170">
        <v>8.0399999999999999E-2</v>
      </c>
      <c r="H418" s="170">
        <v>4.1099999999999998E-2</v>
      </c>
      <c r="I418" s="170">
        <v>0.13389999999999999</v>
      </c>
      <c r="J418" s="170">
        <v>2.12E-2</v>
      </c>
      <c r="K418" s="170">
        <v>3.2500000000000001E-2</v>
      </c>
      <c r="L418" s="170">
        <v>1.7100000000000001E-2</v>
      </c>
      <c r="M418" s="170">
        <v>2.5999999999999999E-2</v>
      </c>
      <c r="N418" s="170">
        <v>0.13320000000000001</v>
      </c>
      <c r="O418" s="170">
        <v>1.89E-2</v>
      </c>
      <c r="P418" s="170">
        <v>0</v>
      </c>
      <c r="Q418" s="170">
        <v>3.8600000000000002E-2</v>
      </c>
      <c r="R418" s="170">
        <v>1.9E-2</v>
      </c>
      <c r="S418" s="170">
        <v>4.1999999999999997E-3</v>
      </c>
      <c r="T418" s="170">
        <v>5.3999999999999999E-2</v>
      </c>
      <c r="U418" s="170">
        <v>1.78E-2</v>
      </c>
      <c r="V418" s="170">
        <v>3.6700000000000003E-2</v>
      </c>
      <c r="W418" s="170">
        <v>4.7199999999999999E-2</v>
      </c>
      <c r="X418" s="170">
        <v>6.3899999999999998E-2</v>
      </c>
      <c r="Y418" s="170">
        <v>2.5999999999999999E-3</v>
      </c>
      <c r="Z418" s="171">
        <v>0</v>
      </c>
      <c r="AA418" s="171">
        <v>8.0000000000000004E-4</v>
      </c>
      <c r="AB418" s="171">
        <v>0</v>
      </c>
      <c r="AC418" s="67"/>
      <c r="AD418" s="55"/>
    </row>
    <row r="419" spans="1:30" s="52" customFormat="1" ht="13.95" customHeight="1">
      <c r="A419" s="100"/>
      <c r="B419" s="217"/>
      <c r="C419" s="211"/>
      <c r="D419" s="39">
        <f t="shared" ref="D419" si="768">$C418*D418</f>
        <v>5389.263825</v>
      </c>
      <c r="E419" s="39">
        <f t="shared" ref="E419" si="769">$C418*E418</f>
        <v>44681.896439999997</v>
      </c>
      <c r="F419" s="39">
        <f t="shared" ref="F419:AB419" si="770">$C418*F418</f>
        <v>18813.430079999998</v>
      </c>
      <c r="G419" s="39">
        <f t="shared" si="770"/>
        <v>26260.412819999998</v>
      </c>
      <c r="H419" s="39">
        <f t="shared" si="770"/>
        <v>13424.166254999998</v>
      </c>
      <c r="I419" s="39">
        <f t="shared" si="770"/>
        <v>43734.692494999996</v>
      </c>
      <c r="J419" s="39">
        <f t="shared" si="770"/>
        <v>6924.3874599999999</v>
      </c>
      <c r="K419" s="39">
        <f t="shared" si="770"/>
        <v>10615.216624999999</v>
      </c>
      <c r="L419" s="39">
        <f t="shared" si="770"/>
        <v>5585.2370549999996</v>
      </c>
      <c r="M419" s="39">
        <f t="shared" si="770"/>
        <v>8492.1732999999986</v>
      </c>
      <c r="N419" s="39">
        <f t="shared" si="770"/>
        <v>43506.057059999999</v>
      </c>
      <c r="O419" s="39">
        <f t="shared" si="770"/>
        <v>6173.1567450000002</v>
      </c>
      <c r="P419" s="39">
        <f t="shared" si="770"/>
        <v>0</v>
      </c>
      <c r="Q419" s="39">
        <f t="shared" si="770"/>
        <v>12607.611130000001</v>
      </c>
      <c r="R419" s="39">
        <f t="shared" si="770"/>
        <v>6205.8189499999999</v>
      </c>
      <c r="S419" s="39">
        <f t="shared" si="770"/>
        <v>1371.8126099999999</v>
      </c>
      <c r="T419" s="39">
        <f t="shared" si="770"/>
        <v>17637.590700000001</v>
      </c>
      <c r="U419" s="39">
        <f t="shared" si="770"/>
        <v>5813.8724899999997</v>
      </c>
      <c r="V419" s="39">
        <f t="shared" si="770"/>
        <v>11987.029235</v>
      </c>
      <c r="W419" s="39">
        <f t="shared" si="770"/>
        <v>15416.560759999998</v>
      </c>
      <c r="X419" s="39">
        <f t="shared" si="770"/>
        <v>20871.148995</v>
      </c>
      <c r="Y419" s="39">
        <f t="shared" si="770"/>
        <v>849.21732999999995</v>
      </c>
      <c r="Z419" s="39">
        <f t="shared" si="770"/>
        <v>0</v>
      </c>
      <c r="AA419" s="39">
        <f t="shared" si="770"/>
        <v>261.29764</v>
      </c>
      <c r="AB419" s="39">
        <f t="shared" si="770"/>
        <v>0</v>
      </c>
      <c r="AC419" s="67"/>
      <c r="AD419" s="55"/>
    </row>
    <row r="420" spans="1:30" s="52" customFormat="1">
      <c r="A420" s="99" t="s">
        <v>558</v>
      </c>
      <c r="B420" s="181">
        <f>6495862.66/2</f>
        <v>3247931.33</v>
      </c>
      <c r="C420" s="211">
        <f>ROUND(B420/12,2)+ROUND(111922.21/2,2)</f>
        <v>326622.05</v>
      </c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>
        <v>1</v>
      </c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40"/>
      <c r="AA420" s="40"/>
      <c r="AB420" s="40"/>
      <c r="AC420" s="67"/>
      <c r="AD420" s="55"/>
    </row>
    <row r="421" spans="1:30" s="52" customFormat="1">
      <c r="A421" s="100"/>
      <c r="B421" s="217"/>
      <c r="C421" s="211"/>
      <c r="D421" s="39">
        <f t="shared" ref="D421" si="771">$C420*D420</f>
        <v>0</v>
      </c>
      <c r="E421" s="39">
        <f t="shared" ref="E421" si="772">$C420*E420</f>
        <v>0</v>
      </c>
      <c r="F421" s="39">
        <f t="shared" ref="F421:AB421" si="773">$C420*F420</f>
        <v>0</v>
      </c>
      <c r="G421" s="39">
        <f t="shared" si="773"/>
        <v>0</v>
      </c>
      <c r="H421" s="39">
        <f t="shared" si="773"/>
        <v>0</v>
      </c>
      <c r="I421" s="39">
        <f t="shared" si="773"/>
        <v>0</v>
      </c>
      <c r="J421" s="39">
        <f t="shared" si="773"/>
        <v>0</v>
      </c>
      <c r="K421" s="39">
        <f t="shared" si="773"/>
        <v>0</v>
      </c>
      <c r="L421" s="39">
        <f t="shared" si="773"/>
        <v>0</v>
      </c>
      <c r="M421" s="39">
        <f t="shared" si="773"/>
        <v>0</v>
      </c>
      <c r="N421" s="39">
        <f t="shared" si="773"/>
        <v>326622.05</v>
      </c>
      <c r="O421" s="39">
        <f t="shared" si="773"/>
        <v>0</v>
      </c>
      <c r="P421" s="39">
        <f t="shared" si="773"/>
        <v>0</v>
      </c>
      <c r="Q421" s="39">
        <f t="shared" si="773"/>
        <v>0</v>
      </c>
      <c r="R421" s="39">
        <f t="shared" si="773"/>
        <v>0</v>
      </c>
      <c r="S421" s="39">
        <f t="shared" si="773"/>
        <v>0</v>
      </c>
      <c r="T421" s="39">
        <f t="shared" si="773"/>
        <v>0</v>
      </c>
      <c r="U421" s="39">
        <f t="shared" si="773"/>
        <v>0</v>
      </c>
      <c r="V421" s="39">
        <f t="shared" si="773"/>
        <v>0</v>
      </c>
      <c r="W421" s="39">
        <f t="shared" si="773"/>
        <v>0</v>
      </c>
      <c r="X421" s="39">
        <f t="shared" si="773"/>
        <v>0</v>
      </c>
      <c r="Y421" s="39">
        <f t="shared" si="773"/>
        <v>0</v>
      </c>
      <c r="Z421" s="39">
        <f t="shared" si="773"/>
        <v>0</v>
      </c>
      <c r="AA421" s="39">
        <f t="shared" si="773"/>
        <v>0</v>
      </c>
      <c r="AB421" s="39">
        <f t="shared" si="773"/>
        <v>0</v>
      </c>
      <c r="AC421" s="67"/>
      <c r="AD421" s="55"/>
    </row>
    <row r="422" spans="1:30" s="52" customFormat="1">
      <c r="A422" s="99" t="s">
        <v>505</v>
      </c>
      <c r="B422" s="181">
        <v>1405379.22</v>
      </c>
      <c r="C422" s="211">
        <f>ROUND(B422/12,2)+21746.47</f>
        <v>138861.41</v>
      </c>
      <c r="D422" s="38">
        <v>1.9599999999999999E-2</v>
      </c>
      <c r="E422" s="38"/>
      <c r="F422" s="38"/>
      <c r="G422" s="38"/>
      <c r="H422" s="38">
        <v>0.14369999999999999</v>
      </c>
      <c r="I422" s="38"/>
      <c r="J422" s="38"/>
      <c r="K422" s="38"/>
      <c r="L422" s="38"/>
      <c r="M422" s="38">
        <v>3.7600000000000001E-2</v>
      </c>
      <c r="N422" s="38">
        <v>0.35110000000000002</v>
      </c>
      <c r="O422" s="38"/>
      <c r="P422" s="38">
        <v>3.3999999999999998E-3</v>
      </c>
      <c r="Q422" s="38">
        <v>3.3099999999999997E-2</v>
      </c>
      <c r="R422" s="38">
        <v>2.5100000000000001E-2</v>
      </c>
      <c r="S422" s="38">
        <v>6.3E-3</v>
      </c>
      <c r="T422" s="38">
        <v>6.2600000000000003E-2</v>
      </c>
      <c r="U422" s="38"/>
      <c r="V422" s="38">
        <v>0.20230000000000001</v>
      </c>
      <c r="W422" s="38">
        <v>3.9399999999999998E-2</v>
      </c>
      <c r="X422" s="38">
        <v>7.2900000000000006E-2</v>
      </c>
      <c r="Y422" s="38"/>
      <c r="Z422" s="40">
        <v>2.8999999999999998E-3</v>
      </c>
      <c r="AA422" s="40"/>
      <c r="AB422" s="40"/>
      <c r="AC422" s="67"/>
      <c r="AD422" s="55"/>
    </row>
    <row r="423" spans="1:30" s="52" customFormat="1">
      <c r="A423" s="100"/>
      <c r="B423" s="218"/>
      <c r="C423" s="211"/>
      <c r="D423" s="39">
        <f t="shared" ref="D423" si="774">$C422*D422</f>
        <v>2721.6836360000002</v>
      </c>
      <c r="E423" s="39">
        <f t="shared" ref="E423" si="775">$C422*E422</f>
        <v>0</v>
      </c>
      <c r="F423" s="39">
        <f t="shared" ref="F423:AB423" si="776">$C422*F422</f>
        <v>0</v>
      </c>
      <c r="G423" s="39">
        <f t="shared" si="776"/>
        <v>0</v>
      </c>
      <c r="H423" s="39">
        <f t="shared" si="776"/>
        <v>19954.384617</v>
      </c>
      <c r="I423" s="39">
        <f t="shared" si="776"/>
        <v>0</v>
      </c>
      <c r="J423" s="39">
        <f t="shared" si="776"/>
        <v>0</v>
      </c>
      <c r="K423" s="39">
        <f t="shared" si="776"/>
        <v>0</v>
      </c>
      <c r="L423" s="39">
        <f t="shared" si="776"/>
        <v>0</v>
      </c>
      <c r="M423" s="39">
        <f t="shared" si="776"/>
        <v>5221.1890160000003</v>
      </c>
      <c r="N423" s="39">
        <f t="shared" si="776"/>
        <v>48754.241051000005</v>
      </c>
      <c r="O423" s="39">
        <f t="shared" si="776"/>
        <v>0</v>
      </c>
      <c r="P423" s="39">
        <f t="shared" si="776"/>
        <v>472.12879399999997</v>
      </c>
      <c r="Q423" s="39">
        <f t="shared" si="776"/>
        <v>4596.3126709999997</v>
      </c>
      <c r="R423" s="39">
        <f t="shared" si="776"/>
        <v>3485.4213910000003</v>
      </c>
      <c r="S423" s="39">
        <f t="shared" si="776"/>
        <v>874.82688300000007</v>
      </c>
      <c r="T423" s="39">
        <f t="shared" si="776"/>
        <v>8692.7242660000011</v>
      </c>
      <c r="U423" s="39">
        <f t="shared" si="776"/>
        <v>0</v>
      </c>
      <c r="V423" s="39">
        <f t="shared" si="776"/>
        <v>28091.663243000003</v>
      </c>
      <c r="W423" s="39">
        <f t="shared" si="776"/>
        <v>5471.1395539999994</v>
      </c>
      <c r="X423" s="39">
        <f t="shared" si="776"/>
        <v>10122.996789000001</v>
      </c>
      <c r="Y423" s="39">
        <f t="shared" si="776"/>
        <v>0</v>
      </c>
      <c r="Z423" s="39">
        <f t="shared" si="776"/>
        <v>402.69808899999998</v>
      </c>
      <c r="AA423" s="39">
        <f t="shared" si="776"/>
        <v>0</v>
      </c>
      <c r="AB423" s="39">
        <f t="shared" si="776"/>
        <v>0</v>
      </c>
      <c r="AC423" s="67"/>
      <c r="AD423" s="55"/>
    </row>
    <row r="424" spans="1:30" s="52" customFormat="1">
      <c r="A424" s="99" t="s">
        <v>559</v>
      </c>
      <c r="B424" s="181">
        <f>3606836.35/2</f>
        <v>1803418.175</v>
      </c>
      <c r="C424" s="211">
        <f>ROUND(B424/12,2)+ROUND(74415/2,2)</f>
        <v>187492.35</v>
      </c>
      <c r="D424" s="170">
        <v>1.6500000000000001E-2</v>
      </c>
      <c r="E424" s="170">
        <v>0.1368</v>
      </c>
      <c r="F424" s="170">
        <v>5.7599999999999998E-2</v>
      </c>
      <c r="G424" s="170">
        <v>8.0399999999999999E-2</v>
      </c>
      <c r="H424" s="170">
        <v>4.1099999999999998E-2</v>
      </c>
      <c r="I424" s="170">
        <v>0.13389999999999999</v>
      </c>
      <c r="J424" s="170">
        <v>2.12E-2</v>
      </c>
      <c r="K424" s="170">
        <v>3.2500000000000001E-2</v>
      </c>
      <c r="L424" s="170">
        <v>1.7100000000000001E-2</v>
      </c>
      <c r="M424" s="170">
        <v>2.5999999999999999E-2</v>
      </c>
      <c r="N424" s="170">
        <v>0.13320000000000001</v>
      </c>
      <c r="O424" s="170">
        <v>1.89E-2</v>
      </c>
      <c r="P424" s="170">
        <v>0</v>
      </c>
      <c r="Q424" s="170">
        <v>3.8600000000000002E-2</v>
      </c>
      <c r="R424" s="170">
        <v>1.9E-2</v>
      </c>
      <c r="S424" s="170">
        <v>4.1999999999999997E-3</v>
      </c>
      <c r="T424" s="170">
        <v>5.3999999999999999E-2</v>
      </c>
      <c r="U424" s="170">
        <v>1.78E-2</v>
      </c>
      <c r="V424" s="170">
        <v>3.6700000000000003E-2</v>
      </c>
      <c r="W424" s="170">
        <v>4.7199999999999999E-2</v>
      </c>
      <c r="X424" s="170">
        <v>6.3899999999999998E-2</v>
      </c>
      <c r="Y424" s="170">
        <v>2.5999999999999999E-3</v>
      </c>
      <c r="Z424" s="171">
        <v>0</v>
      </c>
      <c r="AA424" s="171">
        <v>8.0000000000000004E-4</v>
      </c>
      <c r="AB424" s="171">
        <v>0</v>
      </c>
      <c r="AC424" s="67"/>
      <c r="AD424" s="55"/>
    </row>
    <row r="425" spans="1:30" s="52" customFormat="1">
      <c r="A425" s="100"/>
      <c r="B425" s="218"/>
      <c r="C425" s="211"/>
      <c r="D425" s="39">
        <f t="shared" ref="D425" si="777">$C424*D424</f>
        <v>3093.623775</v>
      </c>
      <c r="E425" s="39">
        <f t="shared" ref="E425" si="778">$C424*E424</f>
        <v>25648.95348</v>
      </c>
      <c r="F425" s="39">
        <f t="shared" ref="F425:AB425" si="779">$C424*F424</f>
        <v>10799.559359999999</v>
      </c>
      <c r="G425" s="39">
        <f t="shared" si="779"/>
        <v>15074.38494</v>
      </c>
      <c r="H425" s="39">
        <f t="shared" si="779"/>
        <v>7705.9355850000002</v>
      </c>
      <c r="I425" s="39">
        <f t="shared" si="779"/>
        <v>25105.225664999998</v>
      </c>
      <c r="J425" s="39">
        <f t="shared" si="779"/>
        <v>3974.8378200000002</v>
      </c>
      <c r="K425" s="39">
        <f t="shared" si="779"/>
        <v>6093.5013750000007</v>
      </c>
      <c r="L425" s="39">
        <f t="shared" si="779"/>
        <v>3206.119185</v>
      </c>
      <c r="M425" s="39">
        <f t="shared" si="779"/>
        <v>4874.8010999999997</v>
      </c>
      <c r="N425" s="39">
        <f t="shared" si="779"/>
        <v>24973.981020000003</v>
      </c>
      <c r="O425" s="39">
        <f t="shared" si="779"/>
        <v>3543.605415</v>
      </c>
      <c r="P425" s="39">
        <f t="shared" si="779"/>
        <v>0</v>
      </c>
      <c r="Q425" s="39">
        <f t="shared" si="779"/>
        <v>7237.2047100000009</v>
      </c>
      <c r="R425" s="39">
        <f t="shared" si="779"/>
        <v>3562.3546500000002</v>
      </c>
      <c r="S425" s="39">
        <f t="shared" si="779"/>
        <v>787.46786999999995</v>
      </c>
      <c r="T425" s="39">
        <f t="shared" si="779"/>
        <v>10124.5869</v>
      </c>
      <c r="U425" s="39">
        <f t="shared" si="779"/>
        <v>3337.3638300000002</v>
      </c>
      <c r="V425" s="39">
        <f t="shared" si="779"/>
        <v>6880.9692450000011</v>
      </c>
      <c r="W425" s="39">
        <f t="shared" si="779"/>
        <v>8849.6389199999994</v>
      </c>
      <c r="X425" s="39">
        <f t="shared" si="779"/>
        <v>11980.761165</v>
      </c>
      <c r="Y425" s="39">
        <f t="shared" si="779"/>
        <v>487.48010999999997</v>
      </c>
      <c r="Z425" s="39">
        <f t="shared" si="779"/>
        <v>0</v>
      </c>
      <c r="AA425" s="39">
        <f t="shared" si="779"/>
        <v>149.99388000000002</v>
      </c>
      <c r="AB425" s="39">
        <f t="shared" si="779"/>
        <v>0</v>
      </c>
      <c r="AC425" s="67"/>
      <c r="AD425" s="55"/>
    </row>
    <row r="426" spans="1:30" s="52" customFormat="1">
      <c r="A426" s="99" t="s">
        <v>560</v>
      </c>
      <c r="B426" s="181">
        <f>3606836.35/2</f>
        <v>1803418.175</v>
      </c>
      <c r="C426" s="211">
        <f>ROUND(B426/12,2)+ROUND(74415/2,2)</f>
        <v>187492.35</v>
      </c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>
        <v>1</v>
      </c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40"/>
      <c r="AA426" s="40"/>
      <c r="AB426" s="40"/>
      <c r="AC426" s="67"/>
      <c r="AD426" s="55"/>
    </row>
    <row r="427" spans="1:30" s="52" customFormat="1">
      <c r="A427" s="100"/>
      <c r="B427" s="218"/>
      <c r="C427" s="211"/>
      <c r="D427" s="39">
        <f t="shared" ref="D427" si="780">$C426*D426</f>
        <v>0</v>
      </c>
      <c r="E427" s="39">
        <f t="shared" ref="E427" si="781">$C426*E426</f>
        <v>0</v>
      </c>
      <c r="F427" s="39">
        <f t="shared" ref="F427:AB427" si="782">$C426*F426</f>
        <v>0</v>
      </c>
      <c r="G427" s="39">
        <f t="shared" si="782"/>
        <v>0</v>
      </c>
      <c r="H427" s="39">
        <f t="shared" si="782"/>
        <v>0</v>
      </c>
      <c r="I427" s="39">
        <f t="shared" si="782"/>
        <v>0</v>
      </c>
      <c r="J427" s="39">
        <f t="shared" si="782"/>
        <v>0</v>
      </c>
      <c r="K427" s="39">
        <f t="shared" si="782"/>
        <v>0</v>
      </c>
      <c r="L427" s="39">
        <f t="shared" si="782"/>
        <v>0</v>
      </c>
      <c r="M427" s="39">
        <f t="shared" si="782"/>
        <v>0</v>
      </c>
      <c r="N427" s="39">
        <f t="shared" si="782"/>
        <v>187492.35</v>
      </c>
      <c r="O427" s="39">
        <f t="shared" si="782"/>
        <v>0</v>
      </c>
      <c r="P427" s="39">
        <f t="shared" si="782"/>
        <v>0</v>
      </c>
      <c r="Q427" s="39">
        <f t="shared" si="782"/>
        <v>0</v>
      </c>
      <c r="R427" s="39">
        <f t="shared" si="782"/>
        <v>0</v>
      </c>
      <c r="S427" s="39">
        <f t="shared" si="782"/>
        <v>0</v>
      </c>
      <c r="T427" s="39">
        <f t="shared" si="782"/>
        <v>0</v>
      </c>
      <c r="U427" s="39">
        <f t="shared" si="782"/>
        <v>0</v>
      </c>
      <c r="V427" s="39">
        <f t="shared" si="782"/>
        <v>0</v>
      </c>
      <c r="W427" s="39">
        <f t="shared" si="782"/>
        <v>0</v>
      </c>
      <c r="X427" s="39">
        <f t="shared" si="782"/>
        <v>0</v>
      </c>
      <c r="Y427" s="39">
        <f t="shared" si="782"/>
        <v>0</v>
      </c>
      <c r="Z427" s="39">
        <f t="shared" si="782"/>
        <v>0</v>
      </c>
      <c r="AA427" s="39">
        <f t="shared" si="782"/>
        <v>0</v>
      </c>
      <c r="AB427" s="39">
        <f t="shared" si="782"/>
        <v>0</v>
      </c>
      <c r="AC427" s="67"/>
      <c r="AD427" s="55"/>
    </row>
    <row r="428" spans="1:30" s="52" customFormat="1">
      <c r="A428" s="99" t="s">
        <v>561</v>
      </c>
      <c r="B428" s="181">
        <f>2368792.03/2</f>
        <v>1184396.0149999999</v>
      </c>
      <c r="C428" s="211">
        <f>ROUND(B428/12,2)</f>
        <v>98699.67</v>
      </c>
      <c r="D428" s="170">
        <v>1.6500000000000001E-2</v>
      </c>
      <c r="E428" s="170">
        <v>0.1368</v>
      </c>
      <c r="F428" s="170">
        <v>5.7599999999999998E-2</v>
      </c>
      <c r="G428" s="170">
        <v>8.0399999999999999E-2</v>
      </c>
      <c r="H428" s="170">
        <v>4.1099999999999998E-2</v>
      </c>
      <c r="I428" s="170">
        <v>0.13389999999999999</v>
      </c>
      <c r="J428" s="170">
        <v>2.12E-2</v>
      </c>
      <c r="K428" s="170">
        <v>3.2500000000000001E-2</v>
      </c>
      <c r="L428" s="170">
        <v>1.7100000000000001E-2</v>
      </c>
      <c r="M428" s="170">
        <v>2.5999999999999999E-2</v>
      </c>
      <c r="N428" s="170">
        <v>0.13320000000000001</v>
      </c>
      <c r="O428" s="170">
        <v>1.89E-2</v>
      </c>
      <c r="P428" s="170">
        <v>0</v>
      </c>
      <c r="Q428" s="170">
        <v>3.8600000000000002E-2</v>
      </c>
      <c r="R428" s="170">
        <v>1.9E-2</v>
      </c>
      <c r="S428" s="170">
        <v>4.1999999999999997E-3</v>
      </c>
      <c r="T428" s="170">
        <v>5.3999999999999999E-2</v>
      </c>
      <c r="U428" s="170">
        <v>1.78E-2</v>
      </c>
      <c r="V428" s="170">
        <v>3.6700000000000003E-2</v>
      </c>
      <c r="W428" s="170">
        <v>4.7199999999999999E-2</v>
      </c>
      <c r="X428" s="170">
        <v>6.3899999999999998E-2</v>
      </c>
      <c r="Y428" s="170">
        <v>2.5999999999999999E-3</v>
      </c>
      <c r="Z428" s="171">
        <v>0</v>
      </c>
      <c r="AA428" s="171">
        <v>8.0000000000000004E-4</v>
      </c>
      <c r="AB428" s="171">
        <v>0</v>
      </c>
      <c r="AC428" s="67"/>
      <c r="AD428" s="55"/>
    </row>
    <row r="429" spans="1:30" s="52" customFormat="1">
      <c r="A429" s="100"/>
      <c r="B429" s="218"/>
      <c r="C429" s="211"/>
      <c r="D429" s="39">
        <f t="shared" ref="D429" si="783">$C428*D428</f>
        <v>1628.5445549999999</v>
      </c>
      <c r="E429" s="39">
        <f t="shared" ref="E429" si="784">$C428*E428</f>
        <v>13502.114856</v>
      </c>
      <c r="F429" s="39">
        <f t="shared" ref="F429:AB429" si="785">$C428*F428</f>
        <v>5685.1009919999997</v>
      </c>
      <c r="G429" s="39">
        <f t="shared" si="785"/>
        <v>7935.4534679999997</v>
      </c>
      <c r="H429" s="39">
        <f t="shared" si="785"/>
        <v>4056.5564369999997</v>
      </c>
      <c r="I429" s="39">
        <f t="shared" si="785"/>
        <v>13215.885812999999</v>
      </c>
      <c r="J429" s="39">
        <f t="shared" si="785"/>
        <v>2092.433004</v>
      </c>
      <c r="K429" s="39">
        <f t="shared" si="785"/>
        <v>3207.7392749999999</v>
      </c>
      <c r="L429" s="39">
        <f t="shared" si="785"/>
        <v>1687.764357</v>
      </c>
      <c r="M429" s="39">
        <f t="shared" si="785"/>
        <v>2566.1914199999997</v>
      </c>
      <c r="N429" s="39">
        <f t="shared" si="785"/>
        <v>13146.796044000001</v>
      </c>
      <c r="O429" s="39">
        <f t="shared" si="785"/>
        <v>1865.423763</v>
      </c>
      <c r="P429" s="39">
        <f t="shared" si="785"/>
        <v>0</v>
      </c>
      <c r="Q429" s="39">
        <f t="shared" si="785"/>
        <v>3809.8072620000003</v>
      </c>
      <c r="R429" s="39">
        <f t="shared" si="785"/>
        <v>1875.2937299999999</v>
      </c>
      <c r="S429" s="39">
        <f t="shared" si="785"/>
        <v>414.53861399999994</v>
      </c>
      <c r="T429" s="39">
        <f t="shared" si="785"/>
        <v>5329.7821800000002</v>
      </c>
      <c r="U429" s="39">
        <f t="shared" si="785"/>
        <v>1756.854126</v>
      </c>
      <c r="V429" s="39">
        <f t="shared" si="785"/>
        <v>3622.2778890000004</v>
      </c>
      <c r="W429" s="39">
        <f t="shared" si="785"/>
        <v>4658.6244239999996</v>
      </c>
      <c r="X429" s="39">
        <f t="shared" si="785"/>
        <v>6306.9089129999993</v>
      </c>
      <c r="Y429" s="39">
        <f t="shared" si="785"/>
        <v>256.61914200000001</v>
      </c>
      <c r="Z429" s="39">
        <f t="shared" si="785"/>
        <v>0</v>
      </c>
      <c r="AA429" s="39">
        <f t="shared" si="785"/>
        <v>78.959736000000007</v>
      </c>
      <c r="AB429" s="39">
        <f t="shared" si="785"/>
        <v>0</v>
      </c>
      <c r="AC429" s="67"/>
      <c r="AD429" s="55"/>
    </row>
    <row r="430" spans="1:30" s="52" customFormat="1">
      <c r="A430" s="99" t="s">
        <v>562</v>
      </c>
      <c r="B430" s="181">
        <f>2368792.03/2</f>
        <v>1184396.0149999999</v>
      </c>
      <c r="C430" s="211">
        <f>ROUND(B430/12,2)</f>
        <v>98699.67</v>
      </c>
      <c r="D430" s="38"/>
      <c r="E430" s="38"/>
      <c r="F430" s="38"/>
      <c r="G430" s="38"/>
      <c r="H430" s="170">
        <v>0.40110000000000001</v>
      </c>
      <c r="I430" s="38"/>
      <c r="J430" s="38"/>
      <c r="K430" s="170">
        <v>7.1000000000000004E-3</v>
      </c>
      <c r="L430" s="38"/>
      <c r="M430" s="38"/>
      <c r="N430" s="170">
        <v>9.2999999999999999E-2</v>
      </c>
      <c r="O430" s="170">
        <v>4.3E-3</v>
      </c>
      <c r="P430" s="38"/>
      <c r="Q430" s="38"/>
      <c r="R430" s="38"/>
      <c r="S430" s="38"/>
      <c r="T430" s="38"/>
      <c r="U430" s="38"/>
      <c r="V430" s="170">
        <v>0.4945</v>
      </c>
      <c r="W430" s="38"/>
      <c r="X430" s="38"/>
      <c r="Y430" s="38"/>
      <c r="Z430" s="40"/>
      <c r="AA430" s="40"/>
      <c r="AB430" s="40"/>
      <c r="AC430" s="67"/>
      <c r="AD430" s="55"/>
    </row>
    <row r="431" spans="1:30" s="52" customFormat="1">
      <c r="A431" s="100"/>
      <c r="B431" s="218"/>
      <c r="C431" s="211"/>
      <c r="D431" s="39">
        <f t="shared" ref="D431" si="786">$C430*D430</f>
        <v>0</v>
      </c>
      <c r="E431" s="39">
        <f t="shared" ref="E431" si="787">$C430*E430</f>
        <v>0</v>
      </c>
      <c r="F431" s="39">
        <f t="shared" ref="F431:AB431" si="788">$C430*F430</f>
        <v>0</v>
      </c>
      <c r="G431" s="39">
        <f t="shared" si="788"/>
        <v>0</v>
      </c>
      <c r="H431" s="39">
        <f t="shared" si="788"/>
        <v>39588.437637000003</v>
      </c>
      <c r="I431" s="39">
        <f t="shared" si="788"/>
        <v>0</v>
      </c>
      <c r="J431" s="39">
        <f t="shared" si="788"/>
        <v>0</v>
      </c>
      <c r="K431" s="39">
        <f t="shared" si="788"/>
        <v>700.76765699999999</v>
      </c>
      <c r="L431" s="39">
        <f t="shared" si="788"/>
        <v>0</v>
      </c>
      <c r="M431" s="39">
        <f t="shared" si="788"/>
        <v>0</v>
      </c>
      <c r="N431" s="39">
        <f t="shared" si="788"/>
        <v>9179.0693099999989</v>
      </c>
      <c r="O431" s="39">
        <f t="shared" si="788"/>
        <v>424.40858099999997</v>
      </c>
      <c r="P431" s="39">
        <f t="shared" si="788"/>
        <v>0</v>
      </c>
      <c r="Q431" s="39">
        <f t="shared" si="788"/>
        <v>0</v>
      </c>
      <c r="R431" s="39">
        <f t="shared" si="788"/>
        <v>0</v>
      </c>
      <c r="S431" s="39">
        <f t="shared" si="788"/>
        <v>0</v>
      </c>
      <c r="T431" s="39">
        <f t="shared" si="788"/>
        <v>0</v>
      </c>
      <c r="U431" s="39">
        <f t="shared" si="788"/>
        <v>0</v>
      </c>
      <c r="V431" s="39">
        <f t="shared" si="788"/>
        <v>48806.986814999997</v>
      </c>
      <c r="W431" s="39">
        <f t="shared" si="788"/>
        <v>0</v>
      </c>
      <c r="X431" s="39">
        <f t="shared" si="788"/>
        <v>0</v>
      </c>
      <c r="Y431" s="39">
        <f t="shared" si="788"/>
        <v>0</v>
      </c>
      <c r="Z431" s="39">
        <f t="shared" si="788"/>
        <v>0</v>
      </c>
      <c r="AA431" s="39">
        <f t="shared" si="788"/>
        <v>0</v>
      </c>
      <c r="AB431" s="39">
        <f t="shared" si="788"/>
        <v>0</v>
      </c>
      <c r="AC431" s="67"/>
      <c r="AD431" s="55"/>
    </row>
    <row r="432" spans="1:30" s="52" customFormat="1">
      <c r="A432" s="99" t="s">
        <v>563</v>
      </c>
      <c r="B432" s="181">
        <f>2231788.93/2</f>
        <v>1115894.4650000001</v>
      </c>
      <c r="C432" s="211">
        <f>ROUND(B432/12,2)+ROUND(52005.84/2,2)</f>
        <v>118994.13</v>
      </c>
      <c r="D432" s="170">
        <v>1.6500000000000001E-2</v>
      </c>
      <c r="E432" s="170">
        <v>0.1368</v>
      </c>
      <c r="F432" s="170">
        <v>5.7599999999999998E-2</v>
      </c>
      <c r="G432" s="170">
        <v>8.0399999999999999E-2</v>
      </c>
      <c r="H432" s="170">
        <v>4.1099999999999998E-2</v>
      </c>
      <c r="I432" s="170">
        <v>0.13389999999999999</v>
      </c>
      <c r="J432" s="170">
        <v>2.12E-2</v>
      </c>
      <c r="K432" s="170">
        <v>3.2500000000000001E-2</v>
      </c>
      <c r="L432" s="170">
        <v>1.7100000000000001E-2</v>
      </c>
      <c r="M432" s="170">
        <v>2.5999999999999999E-2</v>
      </c>
      <c r="N432" s="170">
        <v>0.13320000000000001</v>
      </c>
      <c r="O432" s="170">
        <v>1.89E-2</v>
      </c>
      <c r="P432" s="170">
        <v>0</v>
      </c>
      <c r="Q432" s="170">
        <v>3.8600000000000002E-2</v>
      </c>
      <c r="R432" s="170">
        <v>1.9E-2</v>
      </c>
      <c r="S432" s="170">
        <v>4.1999999999999997E-3</v>
      </c>
      <c r="T432" s="170">
        <v>5.3999999999999999E-2</v>
      </c>
      <c r="U432" s="170">
        <v>1.78E-2</v>
      </c>
      <c r="V432" s="170">
        <v>3.6700000000000003E-2</v>
      </c>
      <c r="W432" s="170">
        <v>4.7199999999999999E-2</v>
      </c>
      <c r="X432" s="170">
        <v>6.3899999999999998E-2</v>
      </c>
      <c r="Y432" s="170">
        <v>2.5999999999999999E-3</v>
      </c>
      <c r="Z432" s="171">
        <v>0</v>
      </c>
      <c r="AA432" s="171">
        <v>8.0000000000000004E-4</v>
      </c>
      <c r="AB432" s="171">
        <v>0</v>
      </c>
      <c r="AC432" s="67"/>
      <c r="AD432" s="55"/>
    </row>
    <row r="433" spans="1:30" s="52" customFormat="1">
      <c r="A433" s="100"/>
      <c r="B433" s="218"/>
      <c r="C433" s="211"/>
      <c r="D433" s="39">
        <f t="shared" ref="D433" si="789">$C432*D432</f>
        <v>1963.4031450000002</v>
      </c>
      <c r="E433" s="39">
        <f t="shared" ref="E433" si="790">$C432*E432</f>
        <v>16278.396984000001</v>
      </c>
      <c r="F433" s="39">
        <f t="shared" ref="F433:AB433" si="791">$C432*F432</f>
        <v>6854.0618880000002</v>
      </c>
      <c r="G433" s="39">
        <f t="shared" si="791"/>
        <v>9567.128052</v>
      </c>
      <c r="H433" s="39">
        <f t="shared" si="791"/>
        <v>4890.658743</v>
      </c>
      <c r="I433" s="39">
        <f t="shared" si="791"/>
        <v>15933.314006999999</v>
      </c>
      <c r="J433" s="39">
        <f t="shared" si="791"/>
        <v>2522.6755560000001</v>
      </c>
      <c r="K433" s="39">
        <f t="shared" si="791"/>
        <v>3867.3092250000004</v>
      </c>
      <c r="L433" s="39">
        <f t="shared" si="791"/>
        <v>2034.7996230000001</v>
      </c>
      <c r="M433" s="39">
        <f t="shared" si="791"/>
        <v>3093.8473800000002</v>
      </c>
      <c r="N433" s="39">
        <f t="shared" si="791"/>
        <v>15850.018116000003</v>
      </c>
      <c r="O433" s="39">
        <f t="shared" si="791"/>
        <v>2248.9890570000002</v>
      </c>
      <c r="P433" s="39">
        <f t="shared" si="791"/>
        <v>0</v>
      </c>
      <c r="Q433" s="39">
        <f t="shared" si="791"/>
        <v>4593.1734180000003</v>
      </c>
      <c r="R433" s="39">
        <f t="shared" si="791"/>
        <v>2260.8884699999999</v>
      </c>
      <c r="S433" s="39">
        <f t="shared" si="791"/>
        <v>499.77534600000001</v>
      </c>
      <c r="T433" s="39">
        <f t="shared" si="791"/>
        <v>6425.6830200000004</v>
      </c>
      <c r="U433" s="39">
        <f t="shared" si="791"/>
        <v>2118.0955140000001</v>
      </c>
      <c r="V433" s="39">
        <f t="shared" si="791"/>
        <v>4367.0845710000003</v>
      </c>
      <c r="W433" s="39">
        <f t="shared" si="791"/>
        <v>5616.5229360000003</v>
      </c>
      <c r="X433" s="39">
        <f t="shared" si="791"/>
        <v>7603.7249069999998</v>
      </c>
      <c r="Y433" s="39">
        <f t="shared" si="791"/>
        <v>309.38473799999997</v>
      </c>
      <c r="Z433" s="39">
        <f t="shared" si="791"/>
        <v>0</v>
      </c>
      <c r="AA433" s="39">
        <f t="shared" si="791"/>
        <v>95.195304000000007</v>
      </c>
      <c r="AB433" s="39">
        <f t="shared" si="791"/>
        <v>0</v>
      </c>
      <c r="AC433" s="67"/>
      <c r="AD433" s="55"/>
    </row>
    <row r="434" spans="1:30" s="52" customFormat="1">
      <c r="A434" s="99" t="s">
        <v>564</v>
      </c>
      <c r="B434" s="181">
        <f>2231788.93/2</f>
        <v>1115894.4650000001</v>
      </c>
      <c r="C434" s="211">
        <f>ROUND(B434/12,2)+ROUND(52005.84/2,2)</f>
        <v>118994.13</v>
      </c>
      <c r="D434" s="38"/>
      <c r="E434" s="38"/>
      <c r="F434" s="38"/>
      <c r="G434" s="38"/>
      <c r="H434" s="170">
        <v>3.7699999999999997E-2</v>
      </c>
      <c r="I434" s="38"/>
      <c r="J434" s="38"/>
      <c r="K434" s="170">
        <v>8.8400000000000006E-2</v>
      </c>
      <c r="L434" s="38"/>
      <c r="M434" s="38"/>
      <c r="N434" s="170">
        <v>0.78839999999999999</v>
      </c>
      <c r="O434" s="170">
        <v>3.9E-2</v>
      </c>
      <c r="P434" s="38"/>
      <c r="Q434" s="38"/>
      <c r="R434" s="38"/>
      <c r="S434" s="38"/>
      <c r="T434" s="38"/>
      <c r="U434" s="38"/>
      <c r="V434" s="170">
        <v>4.65E-2</v>
      </c>
      <c r="W434" s="38"/>
      <c r="X434" s="38"/>
      <c r="Y434" s="38"/>
      <c r="Z434" s="40"/>
      <c r="AA434" s="40"/>
      <c r="AB434" s="40"/>
      <c r="AC434" s="67"/>
      <c r="AD434" s="55"/>
    </row>
    <row r="435" spans="1:30" s="52" customFormat="1">
      <c r="A435" s="100"/>
      <c r="B435" s="218"/>
      <c r="C435" s="211"/>
      <c r="D435" s="39">
        <f t="shared" ref="D435" si="792">$C434*D434</f>
        <v>0</v>
      </c>
      <c r="E435" s="39">
        <f t="shared" ref="E435" si="793">$C434*E434</f>
        <v>0</v>
      </c>
      <c r="F435" s="39">
        <f t="shared" ref="F435:AB435" si="794">$C434*F434</f>
        <v>0</v>
      </c>
      <c r="G435" s="39">
        <f t="shared" si="794"/>
        <v>0</v>
      </c>
      <c r="H435" s="39">
        <f t="shared" si="794"/>
        <v>4486.0787009999995</v>
      </c>
      <c r="I435" s="39">
        <f t="shared" si="794"/>
        <v>0</v>
      </c>
      <c r="J435" s="39">
        <f t="shared" si="794"/>
        <v>0</v>
      </c>
      <c r="K435" s="39">
        <f t="shared" si="794"/>
        <v>10519.081092</v>
      </c>
      <c r="L435" s="39">
        <f t="shared" si="794"/>
        <v>0</v>
      </c>
      <c r="M435" s="39">
        <f t="shared" si="794"/>
        <v>0</v>
      </c>
      <c r="N435" s="39">
        <f t="shared" si="794"/>
        <v>93814.972091999996</v>
      </c>
      <c r="O435" s="39">
        <f t="shared" si="794"/>
        <v>4640.7710699999998</v>
      </c>
      <c r="P435" s="39">
        <f t="shared" si="794"/>
        <v>0</v>
      </c>
      <c r="Q435" s="39">
        <f t="shared" si="794"/>
        <v>0</v>
      </c>
      <c r="R435" s="39">
        <f t="shared" si="794"/>
        <v>0</v>
      </c>
      <c r="S435" s="39">
        <f t="shared" si="794"/>
        <v>0</v>
      </c>
      <c r="T435" s="39">
        <f t="shared" si="794"/>
        <v>0</v>
      </c>
      <c r="U435" s="39">
        <f t="shared" si="794"/>
        <v>0</v>
      </c>
      <c r="V435" s="39">
        <f t="shared" si="794"/>
        <v>5533.2270450000005</v>
      </c>
      <c r="W435" s="39">
        <f t="shared" si="794"/>
        <v>0</v>
      </c>
      <c r="X435" s="39">
        <f t="shared" si="794"/>
        <v>0</v>
      </c>
      <c r="Y435" s="39">
        <f t="shared" si="794"/>
        <v>0</v>
      </c>
      <c r="Z435" s="39">
        <f t="shared" si="794"/>
        <v>0</v>
      </c>
      <c r="AA435" s="39">
        <f t="shared" si="794"/>
        <v>0</v>
      </c>
      <c r="AB435" s="39">
        <f t="shared" si="794"/>
        <v>0</v>
      </c>
      <c r="AC435" s="67"/>
      <c r="AD435" s="55"/>
    </row>
    <row r="436" spans="1:30" s="52" customFormat="1">
      <c r="A436" s="99" t="s">
        <v>594</v>
      </c>
      <c r="B436" s="181">
        <f>8182764.76/2</f>
        <v>4091382.38</v>
      </c>
      <c r="C436" s="211">
        <f t="shared" ref="C436:C458" si="795">ROUND(B436/12,2)</f>
        <v>340948.53</v>
      </c>
      <c r="D436" s="170">
        <v>1.6500000000000001E-2</v>
      </c>
      <c r="E436" s="170">
        <v>0.1368</v>
      </c>
      <c r="F436" s="170">
        <v>5.7599999999999998E-2</v>
      </c>
      <c r="G436" s="170">
        <v>8.0399999999999999E-2</v>
      </c>
      <c r="H436" s="170">
        <v>4.1099999999999998E-2</v>
      </c>
      <c r="I436" s="170">
        <v>0.13389999999999999</v>
      </c>
      <c r="J436" s="170">
        <v>2.12E-2</v>
      </c>
      <c r="K436" s="170">
        <v>3.2500000000000001E-2</v>
      </c>
      <c r="L436" s="170">
        <v>1.7100000000000001E-2</v>
      </c>
      <c r="M436" s="170">
        <v>2.5999999999999999E-2</v>
      </c>
      <c r="N436" s="170">
        <v>0.13320000000000001</v>
      </c>
      <c r="O436" s="170">
        <v>1.89E-2</v>
      </c>
      <c r="P436" s="170">
        <v>0</v>
      </c>
      <c r="Q436" s="170">
        <v>3.8600000000000002E-2</v>
      </c>
      <c r="R436" s="170">
        <v>1.9E-2</v>
      </c>
      <c r="S436" s="170">
        <v>4.1999999999999997E-3</v>
      </c>
      <c r="T436" s="170">
        <v>5.3999999999999999E-2</v>
      </c>
      <c r="U436" s="170">
        <v>1.78E-2</v>
      </c>
      <c r="V436" s="170">
        <v>3.6700000000000003E-2</v>
      </c>
      <c r="W436" s="170">
        <v>4.7199999999999999E-2</v>
      </c>
      <c r="X436" s="170">
        <v>6.3899999999999998E-2</v>
      </c>
      <c r="Y436" s="170">
        <v>2.5999999999999999E-3</v>
      </c>
      <c r="Z436" s="171">
        <v>0</v>
      </c>
      <c r="AA436" s="171">
        <v>8.0000000000000004E-4</v>
      </c>
      <c r="AB436" s="171">
        <v>0</v>
      </c>
      <c r="AC436" s="67"/>
      <c r="AD436" s="55"/>
    </row>
    <row r="437" spans="1:30" s="52" customFormat="1">
      <c r="A437" s="100"/>
      <c r="B437" s="218"/>
      <c r="C437" s="211"/>
      <c r="D437" s="39">
        <f t="shared" ref="D437" si="796">$C436*D436</f>
        <v>5625.6507450000008</v>
      </c>
      <c r="E437" s="39">
        <f t="shared" ref="E437" si="797">$C436*E436</f>
        <v>46641.758904000002</v>
      </c>
      <c r="F437" s="39">
        <f t="shared" ref="F437:AB437" si="798">$C436*F436</f>
        <v>19638.635328</v>
      </c>
      <c r="G437" s="39">
        <f t="shared" si="798"/>
        <v>27412.261812000001</v>
      </c>
      <c r="H437" s="39">
        <f t="shared" si="798"/>
        <v>14012.984582999999</v>
      </c>
      <c r="I437" s="39">
        <f t="shared" si="798"/>
        <v>45653.008167</v>
      </c>
      <c r="J437" s="39">
        <f t="shared" si="798"/>
        <v>7228.1088360000003</v>
      </c>
      <c r="K437" s="39">
        <f t="shared" si="798"/>
        <v>11080.827225000001</v>
      </c>
      <c r="L437" s="39">
        <f t="shared" si="798"/>
        <v>5830.2198630000003</v>
      </c>
      <c r="M437" s="39">
        <f t="shared" si="798"/>
        <v>8864.6617800000004</v>
      </c>
      <c r="N437" s="39">
        <f t="shared" si="798"/>
        <v>45414.344196000005</v>
      </c>
      <c r="O437" s="39">
        <f t="shared" si="798"/>
        <v>6443.9272170000004</v>
      </c>
      <c r="P437" s="39">
        <f t="shared" si="798"/>
        <v>0</v>
      </c>
      <c r="Q437" s="39">
        <f t="shared" si="798"/>
        <v>13160.613258000001</v>
      </c>
      <c r="R437" s="39">
        <f t="shared" si="798"/>
        <v>6478.02207</v>
      </c>
      <c r="S437" s="39">
        <f t="shared" si="798"/>
        <v>1431.9838260000001</v>
      </c>
      <c r="T437" s="39">
        <f t="shared" si="798"/>
        <v>18411.22062</v>
      </c>
      <c r="U437" s="39">
        <f t="shared" si="798"/>
        <v>6068.8838340000002</v>
      </c>
      <c r="V437" s="39">
        <f t="shared" si="798"/>
        <v>12512.811051000002</v>
      </c>
      <c r="W437" s="39">
        <f t="shared" si="798"/>
        <v>16092.770616000002</v>
      </c>
      <c r="X437" s="39">
        <f t="shared" si="798"/>
        <v>21786.611067000002</v>
      </c>
      <c r="Y437" s="39">
        <f t="shared" si="798"/>
        <v>886.46617800000001</v>
      </c>
      <c r="Z437" s="39">
        <f t="shared" si="798"/>
        <v>0</v>
      </c>
      <c r="AA437" s="39">
        <f t="shared" si="798"/>
        <v>272.75882400000006</v>
      </c>
      <c r="AB437" s="39">
        <f t="shared" si="798"/>
        <v>0</v>
      </c>
      <c r="AC437" s="67"/>
      <c r="AD437" s="55"/>
    </row>
    <row r="438" spans="1:30" s="52" customFormat="1">
      <c r="A438" s="99" t="s">
        <v>596</v>
      </c>
      <c r="B438" s="181">
        <f>8182764.76/2</f>
        <v>4091382.38</v>
      </c>
      <c r="C438" s="211">
        <f t="shared" si="795"/>
        <v>340948.53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>
        <v>1</v>
      </c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40"/>
      <c r="AA438" s="40"/>
      <c r="AB438" s="40"/>
      <c r="AC438" s="67"/>
      <c r="AD438" s="55"/>
    </row>
    <row r="439" spans="1:30" s="52" customFormat="1">
      <c r="A439" s="100"/>
      <c r="B439" s="218"/>
      <c r="C439" s="211"/>
      <c r="D439" s="39">
        <f t="shared" ref="D439" si="799">$C438*D438</f>
        <v>0</v>
      </c>
      <c r="E439" s="39">
        <f t="shared" ref="E439" si="800">$C438*E438</f>
        <v>0</v>
      </c>
      <c r="F439" s="39">
        <f t="shared" ref="F439:AB439" si="801">$C438*F438</f>
        <v>0</v>
      </c>
      <c r="G439" s="39">
        <f t="shared" si="801"/>
        <v>0</v>
      </c>
      <c r="H439" s="39">
        <f t="shared" si="801"/>
        <v>0</v>
      </c>
      <c r="I439" s="39">
        <f t="shared" si="801"/>
        <v>0</v>
      </c>
      <c r="J439" s="39">
        <f t="shared" si="801"/>
        <v>0</v>
      </c>
      <c r="K439" s="39">
        <f t="shared" si="801"/>
        <v>0</v>
      </c>
      <c r="L439" s="39">
        <f t="shared" si="801"/>
        <v>0</v>
      </c>
      <c r="M439" s="39">
        <f t="shared" si="801"/>
        <v>0</v>
      </c>
      <c r="N439" s="39">
        <f t="shared" si="801"/>
        <v>340948.53</v>
      </c>
      <c r="O439" s="39">
        <f t="shared" si="801"/>
        <v>0</v>
      </c>
      <c r="P439" s="39">
        <f t="shared" si="801"/>
        <v>0</v>
      </c>
      <c r="Q439" s="39">
        <f t="shared" si="801"/>
        <v>0</v>
      </c>
      <c r="R439" s="39">
        <f t="shared" si="801"/>
        <v>0</v>
      </c>
      <c r="S439" s="39">
        <f t="shared" si="801"/>
        <v>0</v>
      </c>
      <c r="T439" s="39">
        <f t="shared" si="801"/>
        <v>0</v>
      </c>
      <c r="U439" s="39">
        <f t="shared" si="801"/>
        <v>0</v>
      </c>
      <c r="V439" s="39">
        <f t="shared" si="801"/>
        <v>0</v>
      </c>
      <c r="W439" s="39">
        <f t="shared" si="801"/>
        <v>0</v>
      </c>
      <c r="X439" s="39">
        <f t="shared" si="801"/>
        <v>0</v>
      </c>
      <c r="Y439" s="39">
        <f t="shared" si="801"/>
        <v>0</v>
      </c>
      <c r="Z439" s="39">
        <f t="shared" si="801"/>
        <v>0</v>
      </c>
      <c r="AA439" s="39">
        <f t="shared" si="801"/>
        <v>0</v>
      </c>
      <c r="AB439" s="39">
        <f t="shared" si="801"/>
        <v>0</v>
      </c>
      <c r="AC439" s="67"/>
      <c r="AD439" s="55"/>
    </row>
    <row r="440" spans="1:30" s="52" customFormat="1">
      <c r="A440" s="99" t="s">
        <v>595</v>
      </c>
      <c r="B440" s="181">
        <f>32431091.61/2</f>
        <v>16215545.805</v>
      </c>
      <c r="C440" s="211">
        <f>ROUND(B440/12,2)+ROUND(10972.77/2,2)</f>
        <v>1356781.8699999999</v>
      </c>
      <c r="D440" s="170">
        <v>1.6500000000000001E-2</v>
      </c>
      <c r="E440" s="170">
        <v>0.1368</v>
      </c>
      <c r="F440" s="170">
        <v>5.7599999999999998E-2</v>
      </c>
      <c r="G440" s="170">
        <v>8.0399999999999999E-2</v>
      </c>
      <c r="H440" s="170">
        <v>4.1099999999999998E-2</v>
      </c>
      <c r="I440" s="170">
        <v>0.13389999999999999</v>
      </c>
      <c r="J440" s="170">
        <v>2.12E-2</v>
      </c>
      <c r="K440" s="170">
        <v>3.2500000000000001E-2</v>
      </c>
      <c r="L440" s="170">
        <v>1.7100000000000001E-2</v>
      </c>
      <c r="M440" s="170">
        <v>2.5999999999999999E-2</v>
      </c>
      <c r="N440" s="170">
        <v>0.13320000000000001</v>
      </c>
      <c r="O440" s="170">
        <v>1.89E-2</v>
      </c>
      <c r="P440" s="170">
        <v>0</v>
      </c>
      <c r="Q440" s="170">
        <v>3.8600000000000002E-2</v>
      </c>
      <c r="R440" s="170">
        <v>1.9E-2</v>
      </c>
      <c r="S440" s="170">
        <v>4.1999999999999997E-3</v>
      </c>
      <c r="T440" s="170">
        <v>5.3999999999999999E-2</v>
      </c>
      <c r="U440" s="170">
        <v>1.78E-2</v>
      </c>
      <c r="V440" s="170">
        <v>3.6700000000000003E-2</v>
      </c>
      <c r="W440" s="170">
        <v>4.7199999999999999E-2</v>
      </c>
      <c r="X440" s="170">
        <v>6.3899999999999998E-2</v>
      </c>
      <c r="Y440" s="170">
        <v>2.5999999999999999E-3</v>
      </c>
      <c r="Z440" s="171">
        <v>0</v>
      </c>
      <c r="AA440" s="171">
        <v>8.0000000000000004E-4</v>
      </c>
      <c r="AB440" s="171">
        <v>0</v>
      </c>
      <c r="AC440" s="67"/>
      <c r="AD440" s="55"/>
    </row>
    <row r="441" spans="1:30" s="52" customFormat="1">
      <c r="A441" s="100"/>
      <c r="B441" s="218"/>
      <c r="C441" s="211"/>
      <c r="D441" s="39">
        <f t="shared" ref="D441" si="802">$C440*D440</f>
        <v>22386.900855</v>
      </c>
      <c r="E441" s="39">
        <f t="shared" ref="E441" si="803">$C440*E440</f>
        <v>185607.75981599998</v>
      </c>
      <c r="F441" s="39">
        <f t="shared" ref="F441:AB441" si="804">$C440*F440</f>
        <v>78150.635711999988</v>
      </c>
      <c r="G441" s="39">
        <f t="shared" si="804"/>
        <v>109085.26234799999</v>
      </c>
      <c r="H441" s="39">
        <f t="shared" si="804"/>
        <v>55763.734856999989</v>
      </c>
      <c r="I441" s="39">
        <f t="shared" si="804"/>
        <v>181673.09239299997</v>
      </c>
      <c r="J441" s="39">
        <f t="shared" si="804"/>
        <v>28763.775643999998</v>
      </c>
      <c r="K441" s="39">
        <f t="shared" si="804"/>
        <v>44095.410774999997</v>
      </c>
      <c r="L441" s="39">
        <f t="shared" si="804"/>
        <v>23200.969976999997</v>
      </c>
      <c r="M441" s="39">
        <f t="shared" si="804"/>
        <v>35276.328619999993</v>
      </c>
      <c r="N441" s="39">
        <f t="shared" si="804"/>
        <v>180723.345084</v>
      </c>
      <c r="O441" s="39">
        <f t="shared" si="804"/>
        <v>25643.177342999999</v>
      </c>
      <c r="P441" s="39">
        <f t="shared" si="804"/>
        <v>0</v>
      </c>
      <c r="Q441" s="39">
        <f t="shared" si="804"/>
        <v>52371.780181999995</v>
      </c>
      <c r="R441" s="39">
        <f t="shared" si="804"/>
        <v>25778.855529999997</v>
      </c>
      <c r="S441" s="39">
        <f t="shared" si="804"/>
        <v>5698.4838539999992</v>
      </c>
      <c r="T441" s="39">
        <f t="shared" si="804"/>
        <v>73266.220979999998</v>
      </c>
      <c r="U441" s="39">
        <f t="shared" si="804"/>
        <v>24150.717285999999</v>
      </c>
      <c r="V441" s="39">
        <f t="shared" si="804"/>
        <v>49793.894629000002</v>
      </c>
      <c r="W441" s="39">
        <f t="shared" si="804"/>
        <v>64040.104263999994</v>
      </c>
      <c r="X441" s="39">
        <f t="shared" si="804"/>
        <v>86698.361492999989</v>
      </c>
      <c r="Y441" s="39">
        <f t="shared" si="804"/>
        <v>3527.6328619999995</v>
      </c>
      <c r="Z441" s="39">
        <f t="shared" si="804"/>
        <v>0</v>
      </c>
      <c r="AA441" s="39">
        <f t="shared" si="804"/>
        <v>1085.4254960000001</v>
      </c>
      <c r="AB441" s="39">
        <f t="shared" si="804"/>
        <v>0</v>
      </c>
      <c r="AC441" s="67"/>
      <c r="AD441" s="55"/>
    </row>
    <row r="442" spans="1:30" s="52" customFormat="1">
      <c r="A442" s="99" t="s">
        <v>597</v>
      </c>
      <c r="B442" s="181">
        <f>32431091.61/2</f>
        <v>16215545.805</v>
      </c>
      <c r="C442" s="211">
        <f>ROUND(B442/12,2)+ROUND(10972.77/2,2)</f>
        <v>1356781.8699999999</v>
      </c>
      <c r="D442" s="38"/>
      <c r="E442" s="38"/>
      <c r="F442" s="170">
        <v>0.47870000000000001</v>
      </c>
      <c r="G442" s="170">
        <v>0</v>
      </c>
      <c r="H442" s="38"/>
      <c r="I442" s="38"/>
      <c r="J442" s="38"/>
      <c r="K442" s="38"/>
      <c r="L442" s="170">
        <v>1.0200000000000001E-2</v>
      </c>
      <c r="M442" s="38"/>
      <c r="N442" s="170">
        <v>9.1999999999999998E-2</v>
      </c>
      <c r="O442" s="170">
        <v>0.13569999999999999</v>
      </c>
      <c r="P442" s="38"/>
      <c r="Q442" s="38"/>
      <c r="R442" s="38"/>
      <c r="S442" s="38"/>
      <c r="T442" s="38"/>
      <c r="U442" s="38"/>
      <c r="V442" s="170">
        <v>0.28339999999999999</v>
      </c>
      <c r="W442" s="38"/>
      <c r="X442" s="38"/>
      <c r="Y442" s="38"/>
      <c r="Z442" s="40"/>
      <c r="AA442" s="40"/>
      <c r="AB442" s="40"/>
      <c r="AC442" s="67"/>
      <c r="AD442" s="55"/>
    </row>
    <row r="443" spans="1:30" s="52" customFormat="1">
      <c r="A443" s="100"/>
      <c r="B443" s="218"/>
      <c r="C443" s="211"/>
      <c r="D443" s="39">
        <f t="shared" ref="D443" si="805">$C442*D442</f>
        <v>0</v>
      </c>
      <c r="E443" s="39">
        <f t="shared" ref="E443" si="806">$C442*E442</f>
        <v>0</v>
      </c>
      <c r="F443" s="39">
        <f t="shared" ref="F443:AB443" si="807">$C442*F442</f>
        <v>649491.48116899992</v>
      </c>
      <c r="G443" s="39">
        <f t="shared" si="807"/>
        <v>0</v>
      </c>
      <c r="H443" s="39">
        <f t="shared" si="807"/>
        <v>0</v>
      </c>
      <c r="I443" s="39">
        <f t="shared" si="807"/>
        <v>0</v>
      </c>
      <c r="J443" s="39">
        <f t="shared" si="807"/>
        <v>0</v>
      </c>
      <c r="K443" s="39">
        <f t="shared" si="807"/>
        <v>0</v>
      </c>
      <c r="L443" s="39">
        <f t="shared" si="807"/>
        <v>13839.175073999999</v>
      </c>
      <c r="M443" s="39">
        <f t="shared" si="807"/>
        <v>0</v>
      </c>
      <c r="N443" s="39">
        <f t="shared" si="807"/>
        <v>124823.93203999999</v>
      </c>
      <c r="O443" s="39">
        <f t="shared" si="807"/>
        <v>184115.29975899996</v>
      </c>
      <c r="P443" s="39">
        <f t="shared" si="807"/>
        <v>0</v>
      </c>
      <c r="Q443" s="39">
        <f t="shared" si="807"/>
        <v>0</v>
      </c>
      <c r="R443" s="39">
        <f t="shared" si="807"/>
        <v>0</v>
      </c>
      <c r="S443" s="39">
        <f t="shared" si="807"/>
        <v>0</v>
      </c>
      <c r="T443" s="39">
        <f t="shared" si="807"/>
        <v>0</v>
      </c>
      <c r="U443" s="39">
        <f t="shared" si="807"/>
        <v>0</v>
      </c>
      <c r="V443" s="39">
        <f t="shared" si="807"/>
        <v>384511.98195799993</v>
      </c>
      <c r="W443" s="39">
        <f t="shared" si="807"/>
        <v>0</v>
      </c>
      <c r="X443" s="39">
        <f t="shared" si="807"/>
        <v>0</v>
      </c>
      <c r="Y443" s="39">
        <f t="shared" si="807"/>
        <v>0</v>
      </c>
      <c r="Z443" s="39">
        <f t="shared" si="807"/>
        <v>0</v>
      </c>
      <c r="AA443" s="39">
        <f t="shared" si="807"/>
        <v>0</v>
      </c>
      <c r="AB443" s="39">
        <f t="shared" si="807"/>
        <v>0</v>
      </c>
      <c r="AC443" s="67"/>
      <c r="AD443" s="55"/>
    </row>
    <row r="444" spans="1:30" s="52" customFormat="1">
      <c r="A444" s="99" t="s">
        <v>593</v>
      </c>
      <c r="B444" s="181">
        <v>3119185.24</v>
      </c>
      <c r="C444" s="211">
        <f t="shared" si="795"/>
        <v>259932.1</v>
      </c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>
        <v>1</v>
      </c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40"/>
      <c r="AA444" s="40"/>
      <c r="AB444" s="40"/>
      <c r="AC444" s="67"/>
      <c r="AD444" s="55"/>
    </row>
    <row r="445" spans="1:30" s="52" customFormat="1">
      <c r="A445" s="100"/>
      <c r="B445" s="218"/>
      <c r="C445" s="211"/>
      <c r="D445" s="39">
        <f t="shared" ref="D445" si="808">$C444*D444</f>
        <v>0</v>
      </c>
      <c r="E445" s="39">
        <f t="shared" ref="E445" si="809">$C444*E444</f>
        <v>0</v>
      </c>
      <c r="F445" s="39">
        <f t="shared" ref="F445:AB445" si="810">$C444*F444</f>
        <v>0</v>
      </c>
      <c r="G445" s="39">
        <f t="shared" si="810"/>
        <v>0</v>
      </c>
      <c r="H445" s="39">
        <f t="shared" si="810"/>
        <v>0</v>
      </c>
      <c r="I445" s="39">
        <f t="shared" si="810"/>
        <v>0</v>
      </c>
      <c r="J445" s="39">
        <f t="shared" si="810"/>
        <v>0</v>
      </c>
      <c r="K445" s="39">
        <f t="shared" si="810"/>
        <v>0</v>
      </c>
      <c r="L445" s="39">
        <f t="shared" si="810"/>
        <v>0</v>
      </c>
      <c r="M445" s="39">
        <f t="shared" si="810"/>
        <v>0</v>
      </c>
      <c r="N445" s="39">
        <f t="shared" si="810"/>
        <v>259932.1</v>
      </c>
      <c r="O445" s="39">
        <f t="shared" si="810"/>
        <v>0</v>
      </c>
      <c r="P445" s="39">
        <f t="shared" si="810"/>
        <v>0</v>
      </c>
      <c r="Q445" s="39">
        <f t="shared" si="810"/>
        <v>0</v>
      </c>
      <c r="R445" s="39">
        <f t="shared" si="810"/>
        <v>0</v>
      </c>
      <c r="S445" s="39">
        <f t="shared" si="810"/>
        <v>0</v>
      </c>
      <c r="T445" s="39">
        <f t="shared" si="810"/>
        <v>0</v>
      </c>
      <c r="U445" s="39">
        <f t="shared" si="810"/>
        <v>0</v>
      </c>
      <c r="V445" s="39">
        <f t="shared" si="810"/>
        <v>0</v>
      </c>
      <c r="W445" s="39">
        <f t="shared" si="810"/>
        <v>0</v>
      </c>
      <c r="X445" s="39">
        <f t="shared" si="810"/>
        <v>0</v>
      </c>
      <c r="Y445" s="39">
        <f t="shared" si="810"/>
        <v>0</v>
      </c>
      <c r="Z445" s="39">
        <f t="shared" si="810"/>
        <v>0</v>
      </c>
      <c r="AA445" s="39">
        <f t="shared" si="810"/>
        <v>0</v>
      </c>
      <c r="AB445" s="39">
        <f t="shared" si="810"/>
        <v>0</v>
      </c>
      <c r="AC445" s="67"/>
      <c r="AD445" s="55"/>
    </row>
    <row r="446" spans="1:30" s="52" customFormat="1">
      <c r="A446" s="99" t="s">
        <v>615</v>
      </c>
      <c r="B446" s="181">
        <f>4432861.09/2</f>
        <v>2216430.5449999999</v>
      </c>
      <c r="C446" s="211">
        <f t="shared" si="795"/>
        <v>184702.55</v>
      </c>
      <c r="D446" s="170">
        <v>1.6500000000000001E-2</v>
      </c>
      <c r="E446" s="170">
        <v>0.1368</v>
      </c>
      <c r="F446" s="170">
        <v>5.7599999999999998E-2</v>
      </c>
      <c r="G446" s="170">
        <v>8.0399999999999999E-2</v>
      </c>
      <c r="H446" s="170">
        <v>4.1099999999999998E-2</v>
      </c>
      <c r="I446" s="170">
        <v>0.13389999999999999</v>
      </c>
      <c r="J446" s="170">
        <v>2.12E-2</v>
      </c>
      <c r="K446" s="170">
        <v>3.2500000000000001E-2</v>
      </c>
      <c r="L446" s="170">
        <v>1.7100000000000001E-2</v>
      </c>
      <c r="M446" s="170">
        <v>2.5999999999999999E-2</v>
      </c>
      <c r="N446" s="170">
        <v>0.13320000000000001</v>
      </c>
      <c r="O446" s="170">
        <v>1.89E-2</v>
      </c>
      <c r="P446" s="170">
        <v>0</v>
      </c>
      <c r="Q446" s="170">
        <v>3.8600000000000002E-2</v>
      </c>
      <c r="R446" s="170">
        <v>1.9E-2</v>
      </c>
      <c r="S446" s="170">
        <v>4.1999999999999997E-3</v>
      </c>
      <c r="T446" s="170">
        <v>5.3999999999999999E-2</v>
      </c>
      <c r="U446" s="170">
        <v>1.78E-2</v>
      </c>
      <c r="V446" s="170">
        <v>3.6700000000000003E-2</v>
      </c>
      <c r="W446" s="170">
        <v>4.7199999999999999E-2</v>
      </c>
      <c r="X446" s="170">
        <v>6.3899999999999998E-2</v>
      </c>
      <c r="Y446" s="170">
        <v>2.5999999999999999E-3</v>
      </c>
      <c r="Z446" s="171">
        <v>0</v>
      </c>
      <c r="AA446" s="171">
        <v>8.0000000000000004E-4</v>
      </c>
      <c r="AB446" s="171">
        <v>0</v>
      </c>
      <c r="AC446" s="67"/>
      <c r="AD446" s="55"/>
    </row>
    <row r="447" spans="1:30" s="52" customFormat="1">
      <c r="A447" s="100"/>
      <c r="B447" s="218"/>
      <c r="C447" s="211"/>
      <c r="D447" s="39">
        <f t="shared" ref="D447:S447" si="811">$C446*D446</f>
        <v>3047.592075</v>
      </c>
      <c r="E447" s="39">
        <f t="shared" si="811"/>
        <v>25267.308839999998</v>
      </c>
      <c r="F447" s="39">
        <f t="shared" si="811"/>
        <v>10638.86688</v>
      </c>
      <c r="G447" s="39">
        <f t="shared" si="811"/>
        <v>14850.085019999999</v>
      </c>
      <c r="H447" s="39">
        <f t="shared" si="811"/>
        <v>7591.2748049999991</v>
      </c>
      <c r="I447" s="39">
        <f t="shared" si="811"/>
        <v>24731.671444999996</v>
      </c>
      <c r="J447" s="39">
        <f t="shared" si="811"/>
        <v>3915.6940599999998</v>
      </c>
      <c r="K447" s="39">
        <f t="shared" si="811"/>
        <v>6002.8328750000001</v>
      </c>
      <c r="L447" s="39">
        <f t="shared" si="811"/>
        <v>3158.4136049999997</v>
      </c>
      <c r="M447" s="39">
        <f t="shared" si="811"/>
        <v>4802.2662999999993</v>
      </c>
      <c r="N447" s="39">
        <f t="shared" si="811"/>
        <v>24602.379660000002</v>
      </c>
      <c r="O447" s="39">
        <f t="shared" si="811"/>
        <v>3490.8781949999998</v>
      </c>
      <c r="P447" s="39">
        <f t="shared" si="811"/>
        <v>0</v>
      </c>
      <c r="Q447" s="39">
        <f t="shared" si="811"/>
        <v>7129.5184300000001</v>
      </c>
      <c r="R447" s="39">
        <f t="shared" si="811"/>
        <v>3509.3484499999995</v>
      </c>
      <c r="S447" s="39">
        <f t="shared" si="811"/>
        <v>775.75070999999991</v>
      </c>
      <c r="T447" s="39">
        <f t="shared" ref="T447" si="812">$C446*T446</f>
        <v>9973.9376999999986</v>
      </c>
      <c r="U447" s="39">
        <f t="shared" ref="U447:AB447" si="813">$C446*U446</f>
        <v>3287.7053899999996</v>
      </c>
      <c r="V447" s="39">
        <f t="shared" si="813"/>
        <v>6778.5835850000003</v>
      </c>
      <c r="W447" s="39">
        <f t="shared" si="813"/>
        <v>8717.9603599999991</v>
      </c>
      <c r="X447" s="39">
        <f t="shared" si="813"/>
        <v>11802.492944999998</v>
      </c>
      <c r="Y447" s="39">
        <f t="shared" si="813"/>
        <v>480.22662999999994</v>
      </c>
      <c r="Z447" s="39">
        <f t="shared" si="813"/>
        <v>0</v>
      </c>
      <c r="AA447" s="39">
        <f t="shared" si="813"/>
        <v>147.76203999999998</v>
      </c>
      <c r="AB447" s="39">
        <f t="shared" si="813"/>
        <v>0</v>
      </c>
      <c r="AC447" s="67"/>
      <c r="AD447" s="55"/>
    </row>
    <row r="448" spans="1:30" s="52" customFormat="1">
      <c r="A448" s="99" t="s">
        <v>616</v>
      </c>
      <c r="B448" s="181">
        <f>4432861.09/2</f>
        <v>2216430.5449999999</v>
      </c>
      <c r="C448" s="211">
        <f t="shared" si="795"/>
        <v>184702.55</v>
      </c>
      <c r="D448" s="38"/>
      <c r="E448" s="38"/>
      <c r="F448" s="38"/>
      <c r="G448" s="38"/>
      <c r="H448" s="170">
        <v>6.8900000000000003E-2</v>
      </c>
      <c r="I448" s="38"/>
      <c r="J448" s="38"/>
      <c r="K448" s="38"/>
      <c r="L448" s="38"/>
      <c r="M448" s="38"/>
      <c r="N448" s="170">
        <v>0.85009999999999997</v>
      </c>
      <c r="O448" s="38"/>
      <c r="P448" s="38"/>
      <c r="Q448" s="38"/>
      <c r="R448" s="38"/>
      <c r="S448" s="38"/>
      <c r="T448" s="38"/>
      <c r="U448" s="38"/>
      <c r="V448" s="170">
        <v>8.1000000000000003E-2</v>
      </c>
      <c r="W448" s="38"/>
      <c r="X448" s="38"/>
      <c r="Y448" s="38"/>
      <c r="Z448" s="40"/>
      <c r="AA448" s="40"/>
      <c r="AB448" s="40"/>
      <c r="AC448" s="67"/>
      <c r="AD448" s="55"/>
    </row>
    <row r="449" spans="1:30" s="52" customFormat="1">
      <c r="A449" s="100"/>
      <c r="B449" s="218"/>
      <c r="C449" s="211"/>
      <c r="D449" s="39">
        <f t="shared" ref="D449" si="814">$C448*D448</f>
        <v>0</v>
      </c>
      <c r="E449" s="39">
        <f t="shared" ref="E449:AB449" si="815">$C448*E448</f>
        <v>0</v>
      </c>
      <c r="F449" s="39">
        <f t="shared" si="815"/>
        <v>0</v>
      </c>
      <c r="G449" s="39">
        <f t="shared" si="815"/>
        <v>0</v>
      </c>
      <c r="H449" s="39">
        <f t="shared" si="815"/>
        <v>12726.005695</v>
      </c>
      <c r="I449" s="39">
        <f t="shared" si="815"/>
        <v>0</v>
      </c>
      <c r="J449" s="39">
        <f t="shared" si="815"/>
        <v>0</v>
      </c>
      <c r="K449" s="39">
        <f t="shared" si="815"/>
        <v>0</v>
      </c>
      <c r="L449" s="39">
        <f t="shared" si="815"/>
        <v>0</v>
      </c>
      <c r="M449" s="39">
        <f t="shared" si="815"/>
        <v>0</v>
      </c>
      <c r="N449" s="39">
        <f t="shared" si="815"/>
        <v>157015.63775499997</v>
      </c>
      <c r="O449" s="39">
        <f t="shared" si="815"/>
        <v>0</v>
      </c>
      <c r="P449" s="39">
        <f t="shared" si="815"/>
        <v>0</v>
      </c>
      <c r="Q449" s="39">
        <f t="shared" si="815"/>
        <v>0</v>
      </c>
      <c r="R449" s="39">
        <f t="shared" si="815"/>
        <v>0</v>
      </c>
      <c r="S449" s="39">
        <f t="shared" si="815"/>
        <v>0</v>
      </c>
      <c r="T449" s="39">
        <f t="shared" si="815"/>
        <v>0</v>
      </c>
      <c r="U449" s="39">
        <f t="shared" si="815"/>
        <v>0</v>
      </c>
      <c r="V449" s="39">
        <f t="shared" si="815"/>
        <v>14960.90655</v>
      </c>
      <c r="W449" s="39">
        <f t="shared" si="815"/>
        <v>0</v>
      </c>
      <c r="X449" s="39">
        <f t="shared" si="815"/>
        <v>0</v>
      </c>
      <c r="Y449" s="39">
        <f t="shared" si="815"/>
        <v>0</v>
      </c>
      <c r="Z449" s="39">
        <f t="shared" si="815"/>
        <v>0</v>
      </c>
      <c r="AA449" s="39">
        <f t="shared" si="815"/>
        <v>0</v>
      </c>
      <c r="AB449" s="39">
        <f t="shared" si="815"/>
        <v>0</v>
      </c>
      <c r="AC449" s="67"/>
      <c r="AD449" s="55"/>
    </row>
    <row r="450" spans="1:30" s="52" customFormat="1">
      <c r="A450" s="212" t="s">
        <v>633</v>
      </c>
      <c r="B450" s="184">
        <f>201151.47/2</f>
        <v>100575.735</v>
      </c>
      <c r="C450" s="214">
        <f t="shared" si="795"/>
        <v>8381.31</v>
      </c>
      <c r="D450" s="185">
        <v>1.6500000000000001E-2</v>
      </c>
      <c r="E450" s="185">
        <v>0.1368</v>
      </c>
      <c r="F450" s="185">
        <v>5.7599999999999998E-2</v>
      </c>
      <c r="G450" s="185">
        <v>8.0399999999999999E-2</v>
      </c>
      <c r="H450" s="185">
        <v>4.1099999999999998E-2</v>
      </c>
      <c r="I450" s="185">
        <v>0.13389999999999999</v>
      </c>
      <c r="J450" s="185">
        <v>2.12E-2</v>
      </c>
      <c r="K450" s="185">
        <v>3.2500000000000001E-2</v>
      </c>
      <c r="L450" s="185">
        <v>1.7100000000000001E-2</v>
      </c>
      <c r="M450" s="185">
        <v>2.5999999999999999E-2</v>
      </c>
      <c r="N450" s="185">
        <v>0.13320000000000001</v>
      </c>
      <c r="O450" s="185">
        <v>1.89E-2</v>
      </c>
      <c r="P450" s="185">
        <v>0</v>
      </c>
      <c r="Q450" s="185">
        <v>3.8600000000000002E-2</v>
      </c>
      <c r="R450" s="185">
        <v>1.9E-2</v>
      </c>
      <c r="S450" s="185">
        <v>4.1999999999999997E-3</v>
      </c>
      <c r="T450" s="185">
        <v>5.3999999999999999E-2</v>
      </c>
      <c r="U450" s="185">
        <v>1.78E-2</v>
      </c>
      <c r="V450" s="185">
        <v>3.6700000000000003E-2</v>
      </c>
      <c r="W450" s="185">
        <v>4.7199999999999999E-2</v>
      </c>
      <c r="X450" s="185">
        <v>6.3899999999999998E-2</v>
      </c>
      <c r="Y450" s="185">
        <v>2.5999999999999999E-3</v>
      </c>
      <c r="Z450" s="186">
        <v>0</v>
      </c>
      <c r="AA450" s="186">
        <v>8.0000000000000004E-4</v>
      </c>
      <c r="AB450" s="186">
        <v>0</v>
      </c>
      <c r="AC450" s="67"/>
      <c r="AD450" s="55"/>
    </row>
    <row r="451" spans="1:30" s="52" customFormat="1">
      <c r="A451" s="213"/>
      <c r="B451" s="219"/>
      <c r="C451" s="214"/>
      <c r="D451" s="201">
        <f t="shared" ref="D451:AB451" si="816">$C450*D450</f>
        <v>138.29161500000001</v>
      </c>
      <c r="E451" s="201">
        <f t="shared" si="816"/>
        <v>1146.563208</v>
      </c>
      <c r="F451" s="201">
        <f t="shared" si="816"/>
        <v>482.76345599999996</v>
      </c>
      <c r="G451" s="201">
        <f t="shared" si="816"/>
        <v>673.85732399999995</v>
      </c>
      <c r="H451" s="201">
        <f t="shared" si="816"/>
        <v>344.47184099999998</v>
      </c>
      <c r="I451" s="201">
        <f t="shared" si="816"/>
        <v>1122.2574089999998</v>
      </c>
      <c r="J451" s="201">
        <f t="shared" si="816"/>
        <v>177.68377199999998</v>
      </c>
      <c r="K451" s="201">
        <f t="shared" si="816"/>
        <v>272.39257499999997</v>
      </c>
      <c r="L451" s="201">
        <f t="shared" si="816"/>
        <v>143.320401</v>
      </c>
      <c r="M451" s="201">
        <f t="shared" si="816"/>
        <v>217.91405999999998</v>
      </c>
      <c r="N451" s="201">
        <f t="shared" si="816"/>
        <v>1116.390492</v>
      </c>
      <c r="O451" s="201">
        <f t="shared" si="816"/>
        <v>158.40675899999999</v>
      </c>
      <c r="P451" s="201">
        <f t="shared" si="816"/>
        <v>0</v>
      </c>
      <c r="Q451" s="201">
        <f t="shared" si="816"/>
        <v>323.51856600000002</v>
      </c>
      <c r="R451" s="201">
        <f t="shared" si="816"/>
        <v>159.24489</v>
      </c>
      <c r="S451" s="201">
        <f t="shared" si="816"/>
        <v>35.201501999999998</v>
      </c>
      <c r="T451" s="201">
        <f t="shared" si="816"/>
        <v>452.59073999999998</v>
      </c>
      <c r="U451" s="201">
        <f t="shared" si="816"/>
        <v>149.18731799999998</v>
      </c>
      <c r="V451" s="201">
        <f t="shared" si="816"/>
        <v>307.59407700000003</v>
      </c>
      <c r="W451" s="201">
        <f t="shared" si="816"/>
        <v>395.59783199999998</v>
      </c>
      <c r="X451" s="201">
        <f t="shared" si="816"/>
        <v>535.56570899999997</v>
      </c>
      <c r="Y451" s="201">
        <f t="shared" si="816"/>
        <v>21.791405999999998</v>
      </c>
      <c r="Z451" s="201">
        <f t="shared" si="816"/>
        <v>0</v>
      </c>
      <c r="AA451" s="201">
        <f t="shared" si="816"/>
        <v>6.7050479999999997</v>
      </c>
      <c r="AB451" s="201">
        <f t="shared" si="816"/>
        <v>0</v>
      </c>
      <c r="AC451" s="67"/>
      <c r="AD451" s="55"/>
    </row>
    <row r="452" spans="1:30" s="52" customFormat="1">
      <c r="A452" s="212" t="s">
        <v>636</v>
      </c>
      <c r="B452" s="184">
        <f>201151.47/2</f>
        <v>100575.735</v>
      </c>
      <c r="C452" s="214">
        <f t="shared" si="795"/>
        <v>8381.31</v>
      </c>
      <c r="D452" s="185"/>
      <c r="E452" s="185"/>
      <c r="F452" s="185">
        <v>0.1636</v>
      </c>
      <c r="G452" s="185"/>
      <c r="H452" s="185"/>
      <c r="I452" s="185"/>
      <c r="J452" s="185"/>
      <c r="K452" s="185">
        <v>0.11609999999999999</v>
      </c>
      <c r="L452" s="185"/>
      <c r="M452" s="185"/>
      <c r="N452" s="185">
        <v>0.51270000000000004</v>
      </c>
      <c r="O452" s="185">
        <v>5.2999999999999999E-2</v>
      </c>
      <c r="P452" s="185"/>
      <c r="Q452" s="185"/>
      <c r="R452" s="185"/>
      <c r="S452" s="185"/>
      <c r="T452" s="185"/>
      <c r="U452" s="185"/>
      <c r="V452" s="185">
        <v>0.15459999999999999</v>
      </c>
      <c r="W452" s="185"/>
      <c r="X452" s="185"/>
      <c r="Y452" s="185"/>
      <c r="Z452" s="186"/>
      <c r="AA452" s="186"/>
      <c r="AB452" s="186"/>
      <c r="AC452" s="67"/>
      <c r="AD452" s="55"/>
    </row>
    <row r="453" spans="1:30" s="52" customFormat="1">
      <c r="A453" s="213"/>
      <c r="B453" s="219"/>
      <c r="C453" s="214"/>
      <c r="D453" s="201">
        <f t="shared" ref="D453:AB453" si="817">$C452*D452</f>
        <v>0</v>
      </c>
      <c r="E453" s="201">
        <f t="shared" si="817"/>
        <v>0</v>
      </c>
      <c r="F453" s="201">
        <f t="shared" si="817"/>
        <v>1371.1823159999999</v>
      </c>
      <c r="G453" s="201">
        <f t="shared" si="817"/>
        <v>0</v>
      </c>
      <c r="H453" s="201">
        <f t="shared" si="817"/>
        <v>0</v>
      </c>
      <c r="I453" s="201">
        <f t="shared" si="817"/>
        <v>0</v>
      </c>
      <c r="J453" s="201">
        <f t="shared" si="817"/>
        <v>0</v>
      </c>
      <c r="K453" s="201">
        <f t="shared" si="817"/>
        <v>973.07009099999993</v>
      </c>
      <c r="L453" s="201">
        <f t="shared" si="817"/>
        <v>0</v>
      </c>
      <c r="M453" s="201">
        <f t="shared" si="817"/>
        <v>0</v>
      </c>
      <c r="N453" s="201">
        <f t="shared" si="817"/>
        <v>4297.0976369999998</v>
      </c>
      <c r="O453" s="201">
        <f t="shared" si="817"/>
        <v>444.20942999999994</v>
      </c>
      <c r="P453" s="201">
        <f t="shared" si="817"/>
        <v>0</v>
      </c>
      <c r="Q453" s="201">
        <f t="shared" si="817"/>
        <v>0</v>
      </c>
      <c r="R453" s="201">
        <f t="shared" si="817"/>
        <v>0</v>
      </c>
      <c r="S453" s="201">
        <f t="shared" si="817"/>
        <v>0</v>
      </c>
      <c r="T453" s="201">
        <f t="shared" si="817"/>
        <v>0</v>
      </c>
      <c r="U453" s="201">
        <f t="shared" si="817"/>
        <v>0</v>
      </c>
      <c r="V453" s="201">
        <f t="shared" si="817"/>
        <v>1295.7505259999998</v>
      </c>
      <c r="W453" s="201">
        <f t="shared" si="817"/>
        <v>0</v>
      </c>
      <c r="X453" s="201">
        <f t="shared" si="817"/>
        <v>0</v>
      </c>
      <c r="Y453" s="201">
        <f t="shared" si="817"/>
        <v>0</v>
      </c>
      <c r="Z453" s="201">
        <f t="shared" si="817"/>
        <v>0</v>
      </c>
      <c r="AA453" s="201">
        <f t="shared" si="817"/>
        <v>0</v>
      </c>
      <c r="AB453" s="201">
        <f t="shared" si="817"/>
        <v>0</v>
      </c>
      <c r="AC453" s="67"/>
      <c r="AD453" s="55"/>
    </row>
    <row r="454" spans="1:30" s="52" customFormat="1">
      <c r="A454" s="212" t="s">
        <v>632</v>
      </c>
      <c r="B454" s="184">
        <f>1526941.68/2</f>
        <v>763470.84</v>
      </c>
      <c r="C454" s="214">
        <f t="shared" si="795"/>
        <v>63622.57</v>
      </c>
      <c r="D454" s="185">
        <v>1.6500000000000001E-2</v>
      </c>
      <c r="E454" s="185">
        <v>0.1368</v>
      </c>
      <c r="F454" s="185">
        <v>5.7599999999999998E-2</v>
      </c>
      <c r="G454" s="185">
        <v>8.0399999999999999E-2</v>
      </c>
      <c r="H454" s="185">
        <v>4.1099999999999998E-2</v>
      </c>
      <c r="I454" s="185">
        <v>0.13389999999999999</v>
      </c>
      <c r="J454" s="185">
        <v>2.12E-2</v>
      </c>
      <c r="K454" s="185">
        <v>3.2500000000000001E-2</v>
      </c>
      <c r="L454" s="185">
        <v>1.7100000000000001E-2</v>
      </c>
      <c r="M454" s="185">
        <v>2.5999999999999999E-2</v>
      </c>
      <c r="N454" s="185">
        <v>0.13320000000000001</v>
      </c>
      <c r="O454" s="185">
        <v>1.89E-2</v>
      </c>
      <c r="P454" s="185">
        <v>0</v>
      </c>
      <c r="Q454" s="185">
        <v>3.8600000000000002E-2</v>
      </c>
      <c r="R454" s="185">
        <v>1.9E-2</v>
      </c>
      <c r="S454" s="185">
        <v>4.1999999999999997E-3</v>
      </c>
      <c r="T454" s="185">
        <v>5.3999999999999999E-2</v>
      </c>
      <c r="U454" s="185">
        <v>1.78E-2</v>
      </c>
      <c r="V454" s="185">
        <v>3.6700000000000003E-2</v>
      </c>
      <c r="W454" s="185">
        <v>4.7199999999999999E-2</v>
      </c>
      <c r="X454" s="185">
        <v>6.3899999999999998E-2</v>
      </c>
      <c r="Y454" s="185">
        <v>2.5999999999999999E-3</v>
      </c>
      <c r="Z454" s="186">
        <v>0</v>
      </c>
      <c r="AA454" s="186">
        <v>8.0000000000000004E-4</v>
      </c>
      <c r="AB454" s="186">
        <v>0</v>
      </c>
      <c r="AC454" s="67"/>
      <c r="AD454" s="55"/>
    </row>
    <row r="455" spans="1:30" s="52" customFormat="1">
      <c r="A455" s="213"/>
      <c r="B455" s="219"/>
      <c r="C455" s="214"/>
      <c r="D455" s="201">
        <f t="shared" ref="D455:AB455" si="818">$C454*D454</f>
        <v>1049.7724049999999</v>
      </c>
      <c r="E455" s="201">
        <f t="shared" si="818"/>
        <v>8703.5675759999995</v>
      </c>
      <c r="F455" s="201">
        <f t="shared" si="818"/>
        <v>3664.6600319999998</v>
      </c>
      <c r="G455" s="201">
        <f t="shared" si="818"/>
        <v>5115.2546279999997</v>
      </c>
      <c r="H455" s="201">
        <f t="shared" si="818"/>
        <v>2614.8876269999996</v>
      </c>
      <c r="I455" s="201">
        <f t="shared" si="818"/>
        <v>8519.0621229999997</v>
      </c>
      <c r="J455" s="201">
        <f t="shared" si="818"/>
        <v>1348.7984839999999</v>
      </c>
      <c r="K455" s="201">
        <f t="shared" si="818"/>
        <v>2067.7335250000001</v>
      </c>
      <c r="L455" s="201">
        <f t="shared" si="818"/>
        <v>1087.9459469999999</v>
      </c>
      <c r="M455" s="201">
        <f t="shared" si="818"/>
        <v>1654.1868199999999</v>
      </c>
      <c r="N455" s="201">
        <f t="shared" si="818"/>
        <v>8474.5263240000004</v>
      </c>
      <c r="O455" s="201">
        <f t="shared" si="818"/>
        <v>1202.4665729999999</v>
      </c>
      <c r="P455" s="201">
        <f t="shared" si="818"/>
        <v>0</v>
      </c>
      <c r="Q455" s="201">
        <f t="shared" si="818"/>
        <v>2455.8312020000003</v>
      </c>
      <c r="R455" s="201">
        <f t="shared" si="818"/>
        <v>1208.8288299999999</v>
      </c>
      <c r="S455" s="201">
        <f t="shared" si="818"/>
        <v>267.21479399999998</v>
      </c>
      <c r="T455" s="201">
        <f t="shared" si="818"/>
        <v>3435.6187799999998</v>
      </c>
      <c r="U455" s="201">
        <f t="shared" si="818"/>
        <v>1132.4817459999999</v>
      </c>
      <c r="V455" s="201">
        <f t="shared" si="818"/>
        <v>2334.9483190000001</v>
      </c>
      <c r="W455" s="201">
        <f t="shared" si="818"/>
        <v>3002.9853039999998</v>
      </c>
      <c r="X455" s="201">
        <f t="shared" si="818"/>
        <v>4065.482223</v>
      </c>
      <c r="Y455" s="201">
        <f t="shared" si="818"/>
        <v>165.41868199999999</v>
      </c>
      <c r="Z455" s="201">
        <f t="shared" si="818"/>
        <v>0</v>
      </c>
      <c r="AA455" s="201">
        <f t="shared" si="818"/>
        <v>50.898056000000004</v>
      </c>
      <c r="AB455" s="201">
        <f t="shared" si="818"/>
        <v>0</v>
      </c>
      <c r="AC455" s="67"/>
      <c r="AD455" s="55"/>
    </row>
    <row r="456" spans="1:30" s="52" customFormat="1">
      <c r="A456" s="212" t="s">
        <v>635</v>
      </c>
      <c r="B456" s="184">
        <f>1526941.68/2</f>
        <v>763470.84</v>
      </c>
      <c r="C456" s="214">
        <f t="shared" si="795"/>
        <v>63622.57</v>
      </c>
      <c r="D456" s="190"/>
      <c r="E456" s="190"/>
      <c r="F456" s="190"/>
      <c r="G456" s="190"/>
      <c r="H456" s="185"/>
      <c r="I456" s="190"/>
      <c r="J456" s="190"/>
      <c r="K456" s="190"/>
      <c r="L456" s="190"/>
      <c r="M456" s="190"/>
      <c r="N456" s="185">
        <v>0.92279999999999995</v>
      </c>
      <c r="O456" s="190"/>
      <c r="P456" s="190"/>
      <c r="Q456" s="190"/>
      <c r="R456" s="190"/>
      <c r="S456" s="190"/>
      <c r="T456" s="190"/>
      <c r="U456" s="190"/>
      <c r="V456" s="185">
        <v>7.7200000000000005E-2</v>
      </c>
      <c r="W456" s="190"/>
      <c r="X456" s="190"/>
      <c r="Y456" s="190"/>
      <c r="Z456" s="198"/>
      <c r="AA456" s="198"/>
      <c r="AB456" s="198"/>
      <c r="AC456" s="67"/>
      <c r="AD456" s="55"/>
    </row>
    <row r="457" spans="1:30" s="52" customFormat="1">
      <c r="A457" s="213"/>
      <c r="B457" s="219"/>
      <c r="C457" s="214"/>
      <c r="D457" s="201">
        <f t="shared" ref="D457:AB457" si="819">$C456*D456</f>
        <v>0</v>
      </c>
      <c r="E457" s="201">
        <f t="shared" si="819"/>
        <v>0</v>
      </c>
      <c r="F457" s="201">
        <f t="shared" si="819"/>
        <v>0</v>
      </c>
      <c r="G457" s="201">
        <f t="shared" si="819"/>
        <v>0</v>
      </c>
      <c r="H457" s="201">
        <f t="shared" si="819"/>
        <v>0</v>
      </c>
      <c r="I457" s="201">
        <f t="shared" si="819"/>
        <v>0</v>
      </c>
      <c r="J457" s="201">
        <f t="shared" si="819"/>
        <v>0</v>
      </c>
      <c r="K457" s="201">
        <f t="shared" si="819"/>
        <v>0</v>
      </c>
      <c r="L457" s="201">
        <f t="shared" si="819"/>
        <v>0</v>
      </c>
      <c r="M457" s="201">
        <f t="shared" si="819"/>
        <v>0</v>
      </c>
      <c r="N457" s="201">
        <f t="shared" si="819"/>
        <v>58710.907595999997</v>
      </c>
      <c r="O457" s="201">
        <f t="shared" si="819"/>
        <v>0</v>
      </c>
      <c r="P457" s="201">
        <f t="shared" si="819"/>
        <v>0</v>
      </c>
      <c r="Q457" s="201">
        <f t="shared" si="819"/>
        <v>0</v>
      </c>
      <c r="R457" s="201">
        <f t="shared" si="819"/>
        <v>0</v>
      </c>
      <c r="S457" s="201">
        <f t="shared" si="819"/>
        <v>0</v>
      </c>
      <c r="T457" s="201">
        <f t="shared" si="819"/>
        <v>0</v>
      </c>
      <c r="U457" s="201">
        <f t="shared" si="819"/>
        <v>0</v>
      </c>
      <c r="V457" s="201">
        <f t="shared" si="819"/>
        <v>4911.6624040000006</v>
      </c>
      <c r="W457" s="201">
        <f t="shared" si="819"/>
        <v>0</v>
      </c>
      <c r="X457" s="201">
        <f t="shared" si="819"/>
        <v>0</v>
      </c>
      <c r="Y457" s="201">
        <f t="shared" si="819"/>
        <v>0</v>
      </c>
      <c r="Z457" s="201">
        <f t="shared" si="819"/>
        <v>0</v>
      </c>
      <c r="AA457" s="201">
        <f t="shared" si="819"/>
        <v>0</v>
      </c>
      <c r="AB457" s="201">
        <f t="shared" si="819"/>
        <v>0</v>
      </c>
      <c r="AC457" s="67"/>
      <c r="AD457" s="55"/>
    </row>
    <row r="458" spans="1:30" s="52" customFormat="1">
      <c r="A458" s="212" t="s">
        <v>634</v>
      </c>
      <c r="B458" s="184">
        <v>230096.47</v>
      </c>
      <c r="C458" s="214">
        <f t="shared" si="795"/>
        <v>19174.71</v>
      </c>
      <c r="D458" s="185">
        <v>1.5900000000000001E-2</v>
      </c>
      <c r="E458" s="185"/>
      <c r="F458" s="185">
        <v>8.8499999999999995E-2</v>
      </c>
      <c r="G458" s="185">
        <v>5.5399999999999998E-2</v>
      </c>
      <c r="H458" s="185">
        <v>0.1079</v>
      </c>
      <c r="I458" s="185">
        <v>1.8599999999999998E-2</v>
      </c>
      <c r="J458" s="185">
        <v>2.0999999999999999E-3</v>
      </c>
      <c r="K458" s="185">
        <v>1.1599999999999999E-2</v>
      </c>
      <c r="L458" s="185">
        <v>1.1599999999999999E-2</v>
      </c>
      <c r="M458" s="185">
        <v>3.6799999999999999E-2</v>
      </c>
      <c r="N458" s="185">
        <v>0.18990000000000001</v>
      </c>
      <c r="O458" s="185"/>
      <c r="P458" s="185">
        <v>2.2000000000000001E-3</v>
      </c>
      <c r="Q458" s="185">
        <v>4.53E-2</v>
      </c>
      <c r="R458" s="185">
        <v>1.7299999999999999E-2</v>
      </c>
      <c r="S458" s="185">
        <v>6.7999999999999996E-3</v>
      </c>
      <c r="T458" s="185">
        <v>6.9500000000000006E-2</v>
      </c>
      <c r="U458" s="185">
        <v>4.7500000000000001E-2</v>
      </c>
      <c r="V458" s="185">
        <v>9.69E-2</v>
      </c>
      <c r="W458" s="185">
        <v>9.7799999999999998E-2</v>
      </c>
      <c r="X458" s="185">
        <v>7.2800000000000004E-2</v>
      </c>
      <c r="Y458" s="185">
        <v>2.8999999999999998E-3</v>
      </c>
      <c r="Z458" s="216">
        <v>2.7000000000000001E-3</v>
      </c>
      <c r="AA458" s="216"/>
      <c r="AB458" s="216"/>
      <c r="AC458" s="67"/>
      <c r="AD458" s="55"/>
    </row>
    <row r="459" spans="1:30" s="52" customFormat="1">
      <c r="A459" s="213"/>
      <c r="B459" s="219"/>
      <c r="C459" s="215"/>
      <c r="D459" s="201">
        <f t="shared" ref="D459:AB459" si="820">$C458*D458</f>
        <v>304.87788899999998</v>
      </c>
      <c r="E459" s="201">
        <f t="shared" si="820"/>
        <v>0</v>
      </c>
      <c r="F459" s="201">
        <f t="shared" si="820"/>
        <v>1696.9618349999998</v>
      </c>
      <c r="G459" s="201">
        <f t="shared" si="820"/>
        <v>1062.2789339999999</v>
      </c>
      <c r="H459" s="201">
        <f t="shared" si="820"/>
        <v>2068.9512089999998</v>
      </c>
      <c r="I459" s="201">
        <f t="shared" si="820"/>
        <v>356.64960599999995</v>
      </c>
      <c r="J459" s="201">
        <f t="shared" si="820"/>
        <v>40.266890999999994</v>
      </c>
      <c r="K459" s="201">
        <f t="shared" si="820"/>
        <v>222.42663599999997</v>
      </c>
      <c r="L459" s="201">
        <f t="shared" si="820"/>
        <v>222.42663599999997</v>
      </c>
      <c r="M459" s="201">
        <f t="shared" si="820"/>
        <v>705.62932799999999</v>
      </c>
      <c r="N459" s="201">
        <f t="shared" si="820"/>
        <v>3641.2774290000002</v>
      </c>
      <c r="O459" s="201">
        <f t="shared" si="820"/>
        <v>0</v>
      </c>
      <c r="P459" s="201">
        <f t="shared" si="820"/>
        <v>42.184362</v>
      </c>
      <c r="Q459" s="201">
        <f t="shared" si="820"/>
        <v>868.61436299999991</v>
      </c>
      <c r="R459" s="201">
        <f t="shared" si="820"/>
        <v>331.72248299999995</v>
      </c>
      <c r="S459" s="201">
        <f t="shared" si="820"/>
        <v>130.38802799999999</v>
      </c>
      <c r="T459" s="201">
        <f t="shared" si="820"/>
        <v>1332.642345</v>
      </c>
      <c r="U459" s="201">
        <f t="shared" si="820"/>
        <v>910.79872499999999</v>
      </c>
      <c r="V459" s="201">
        <f t="shared" si="820"/>
        <v>1858.029399</v>
      </c>
      <c r="W459" s="201">
        <f t="shared" si="820"/>
        <v>1875.2866379999998</v>
      </c>
      <c r="X459" s="201">
        <f t="shared" si="820"/>
        <v>1395.9188879999999</v>
      </c>
      <c r="Y459" s="201">
        <f t="shared" si="820"/>
        <v>55.606658999999993</v>
      </c>
      <c r="Z459" s="201">
        <f t="shared" si="820"/>
        <v>51.771717000000002</v>
      </c>
      <c r="AA459" s="201">
        <f t="shared" si="820"/>
        <v>0</v>
      </c>
      <c r="AB459" s="201">
        <f t="shared" si="820"/>
        <v>0</v>
      </c>
      <c r="AC459" s="67"/>
      <c r="AD459" s="55"/>
    </row>
    <row r="460" spans="1:30" s="52" customFormat="1">
      <c r="A460" s="16" t="s">
        <v>50</v>
      </c>
      <c r="B460" s="84">
        <f>SUM(B220:B458)</f>
        <v>319349803.2100001</v>
      </c>
      <c r="C460" s="84">
        <f>SUM(C220:C458)</f>
        <v>32039081.720000025</v>
      </c>
      <c r="D460" s="9">
        <f>D221+D223+D225+D227+D229+D231+D233+D235+D237+D239+D241+D243+D245+D247+D249+D251+D253+D255+D257+D259+D261+D263+D265+D267+D269+D271+D273+D275+D277+D279+D281+D283+D285+D287+D289+D291+D293+D295+D297+D299+D301+D303+D305+D307+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+D431+D433+D435+D437+D439+D441+D443+D445+D447+D449+D451+D453+D455+D457+D459</f>
        <v>201709.75498499995</v>
      </c>
      <c r="E460" s="9">
        <f t="shared" ref="E460:AB460" si="821">E221+E223+E225+E227+E229+E231+E233+E235+E237+E239+E241+E243+E245+E247+E249+E251+E253+E255+E257+E259+E261+E263+E265+E267+E269+E271+E273+E275+E277+E279+E281+E283+E285+E287+E289+E291+E293+E295+E297+E299+E301+E303+E305+E307+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+E431+E433+E435+E437+E439+E441+E443+E445+E447+E449+E451+E453+E455+E457+E459</f>
        <v>2094063.98068</v>
      </c>
      <c r="F460" s="9">
        <f t="shared" si="821"/>
        <v>2343785.2305460004</v>
      </c>
      <c r="G460" s="9">
        <f t="shared" si="821"/>
        <v>956056.877247</v>
      </c>
      <c r="H460" s="9">
        <f t="shared" si="821"/>
        <v>1333440.5544639998</v>
      </c>
      <c r="I460" s="9">
        <f t="shared" si="821"/>
        <v>1590393.5546209996</v>
      </c>
      <c r="J460" s="9">
        <f t="shared" si="821"/>
        <v>251882.49850099997</v>
      </c>
      <c r="K460" s="9">
        <f t="shared" si="821"/>
        <v>403670.408949</v>
      </c>
      <c r="L460" s="9">
        <f t="shared" si="821"/>
        <v>217120.83304500001</v>
      </c>
      <c r="M460" s="9">
        <f t="shared" si="821"/>
        <v>326826.01020499994</v>
      </c>
      <c r="N460" s="9">
        <f t="shared" si="821"/>
        <v>16855908.614281997</v>
      </c>
      <c r="O460" s="9">
        <f t="shared" si="821"/>
        <v>416527.54689499986</v>
      </c>
      <c r="P460" s="9">
        <f t="shared" si="821"/>
        <v>514.31315599999994</v>
      </c>
      <c r="Q460" s="9">
        <f t="shared" si="821"/>
        <v>463779.54376199993</v>
      </c>
      <c r="R460" s="9">
        <f t="shared" si="821"/>
        <v>235890.44404499998</v>
      </c>
      <c r="S460" s="9">
        <f t="shared" si="821"/>
        <v>50870.845089000009</v>
      </c>
      <c r="T460" s="9">
        <f t="shared" si="821"/>
        <v>662198.77076900005</v>
      </c>
      <c r="U460" s="9">
        <f t="shared" si="821"/>
        <v>212282.39625499997</v>
      </c>
      <c r="V460" s="9">
        <f t="shared" si="821"/>
        <v>2040903.3053489996</v>
      </c>
      <c r="W460" s="9">
        <f t="shared" si="821"/>
        <v>570052.60940800002</v>
      </c>
      <c r="X460" s="9">
        <f t="shared" si="821"/>
        <v>770319.20119199995</v>
      </c>
      <c r="Y460" s="9">
        <f t="shared" si="821"/>
        <v>30930.109668999998</v>
      </c>
      <c r="Z460" s="9">
        <f t="shared" si="821"/>
        <v>454.46980600000001</v>
      </c>
      <c r="AA460" s="9">
        <f t="shared" si="821"/>
        <v>9499.8470799999996</v>
      </c>
      <c r="AB460" s="9">
        <f t="shared" si="821"/>
        <v>0</v>
      </c>
      <c r="AC460" s="67"/>
      <c r="AD460" s="55"/>
    </row>
    <row r="461" spans="1:30" s="52" customFormat="1">
      <c r="A461" s="34"/>
      <c r="B461" s="84">
        <f>B460-B462</f>
        <v>316236717.43000013</v>
      </c>
      <c r="C461" s="84">
        <f>C460-C462</f>
        <v>31721453.650000025</v>
      </c>
      <c r="D461" s="2" t="s">
        <v>90</v>
      </c>
      <c r="E461" s="9"/>
      <c r="F461" s="14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22"/>
      <c r="U461" s="22"/>
      <c r="V461" s="22"/>
      <c r="W461" s="22"/>
      <c r="X461" s="22"/>
      <c r="Y461" s="22"/>
      <c r="Z461" s="22"/>
      <c r="AA461" s="22"/>
      <c r="AB461" s="22"/>
      <c r="AC461" s="67"/>
      <c r="AD461" s="55"/>
    </row>
    <row r="462" spans="1:30" s="52" customFormat="1">
      <c r="A462" s="23"/>
      <c r="B462" s="220">
        <v>3113085.78</v>
      </c>
      <c r="C462" s="84">
        <f>SUM(259423.82+58204.25)</f>
        <v>317628.07</v>
      </c>
      <c r="D462" s="2" t="s">
        <v>637</v>
      </c>
      <c r="E462" s="25"/>
      <c r="F462" s="14"/>
      <c r="G462" s="14"/>
      <c r="H462" s="15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67"/>
      <c r="AD462" s="55"/>
    </row>
    <row r="463" spans="1:30" s="52" customFormat="1">
      <c r="A463" s="23"/>
      <c r="B463" s="220"/>
      <c r="C463" s="84"/>
      <c r="D463" s="2"/>
      <c r="E463" s="25"/>
      <c r="F463" s="15"/>
      <c r="G463" s="14"/>
      <c r="H463" s="15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67"/>
      <c r="AD463" s="55"/>
    </row>
    <row r="464" spans="1:30" s="52" customFormat="1" ht="14.4">
      <c r="A464" s="223" t="s">
        <v>640</v>
      </c>
      <c r="B464" s="224"/>
      <c r="C464" s="245"/>
      <c r="D464" s="225"/>
      <c r="E464" s="226"/>
      <c r="F464" s="227"/>
      <c r="G464" s="228"/>
      <c r="H464" s="227"/>
      <c r="I464" s="229"/>
      <c r="J464" s="229"/>
      <c r="K464" s="229"/>
      <c r="L464" s="26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67"/>
      <c r="AD464" s="55"/>
    </row>
    <row r="465" spans="1:30" s="52" customFormat="1">
      <c r="A465" s="34"/>
      <c r="B465" s="9"/>
      <c r="C465" s="237"/>
      <c r="D465" s="22"/>
      <c r="E465" s="22"/>
      <c r="F465" s="15"/>
      <c r="G465" s="15"/>
      <c r="H465" s="15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67"/>
      <c r="AD465" s="55"/>
    </row>
    <row r="466" spans="1:30" s="52" customFormat="1" ht="13.8" thickBot="1">
      <c r="A466" s="80" t="s">
        <v>91</v>
      </c>
      <c r="B466" s="127"/>
      <c r="C466" s="234"/>
      <c r="D466" s="127"/>
      <c r="E466" s="1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67"/>
      <c r="AD466" s="55"/>
    </row>
    <row r="467" spans="1:30" s="52" customFormat="1" ht="13.8" thickBot="1">
      <c r="A467" s="113" t="s">
        <v>1</v>
      </c>
      <c r="B467" s="114" t="s">
        <v>2</v>
      </c>
      <c r="C467" s="239" t="s">
        <v>3</v>
      </c>
      <c r="D467" s="263" t="s">
        <v>4</v>
      </c>
      <c r="E467" s="264"/>
      <c r="F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4"/>
      <c r="R467" s="264"/>
      <c r="S467" s="264"/>
      <c r="T467" s="264"/>
      <c r="U467" s="264"/>
      <c r="V467" s="264"/>
      <c r="W467" s="264"/>
      <c r="X467" s="264"/>
      <c r="Y467" s="264"/>
      <c r="Z467" s="123"/>
      <c r="AA467" s="123"/>
      <c r="AB467" s="123"/>
      <c r="AC467" s="67"/>
      <c r="AD467" s="55"/>
    </row>
    <row r="468" spans="1:30" s="52" customFormat="1">
      <c r="A468" s="115" t="s">
        <v>5</v>
      </c>
      <c r="B468" s="116" t="s">
        <v>6</v>
      </c>
      <c r="C468" s="240" t="s">
        <v>6</v>
      </c>
      <c r="D468" s="11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6" t="s">
        <v>7</v>
      </c>
      <c r="AA468" s="116"/>
      <c r="AB468" s="116"/>
      <c r="AC468" s="67"/>
      <c r="AD468" s="55"/>
    </row>
    <row r="469" spans="1:30" s="52" customFormat="1">
      <c r="A469" s="115" t="s">
        <v>8</v>
      </c>
      <c r="B469" s="116" t="s">
        <v>9</v>
      </c>
      <c r="C469" s="240" t="s">
        <v>9</v>
      </c>
      <c r="D469" s="120" t="s">
        <v>10</v>
      </c>
      <c r="E469" s="116" t="s">
        <v>11</v>
      </c>
      <c r="F469" s="116" t="s">
        <v>12</v>
      </c>
      <c r="G469" s="116" t="s">
        <v>13</v>
      </c>
      <c r="H469" s="116" t="s">
        <v>14</v>
      </c>
      <c r="I469" s="116" t="s">
        <v>15</v>
      </c>
      <c r="J469" s="116" t="s">
        <v>16</v>
      </c>
      <c r="K469" s="116" t="s">
        <v>17</v>
      </c>
      <c r="L469" s="116" t="s">
        <v>18</v>
      </c>
      <c r="M469" s="116" t="s">
        <v>19</v>
      </c>
      <c r="N469" s="116" t="s">
        <v>20</v>
      </c>
      <c r="O469" s="116" t="s">
        <v>175</v>
      </c>
      <c r="P469" s="116" t="s">
        <v>21</v>
      </c>
      <c r="Q469" s="116" t="s">
        <v>22</v>
      </c>
      <c r="R469" s="116" t="s">
        <v>23</v>
      </c>
      <c r="S469" s="116" t="s">
        <v>24</v>
      </c>
      <c r="T469" s="116" t="s">
        <v>25</v>
      </c>
      <c r="U469" s="116" t="s">
        <v>26</v>
      </c>
      <c r="V469" s="116" t="s">
        <v>27</v>
      </c>
      <c r="W469" s="116" t="s">
        <v>28</v>
      </c>
      <c r="X469" s="116" t="s">
        <v>29</v>
      </c>
      <c r="Y469" s="116" t="s">
        <v>30</v>
      </c>
      <c r="Z469" s="116" t="s">
        <v>31</v>
      </c>
      <c r="AA469" s="116" t="s">
        <v>493</v>
      </c>
      <c r="AB469" s="116" t="s">
        <v>476</v>
      </c>
      <c r="AC469" s="67"/>
      <c r="AD469" s="55"/>
    </row>
    <row r="470" spans="1:30" s="52" customFormat="1">
      <c r="A470" s="115"/>
      <c r="B470" s="118"/>
      <c r="C470" s="246" t="s">
        <v>638</v>
      </c>
      <c r="D470" s="121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67"/>
      <c r="AD470" s="55"/>
    </row>
    <row r="471" spans="1:30" s="52" customFormat="1">
      <c r="A471" s="96" t="s">
        <v>92</v>
      </c>
      <c r="B471" s="192">
        <v>1554041</v>
      </c>
      <c r="C471" s="211">
        <f>ROUND(B471/12,2)</f>
        <v>129503.42</v>
      </c>
      <c r="D471" s="5">
        <v>1.3599999999999999E-2</v>
      </c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>
        <v>0.47760000000000002</v>
      </c>
      <c r="R471" s="5"/>
      <c r="S471" s="5"/>
      <c r="T471" s="5"/>
      <c r="U471" s="5"/>
      <c r="V471" s="5"/>
      <c r="W471" s="5"/>
      <c r="X471" s="5">
        <v>0.50880000000000003</v>
      </c>
      <c r="Y471" s="5"/>
      <c r="Z471" s="5"/>
      <c r="AA471" s="5"/>
      <c r="AB471" s="5"/>
      <c r="AC471" s="67"/>
      <c r="AD471" s="55"/>
    </row>
    <row r="472" spans="1:30" s="52" customFormat="1">
      <c r="A472" s="97"/>
      <c r="B472" s="74"/>
      <c r="C472" s="211"/>
      <c r="D472" s="6">
        <f t="shared" ref="D472" si="822">$C471*D471</f>
        <v>1761.2465119999999</v>
      </c>
      <c r="E472" s="6">
        <f t="shared" ref="E472" si="823">$C471*E471</f>
        <v>0</v>
      </c>
      <c r="F472" s="6">
        <f t="shared" ref="F472:AB472" si="824">$C471*F471</f>
        <v>0</v>
      </c>
      <c r="G472" s="6">
        <f t="shared" si="824"/>
        <v>0</v>
      </c>
      <c r="H472" s="6">
        <f t="shared" si="824"/>
        <v>0</v>
      </c>
      <c r="I472" s="6">
        <f t="shared" si="824"/>
        <v>0</v>
      </c>
      <c r="J472" s="6">
        <f t="shared" si="824"/>
        <v>0</v>
      </c>
      <c r="K472" s="6">
        <f t="shared" si="824"/>
        <v>0</v>
      </c>
      <c r="L472" s="6">
        <f t="shared" si="824"/>
        <v>0</v>
      </c>
      <c r="M472" s="6">
        <f t="shared" si="824"/>
        <v>0</v>
      </c>
      <c r="N472" s="6">
        <f t="shared" si="824"/>
        <v>0</v>
      </c>
      <c r="O472" s="6">
        <f t="shared" si="824"/>
        <v>0</v>
      </c>
      <c r="P472" s="6">
        <f t="shared" si="824"/>
        <v>0</v>
      </c>
      <c r="Q472" s="6">
        <f t="shared" si="824"/>
        <v>61850.833392</v>
      </c>
      <c r="R472" s="6">
        <f t="shared" si="824"/>
        <v>0</v>
      </c>
      <c r="S472" s="6">
        <f t="shared" si="824"/>
        <v>0</v>
      </c>
      <c r="T472" s="6">
        <f t="shared" si="824"/>
        <v>0</v>
      </c>
      <c r="U472" s="6">
        <f t="shared" si="824"/>
        <v>0</v>
      </c>
      <c r="V472" s="6">
        <f t="shared" si="824"/>
        <v>0</v>
      </c>
      <c r="W472" s="6">
        <f t="shared" si="824"/>
        <v>0</v>
      </c>
      <c r="X472" s="6">
        <f t="shared" si="824"/>
        <v>65891.340096</v>
      </c>
      <c r="Y472" s="6">
        <f t="shared" si="824"/>
        <v>0</v>
      </c>
      <c r="Z472" s="6">
        <f t="shared" si="824"/>
        <v>0</v>
      </c>
      <c r="AA472" s="6">
        <f t="shared" si="824"/>
        <v>0</v>
      </c>
      <c r="AB472" s="6">
        <f t="shared" si="824"/>
        <v>0</v>
      </c>
      <c r="AC472" s="67"/>
      <c r="AD472" s="55"/>
    </row>
    <row r="473" spans="1:30" s="52" customFormat="1">
      <c r="A473" s="96" t="s">
        <v>93</v>
      </c>
      <c r="B473" s="193">
        <v>637037</v>
      </c>
      <c r="C473" s="211">
        <f t="shared" ref="C473:C535" si="825">ROUND(B473/12,2)</f>
        <v>53086.42</v>
      </c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>
        <v>0.5111</v>
      </c>
      <c r="R473" s="5"/>
      <c r="S473" s="5"/>
      <c r="T473" s="5"/>
      <c r="U473" s="5"/>
      <c r="V473" s="5"/>
      <c r="W473" s="5"/>
      <c r="X473" s="5">
        <v>0.45960000000000001</v>
      </c>
      <c r="Y473" s="5">
        <v>2.93E-2</v>
      </c>
      <c r="Z473" s="5"/>
      <c r="AA473" s="5"/>
      <c r="AB473" s="5"/>
      <c r="AC473" s="67"/>
      <c r="AD473" s="55"/>
    </row>
    <row r="474" spans="1:30" s="52" customFormat="1">
      <c r="A474" s="97"/>
      <c r="B474" s="74"/>
      <c r="C474" s="211"/>
      <c r="D474" s="6">
        <f t="shared" ref="D474" si="826">$C473*D473</f>
        <v>0</v>
      </c>
      <c r="E474" s="6">
        <f t="shared" ref="E474" si="827">$C473*E473</f>
        <v>0</v>
      </c>
      <c r="F474" s="6">
        <f t="shared" ref="F474:AB474" si="828">$C473*F473</f>
        <v>0</v>
      </c>
      <c r="G474" s="6">
        <f t="shared" si="828"/>
        <v>0</v>
      </c>
      <c r="H474" s="6">
        <f t="shared" si="828"/>
        <v>0</v>
      </c>
      <c r="I474" s="6">
        <f t="shared" si="828"/>
        <v>0</v>
      </c>
      <c r="J474" s="6">
        <f t="shared" si="828"/>
        <v>0</v>
      </c>
      <c r="K474" s="6">
        <f t="shared" si="828"/>
        <v>0</v>
      </c>
      <c r="L474" s="6">
        <f t="shared" si="828"/>
        <v>0</v>
      </c>
      <c r="M474" s="6">
        <f t="shared" si="828"/>
        <v>0</v>
      </c>
      <c r="N474" s="6">
        <f t="shared" si="828"/>
        <v>0</v>
      </c>
      <c r="O474" s="6">
        <f t="shared" si="828"/>
        <v>0</v>
      </c>
      <c r="P474" s="6">
        <f t="shared" si="828"/>
        <v>0</v>
      </c>
      <c r="Q474" s="6">
        <f t="shared" si="828"/>
        <v>27132.469261999999</v>
      </c>
      <c r="R474" s="6">
        <f t="shared" si="828"/>
        <v>0</v>
      </c>
      <c r="S474" s="6">
        <f t="shared" si="828"/>
        <v>0</v>
      </c>
      <c r="T474" s="6">
        <f t="shared" si="828"/>
        <v>0</v>
      </c>
      <c r="U474" s="6">
        <f t="shared" si="828"/>
        <v>0</v>
      </c>
      <c r="V474" s="6">
        <f t="shared" si="828"/>
        <v>0</v>
      </c>
      <c r="W474" s="6">
        <f t="shared" si="828"/>
        <v>0</v>
      </c>
      <c r="X474" s="6">
        <f t="shared" si="828"/>
        <v>24398.518631999999</v>
      </c>
      <c r="Y474" s="6">
        <f t="shared" si="828"/>
        <v>1555.432106</v>
      </c>
      <c r="Z474" s="6">
        <f t="shared" si="828"/>
        <v>0</v>
      </c>
      <c r="AA474" s="6">
        <f t="shared" si="828"/>
        <v>0</v>
      </c>
      <c r="AB474" s="6">
        <f t="shared" si="828"/>
        <v>0</v>
      </c>
      <c r="AC474" s="67"/>
      <c r="AD474" s="55"/>
    </row>
    <row r="475" spans="1:30" s="52" customFormat="1">
      <c r="A475" s="96" t="s">
        <v>94</v>
      </c>
      <c r="B475" s="193">
        <v>6824688</v>
      </c>
      <c r="C475" s="211">
        <f t="shared" si="825"/>
        <v>568724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>
        <v>0.73450000000000004</v>
      </c>
      <c r="R475" s="5"/>
      <c r="S475" s="5"/>
      <c r="T475" s="5"/>
      <c r="U475" s="5"/>
      <c r="V475" s="5"/>
      <c r="W475" s="5"/>
      <c r="X475" s="5">
        <v>0.21779999999999999</v>
      </c>
      <c r="Y475" s="5">
        <v>4.7699999999999999E-2</v>
      </c>
      <c r="Z475" s="5"/>
      <c r="AA475" s="5"/>
      <c r="AB475" s="5"/>
      <c r="AC475" s="67"/>
      <c r="AD475" s="55"/>
    </row>
    <row r="476" spans="1:30" s="52" customFormat="1">
      <c r="A476" s="97"/>
      <c r="B476" s="74"/>
      <c r="C476" s="211"/>
      <c r="D476" s="6">
        <f t="shared" ref="D476" si="829">$C475*D475</f>
        <v>0</v>
      </c>
      <c r="E476" s="6">
        <f t="shared" ref="E476" si="830">$C475*E475</f>
        <v>0</v>
      </c>
      <c r="F476" s="6">
        <f t="shared" ref="F476:AB476" si="831">$C475*F475</f>
        <v>0</v>
      </c>
      <c r="G476" s="6">
        <f t="shared" si="831"/>
        <v>0</v>
      </c>
      <c r="H476" s="6">
        <f t="shared" si="831"/>
        <v>0</v>
      </c>
      <c r="I476" s="6">
        <f t="shared" si="831"/>
        <v>0</v>
      </c>
      <c r="J476" s="6">
        <f t="shared" si="831"/>
        <v>0</v>
      </c>
      <c r="K476" s="6">
        <f t="shared" si="831"/>
        <v>0</v>
      </c>
      <c r="L476" s="6">
        <f t="shared" si="831"/>
        <v>0</v>
      </c>
      <c r="M476" s="6">
        <f t="shared" si="831"/>
        <v>0</v>
      </c>
      <c r="N476" s="6">
        <f t="shared" si="831"/>
        <v>0</v>
      </c>
      <c r="O476" s="6">
        <f t="shared" si="831"/>
        <v>0</v>
      </c>
      <c r="P476" s="6">
        <f t="shared" si="831"/>
        <v>0</v>
      </c>
      <c r="Q476" s="6">
        <f t="shared" si="831"/>
        <v>417727.77800000005</v>
      </c>
      <c r="R476" s="6">
        <f t="shared" si="831"/>
        <v>0</v>
      </c>
      <c r="S476" s="6">
        <f t="shared" si="831"/>
        <v>0</v>
      </c>
      <c r="T476" s="6">
        <f t="shared" si="831"/>
        <v>0</v>
      </c>
      <c r="U476" s="6">
        <f t="shared" si="831"/>
        <v>0</v>
      </c>
      <c r="V476" s="6">
        <f t="shared" si="831"/>
        <v>0</v>
      </c>
      <c r="W476" s="6">
        <f t="shared" si="831"/>
        <v>0</v>
      </c>
      <c r="X476" s="6">
        <f t="shared" si="831"/>
        <v>123868.08719999999</v>
      </c>
      <c r="Y476" s="6">
        <f t="shared" si="831"/>
        <v>27128.1348</v>
      </c>
      <c r="Z476" s="6">
        <f t="shared" si="831"/>
        <v>0</v>
      </c>
      <c r="AA476" s="6">
        <f t="shared" si="831"/>
        <v>0</v>
      </c>
      <c r="AB476" s="6">
        <f t="shared" si="831"/>
        <v>0</v>
      </c>
      <c r="AC476" s="67"/>
      <c r="AD476" s="55"/>
    </row>
    <row r="477" spans="1:30" s="52" customFormat="1">
      <c r="A477" s="96" t="s">
        <v>95</v>
      </c>
      <c r="B477" s="193">
        <v>1727382</v>
      </c>
      <c r="C477" s="211">
        <f t="shared" si="825"/>
        <v>143948.5</v>
      </c>
      <c r="D477" s="5">
        <v>0.47010000000000002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>
        <v>7.0400000000000004E-2</v>
      </c>
      <c r="R477" s="5"/>
      <c r="S477" s="5">
        <v>2.8E-3</v>
      </c>
      <c r="T477" s="5">
        <v>0.2336</v>
      </c>
      <c r="U477" s="5"/>
      <c r="V477" s="5"/>
      <c r="W477" s="5"/>
      <c r="X477" s="5">
        <v>0.22309999999999999</v>
      </c>
      <c r="Y477" s="5"/>
      <c r="Z477" s="5"/>
      <c r="AA477" s="5"/>
      <c r="AB477" s="5"/>
      <c r="AC477" s="67"/>
      <c r="AD477" s="55"/>
    </row>
    <row r="478" spans="1:30" s="52" customFormat="1">
      <c r="A478" s="97"/>
      <c r="B478" s="74"/>
      <c r="C478" s="211"/>
      <c r="D478" s="6">
        <f t="shared" ref="D478" si="832">$C477*D477</f>
        <v>67670.18985000001</v>
      </c>
      <c r="E478" s="6">
        <f t="shared" ref="E478" si="833">$C477*E477</f>
        <v>0</v>
      </c>
      <c r="F478" s="6">
        <f t="shared" ref="F478:AB478" si="834">$C477*F477</f>
        <v>0</v>
      </c>
      <c r="G478" s="6">
        <f t="shared" si="834"/>
        <v>0</v>
      </c>
      <c r="H478" s="6">
        <f t="shared" si="834"/>
        <v>0</v>
      </c>
      <c r="I478" s="6">
        <f t="shared" si="834"/>
        <v>0</v>
      </c>
      <c r="J478" s="6">
        <f t="shared" si="834"/>
        <v>0</v>
      </c>
      <c r="K478" s="6">
        <f t="shared" si="834"/>
        <v>0</v>
      </c>
      <c r="L478" s="6">
        <f t="shared" si="834"/>
        <v>0</v>
      </c>
      <c r="M478" s="6">
        <f t="shared" si="834"/>
        <v>0</v>
      </c>
      <c r="N478" s="6">
        <f t="shared" si="834"/>
        <v>0</v>
      </c>
      <c r="O478" s="6">
        <f t="shared" si="834"/>
        <v>0</v>
      </c>
      <c r="P478" s="6">
        <f t="shared" si="834"/>
        <v>0</v>
      </c>
      <c r="Q478" s="6">
        <f t="shared" si="834"/>
        <v>10133.974400000001</v>
      </c>
      <c r="R478" s="6">
        <f t="shared" si="834"/>
        <v>0</v>
      </c>
      <c r="S478" s="6">
        <f t="shared" si="834"/>
        <v>403.05579999999998</v>
      </c>
      <c r="T478" s="6">
        <f t="shared" si="834"/>
        <v>33626.369599999998</v>
      </c>
      <c r="U478" s="6">
        <f t="shared" si="834"/>
        <v>0</v>
      </c>
      <c r="V478" s="6">
        <f t="shared" si="834"/>
        <v>0</v>
      </c>
      <c r="W478" s="6">
        <f t="shared" si="834"/>
        <v>0</v>
      </c>
      <c r="X478" s="6">
        <f t="shared" si="834"/>
        <v>32114.910349999998</v>
      </c>
      <c r="Y478" s="6">
        <f t="shared" si="834"/>
        <v>0</v>
      </c>
      <c r="Z478" s="6">
        <f t="shared" si="834"/>
        <v>0</v>
      </c>
      <c r="AA478" s="6">
        <f t="shared" si="834"/>
        <v>0</v>
      </c>
      <c r="AB478" s="6">
        <f t="shared" si="834"/>
        <v>0</v>
      </c>
      <c r="AC478" s="67"/>
      <c r="AD478" s="55"/>
    </row>
    <row r="479" spans="1:30" s="52" customFormat="1">
      <c r="A479" s="96" t="s">
        <v>96</v>
      </c>
      <c r="B479" s="180">
        <f>2207963/2</f>
        <v>1103981.5</v>
      </c>
      <c r="C479" s="211">
        <f t="shared" si="825"/>
        <v>91998.46</v>
      </c>
      <c r="D479" s="170">
        <v>1.6500000000000001E-2</v>
      </c>
      <c r="E479" s="170">
        <v>0.1368</v>
      </c>
      <c r="F479" s="170">
        <v>5.7599999999999998E-2</v>
      </c>
      <c r="G479" s="170">
        <v>8.0399999999999999E-2</v>
      </c>
      <c r="H479" s="170">
        <v>4.1099999999999998E-2</v>
      </c>
      <c r="I479" s="170">
        <v>0.13389999999999999</v>
      </c>
      <c r="J479" s="170">
        <v>2.12E-2</v>
      </c>
      <c r="K479" s="170">
        <v>3.2500000000000001E-2</v>
      </c>
      <c r="L479" s="170">
        <v>1.7100000000000001E-2</v>
      </c>
      <c r="M479" s="170">
        <v>2.5999999999999999E-2</v>
      </c>
      <c r="N479" s="170">
        <v>0.13320000000000001</v>
      </c>
      <c r="O479" s="170">
        <v>1.89E-2</v>
      </c>
      <c r="P479" s="170">
        <v>0</v>
      </c>
      <c r="Q479" s="170">
        <v>3.8600000000000002E-2</v>
      </c>
      <c r="R479" s="170">
        <v>1.9E-2</v>
      </c>
      <c r="S479" s="170">
        <v>4.1999999999999997E-3</v>
      </c>
      <c r="T479" s="170">
        <v>5.3999999999999999E-2</v>
      </c>
      <c r="U479" s="170">
        <v>1.78E-2</v>
      </c>
      <c r="V479" s="170">
        <v>3.6700000000000003E-2</v>
      </c>
      <c r="W479" s="170">
        <v>4.7199999999999999E-2</v>
      </c>
      <c r="X479" s="170">
        <v>6.3899999999999998E-2</v>
      </c>
      <c r="Y479" s="170">
        <v>2.5999999999999999E-3</v>
      </c>
      <c r="Z479" s="171">
        <v>0</v>
      </c>
      <c r="AA479" s="171">
        <v>8.0000000000000004E-4</v>
      </c>
      <c r="AB479" s="171">
        <v>0</v>
      </c>
      <c r="AC479" s="67"/>
      <c r="AD479" s="55"/>
    </row>
    <row r="480" spans="1:30" s="52" customFormat="1">
      <c r="A480" s="97"/>
      <c r="B480" s="30"/>
      <c r="C480" s="211"/>
      <c r="D480" s="6">
        <f t="shared" ref="D480" si="835">$C479*D479</f>
        <v>1517.9745900000003</v>
      </c>
      <c r="E480" s="6">
        <f t="shared" ref="E480" si="836">$C479*E479</f>
        <v>12585.389328000001</v>
      </c>
      <c r="F480" s="6">
        <f t="shared" ref="F480:O480" si="837">$C479*F479</f>
        <v>5299.111296</v>
      </c>
      <c r="G480" s="6">
        <f t="shared" si="837"/>
        <v>7396.6761840000008</v>
      </c>
      <c r="H480" s="6">
        <f t="shared" si="837"/>
        <v>3781.1367060000002</v>
      </c>
      <c r="I480" s="6">
        <f t="shared" si="837"/>
        <v>12318.593794</v>
      </c>
      <c r="J480" s="6">
        <f t="shared" si="837"/>
        <v>1950.3673520000002</v>
      </c>
      <c r="K480" s="6">
        <f t="shared" si="837"/>
        <v>2989.9499500000002</v>
      </c>
      <c r="L480" s="6">
        <f t="shared" si="837"/>
        <v>1573.1736660000001</v>
      </c>
      <c r="M480" s="6">
        <f t="shared" si="837"/>
        <v>2391.9599600000001</v>
      </c>
      <c r="N480" s="6">
        <f t="shared" si="837"/>
        <v>12254.194872000002</v>
      </c>
      <c r="O480" s="6">
        <f t="shared" si="837"/>
        <v>1738.7708940000002</v>
      </c>
      <c r="P480" s="6">
        <f t="shared" ref="P480" si="838">$C479*P479</f>
        <v>0</v>
      </c>
      <c r="Q480" s="6">
        <f t="shared" ref="Q480" si="839">$C479*Q479</f>
        <v>3551.1405560000003</v>
      </c>
      <c r="R480" s="6">
        <f t="shared" ref="R480:AB480" si="840">$C479*R479</f>
        <v>1747.97074</v>
      </c>
      <c r="S480" s="6">
        <f t="shared" si="840"/>
        <v>386.39353199999999</v>
      </c>
      <c r="T480" s="6">
        <f t="shared" si="840"/>
        <v>4967.9168399999999</v>
      </c>
      <c r="U480" s="6">
        <f t="shared" si="840"/>
        <v>1637.572588</v>
      </c>
      <c r="V480" s="6">
        <f t="shared" si="840"/>
        <v>3376.3434820000007</v>
      </c>
      <c r="W480" s="6">
        <f t="shared" si="840"/>
        <v>4342.3273120000003</v>
      </c>
      <c r="X480" s="6">
        <f t="shared" si="840"/>
        <v>5878.7015940000001</v>
      </c>
      <c r="Y480" s="6">
        <f t="shared" si="840"/>
        <v>239.19599600000001</v>
      </c>
      <c r="Z480" s="6">
        <f t="shared" si="840"/>
        <v>0</v>
      </c>
      <c r="AA480" s="6">
        <f t="shared" si="840"/>
        <v>73.598768000000007</v>
      </c>
      <c r="AB480" s="6">
        <f t="shared" si="840"/>
        <v>0</v>
      </c>
      <c r="AC480" s="67"/>
      <c r="AD480" s="55"/>
    </row>
    <row r="481" spans="1:30" s="52" customFormat="1">
      <c r="A481" s="96" t="s">
        <v>434</v>
      </c>
      <c r="B481" s="180">
        <f>2207963/2</f>
        <v>1103981.5</v>
      </c>
      <c r="C481" s="211">
        <f t="shared" si="825"/>
        <v>91998.46</v>
      </c>
      <c r="D481" s="171">
        <v>0.16420000000000001</v>
      </c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171">
        <v>0.23169999999999999</v>
      </c>
      <c r="R481" s="5"/>
      <c r="S481" s="5">
        <v>2.8400000000000002E-2</v>
      </c>
      <c r="T481" s="171">
        <v>0.18529999999999999</v>
      </c>
      <c r="U481" s="5"/>
      <c r="V481" s="5"/>
      <c r="W481" s="5"/>
      <c r="X481" s="171">
        <v>0.37519999999999998</v>
      </c>
      <c r="Y481" s="171">
        <v>1.52E-2</v>
      </c>
      <c r="Z481" s="5"/>
      <c r="AA481" s="5"/>
      <c r="AB481" s="5"/>
      <c r="AC481" s="67"/>
      <c r="AD481" s="55"/>
    </row>
    <row r="482" spans="1:30" s="52" customFormat="1">
      <c r="A482" s="97"/>
      <c r="B482" s="12"/>
      <c r="C482" s="211"/>
      <c r="D482" s="6">
        <f t="shared" ref="D482" si="841">$C481*D481</f>
        <v>15106.147132000002</v>
      </c>
      <c r="E482" s="6">
        <f t="shared" ref="E482" si="842">$C481*E481</f>
        <v>0</v>
      </c>
      <c r="F482" s="6">
        <f t="shared" ref="F482:O482" si="843">$C481*F481</f>
        <v>0</v>
      </c>
      <c r="G482" s="6">
        <f t="shared" si="843"/>
        <v>0</v>
      </c>
      <c r="H482" s="6">
        <f t="shared" si="843"/>
        <v>0</v>
      </c>
      <c r="I482" s="6">
        <f t="shared" si="843"/>
        <v>0</v>
      </c>
      <c r="J482" s="6">
        <f t="shared" si="843"/>
        <v>0</v>
      </c>
      <c r="K482" s="6">
        <f t="shared" si="843"/>
        <v>0</v>
      </c>
      <c r="L482" s="6">
        <f t="shared" si="843"/>
        <v>0</v>
      </c>
      <c r="M482" s="6">
        <f t="shared" si="843"/>
        <v>0</v>
      </c>
      <c r="N482" s="6">
        <f t="shared" si="843"/>
        <v>0</v>
      </c>
      <c r="O482" s="6">
        <f t="shared" si="843"/>
        <v>0</v>
      </c>
      <c r="P482" s="6">
        <f t="shared" ref="P482" si="844">$C481*P481</f>
        <v>0</v>
      </c>
      <c r="Q482" s="6">
        <f t="shared" ref="Q482" si="845">$C481*Q481</f>
        <v>21316.043182000001</v>
      </c>
      <c r="R482" s="6">
        <f t="shared" ref="R482:AB482" si="846">$C481*R481</f>
        <v>0</v>
      </c>
      <c r="S482" s="6">
        <f t="shared" si="846"/>
        <v>2612.7562640000006</v>
      </c>
      <c r="T482" s="6">
        <f t="shared" si="846"/>
        <v>17047.314638</v>
      </c>
      <c r="U482" s="6">
        <f t="shared" si="846"/>
        <v>0</v>
      </c>
      <c r="V482" s="6">
        <f t="shared" si="846"/>
        <v>0</v>
      </c>
      <c r="W482" s="6">
        <f t="shared" si="846"/>
        <v>0</v>
      </c>
      <c r="X482" s="6">
        <f t="shared" si="846"/>
        <v>34517.822192</v>
      </c>
      <c r="Y482" s="6">
        <f t="shared" si="846"/>
        <v>1398.3765920000001</v>
      </c>
      <c r="Z482" s="6">
        <f t="shared" si="846"/>
        <v>0</v>
      </c>
      <c r="AA482" s="6">
        <f t="shared" si="846"/>
        <v>0</v>
      </c>
      <c r="AB482" s="6">
        <f t="shared" si="846"/>
        <v>0</v>
      </c>
      <c r="AC482" s="67"/>
      <c r="AD482" s="55"/>
    </row>
    <row r="483" spans="1:30" s="52" customFormat="1">
      <c r="A483" s="96" t="s">
        <v>97</v>
      </c>
      <c r="B483" s="193">
        <v>2132905</v>
      </c>
      <c r="C483" s="211">
        <f t="shared" si="825"/>
        <v>177742.07999999999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0.998</v>
      </c>
      <c r="Y483" s="5">
        <v>2E-3</v>
      </c>
      <c r="Z483" s="5"/>
      <c r="AA483" s="5"/>
      <c r="AB483" s="5"/>
      <c r="AC483" s="67"/>
      <c r="AD483" s="55"/>
    </row>
    <row r="484" spans="1:30" s="52" customFormat="1">
      <c r="A484" s="97"/>
      <c r="B484" s="74"/>
      <c r="C484" s="211"/>
      <c r="D484" s="6">
        <f t="shared" ref="D484" si="847">$C483*D483</f>
        <v>0</v>
      </c>
      <c r="E484" s="6">
        <f t="shared" ref="E484" si="848">$C483*E483</f>
        <v>0</v>
      </c>
      <c r="F484" s="6">
        <f t="shared" ref="F484:AB484" si="849">$C483*F483</f>
        <v>0</v>
      </c>
      <c r="G484" s="6">
        <f t="shared" si="849"/>
        <v>0</v>
      </c>
      <c r="H484" s="6">
        <f t="shared" si="849"/>
        <v>0</v>
      </c>
      <c r="I484" s="6">
        <f t="shared" si="849"/>
        <v>0</v>
      </c>
      <c r="J484" s="6">
        <f t="shared" si="849"/>
        <v>0</v>
      </c>
      <c r="K484" s="6">
        <f t="shared" si="849"/>
        <v>0</v>
      </c>
      <c r="L484" s="6">
        <f t="shared" si="849"/>
        <v>0</v>
      </c>
      <c r="M484" s="6">
        <f t="shared" si="849"/>
        <v>0</v>
      </c>
      <c r="N484" s="6">
        <f t="shared" si="849"/>
        <v>0</v>
      </c>
      <c r="O484" s="6">
        <f t="shared" si="849"/>
        <v>0</v>
      </c>
      <c r="P484" s="6">
        <f t="shared" si="849"/>
        <v>0</v>
      </c>
      <c r="Q484" s="6">
        <f t="shared" si="849"/>
        <v>0</v>
      </c>
      <c r="R484" s="6">
        <f t="shared" si="849"/>
        <v>0</v>
      </c>
      <c r="S484" s="6">
        <f t="shared" si="849"/>
        <v>0</v>
      </c>
      <c r="T484" s="6">
        <f t="shared" si="849"/>
        <v>0</v>
      </c>
      <c r="U484" s="6">
        <f t="shared" si="849"/>
        <v>0</v>
      </c>
      <c r="V484" s="6">
        <f t="shared" si="849"/>
        <v>0</v>
      </c>
      <c r="W484" s="6">
        <f t="shared" si="849"/>
        <v>0</v>
      </c>
      <c r="X484" s="6">
        <f t="shared" si="849"/>
        <v>177386.59583999999</v>
      </c>
      <c r="Y484" s="6">
        <f t="shared" si="849"/>
        <v>355.48415999999997</v>
      </c>
      <c r="Z484" s="6">
        <f t="shared" si="849"/>
        <v>0</v>
      </c>
      <c r="AA484" s="6">
        <f t="shared" si="849"/>
        <v>0</v>
      </c>
      <c r="AB484" s="6">
        <f t="shared" si="849"/>
        <v>0</v>
      </c>
      <c r="AC484" s="67"/>
      <c r="AD484" s="55"/>
    </row>
    <row r="485" spans="1:30" s="52" customFormat="1">
      <c r="A485" s="96" t="s">
        <v>98</v>
      </c>
      <c r="B485" s="193">
        <v>1303827</v>
      </c>
      <c r="C485" s="211">
        <f t="shared" si="825"/>
        <v>108652.25</v>
      </c>
      <c r="D485" s="40">
        <v>1.72E-2</v>
      </c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>
        <v>0.25940000000000002</v>
      </c>
      <c r="R485" s="40"/>
      <c r="S485" s="40">
        <v>0.1062</v>
      </c>
      <c r="T485" s="40"/>
      <c r="U485" s="40"/>
      <c r="V485" s="40"/>
      <c r="W485" s="40"/>
      <c r="X485" s="40">
        <v>0.59589999999999999</v>
      </c>
      <c r="Y485" s="40"/>
      <c r="Z485" s="40">
        <v>2.1299999999999999E-2</v>
      </c>
      <c r="AA485" s="40">
        <v>0</v>
      </c>
      <c r="AB485" s="40">
        <v>0</v>
      </c>
      <c r="AC485" s="67"/>
      <c r="AD485" s="55"/>
    </row>
    <row r="486" spans="1:30" s="52" customFormat="1">
      <c r="A486" s="97"/>
      <c r="B486" s="74"/>
      <c r="C486" s="211"/>
      <c r="D486" s="39">
        <f t="shared" ref="D486" si="850">$C485*D485</f>
        <v>1868.8187</v>
      </c>
      <c r="E486" s="39">
        <f t="shared" ref="E486" si="851">$C485*E485</f>
        <v>0</v>
      </c>
      <c r="F486" s="39">
        <f t="shared" ref="F486:AB486" si="852">$C485*F485</f>
        <v>0</v>
      </c>
      <c r="G486" s="39">
        <f t="shared" si="852"/>
        <v>0</v>
      </c>
      <c r="H486" s="39">
        <f t="shared" si="852"/>
        <v>0</v>
      </c>
      <c r="I486" s="39">
        <f t="shared" si="852"/>
        <v>0</v>
      </c>
      <c r="J486" s="39">
        <f t="shared" si="852"/>
        <v>0</v>
      </c>
      <c r="K486" s="39">
        <f t="shared" si="852"/>
        <v>0</v>
      </c>
      <c r="L486" s="39">
        <f t="shared" si="852"/>
        <v>0</v>
      </c>
      <c r="M486" s="39">
        <f t="shared" si="852"/>
        <v>0</v>
      </c>
      <c r="N486" s="39">
        <f t="shared" si="852"/>
        <v>0</v>
      </c>
      <c r="O486" s="39">
        <f t="shared" si="852"/>
        <v>0</v>
      </c>
      <c r="P486" s="39">
        <f t="shared" si="852"/>
        <v>0</v>
      </c>
      <c r="Q486" s="39">
        <f t="shared" si="852"/>
        <v>28184.393650000002</v>
      </c>
      <c r="R486" s="39">
        <f t="shared" si="852"/>
        <v>0</v>
      </c>
      <c r="S486" s="39">
        <f t="shared" si="852"/>
        <v>11538.86895</v>
      </c>
      <c r="T486" s="39">
        <f t="shared" si="852"/>
        <v>0</v>
      </c>
      <c r="U486" s="39">
        <f t="shared" si="852"/>
        <v>0</v>
      </c>
      <c r="V486" s="39">
        <f t="shared" si="852"/>
        <v>0</v>
      </c>
      <c r="W486" s="39">
        <f t="shared" si="852"/>
        <v>0</v>
      </c>
      <c r="X486" s="39">
        <f t="shared" si="852"/>
        <v>64745.875775</v>
      </c>
      <c r="Y486" s="39">
        <f t="shared" si="852"/>
        <v>0</v>
      </c>
      <c r="Z486" s="39">
        <f t="shared" si="852"/>
        <v>2314.2929249999997</v>
      </c>
      <c r="AA486" s="39">
        <f t="shared" si="852"/>
        <v>0</v>
      </c>
      <c r="AB486" s="39">
        <f t="shared" si="852"/>
        <v>0</v>
      </c>
      <c r="AC486" s="67"/>
      <c r="AD486" s="55"/>
    </row>
    <row r="487" spans="1:30" s="52" customFormat="1">
      <c r="A487" s="96" t="s">
        <v>99</v>
      </c>
      <c r="B487" s="193">
        <v>568943</v>
      </c>
      <c r="C487" s="211">
        <f t="shared" si="825"/>
        <v>47411.92</v>
      </c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>
        <v>0.42949999999999999</v>
      </c>
      <c r="R487" s="5"/>
      <c r="S487" s="5">
        <v>0.17899999999999999</v>
      </c>
      <c r="T487" s="5"/>
      <c r="U487" s="5"/>
      <c r="V487" s="5"/>
      <c r="W487" s="5"/>
      <c r="X487" s="5">
        <v>0.3836</v>
      </c>
      <c r="Y487" s="5">
        <v>7.9000000000000008E-3</v>
      </c>
      <c r="Z487" s="5"/>
      <c r="AA487" s="5"/>
      <c r="AB487" s="5"/>
      <c r="AC487" s="67"/>
      <c r="AD487" s="55"/>
    </row>
    <row r="488" spans="1:30" s="52" customFormat="1">
      <c r="A488" s="97"/>
      <c r="B488" s="74"/>
      <c r="C488" s="211"/>
      <c r="D488" s="6">
        <f t="shared" ref="D488" si="853">$C487*D487</f>
        <v>0</v>
      </c>
      <c r="E488" s="6">
        <f t="shared" ref="E488" si="854">$C487*E487</f>
        <v>0</v>
      </c>
      <c r="F488" s="6">
        <f t="shared" ref="F488:AB488" si="855">$C487*F487</f>
        <v>0</v>
      </c>
      <c r="G488" s="6">
        <f t="shared" si="855"/>
        <v>0</v>
      </c>
      <c r="H488" s="6">
        <f t="shared" si="855"/>
        <v>0</v>
      </c>
      <c r="I488" s="6">
        <f t="shared" si="855"/>
        <v>0</v>
      </c>
      <c r="J488" s="6">
        <f t="shared" si="855"/>
        <v>0</v>
      </c>
      <c r="K488" s="6">
        <f t="shared" si="855"/>
        <v>0</v>
      </c>
      <c r="L488" s="6">
        <f t="shared" si="855"/>
        <v>0</v>
      </c>
      <c r="M488" s="6">
        <f t="shared" si="855"/>
        <v>0</v>
      </c>
      <c r="N488" s="6">
        <f t="shared" si="855"/>
        <v>0</v>
      </c>
      <c r="O488" s="6">
        <f t="shared" si="855"/>
        <v>0</v>
      </c>
      <c r="P488" s="6">
        <f t="shared" si="855"/>
        <v>0</v>
      </c>
      <c r="Q488" s="6">
        <f t="shared" si="855"/>
        <v>20363.41964</v>
      </c>
      <c r="R488" s="6">
        <f t="shared" si="855"/>
        <v>0</v>
      </c>
      <c r="S488" s="6">
        <f t="shared" si="855"/>
        <v>8486.7336799999994</v>
      </c>
      <c r="T488" s="6">
        <f t="shared" si="855"/>
        <v>0</v>
      </c>
      <c r="U488" s="6">
        <f t="shared" si="855"/>
        <v>0</v>
      </c>
      <c r="V488" s="6">
        <f t="shared" si="855"/>
        <v>0</v>
      </c>
      <c r="W488" s="6">
        <f t="shared" si="855"/>
        <v>0</v>
      </c>
      <c r="X488" s="6">
        <f t="shared" si="855"/>
        <v>18187.212511999998</v>
      </c>
      <c r="Y488" s="6">
        <f t="shared" si="855"/>
        <v>374.554168</v>
      </c>
      <c r="Z488" s="6">
        <f t="shared" si="855"/>
        <v>0</v>
      </c>
      <c r="AA488" s="6">
        <f t="shared" si="855"/>
        <v>0</v>
      </c>
      <c r="AB488" s="6">
        <f t="shared" si="855"/>
        <v>0</v>
      </c>
      <c r="AC488" s="67"/>
      <c r="AD488" s="55"/>
    </row>
    <row r="489" spans="1:30" s="52" customFormat="1">
      <c r="A489" s="96" t="s">
        <v>100</v>
      </c>
      <c r="B489" s="195">
        <f>72805940/2</f>
        <v>36402970</v>
      </c>
      <c r="C489" s="211">
        <f t="shared" si="825"/>
        <v>3033580.83</v>
      </c>
      <c r="D489" s="170">
        <v>1.6500000000000001E-2</v>
      </c>
      <c r="E489" s="170">
        <v>0.1368</v>
      </c>
      <c r="F489" s="170">
        <v>5.7599999999999998E-2</v>
      </c>
      <c r="G489" s="170">
        <v>8.0399999999999999E-2</v>
      </c>
      <c r="H489" s="170">
        <v>4.1099999999999998E-2</v>
      </c>
      <c r="I489" s="170">
        <v>0.13389999999999999</v>
      </c>
      <c r="J489" s="170">
        <v>2.12E-2</v>
      </c>
      <c r="K489" s="170">
        <v>3.2500000000000001E-2</v>
      </c>
      <c r="L489" s="170">
        <v>1.7100000000000001E-2</v>
      </c>
      <c r="M489" s="170">
        <v>2.5999999999999999E-2</v>
      </c>
      <c r="N489" s="170">
        <v>0.13320000000000001</v>
      </c>
      <c r="O489" s="170">
        <v>1.89E-2</v>
      </c>
      <c r="P489" s="170">
        <v>0</v>
      </c>
      <c r="Q489" s="170">
        <v>3.8600000000000002E-2</v>
      </c>
      <c r="R489" s="170">
        <v>1.9E-2</v>
      </c>
      <c r="S489" s="170">
        <v>4.1999999999999997E-3</v>
      </c>
      <c r="T489" s="170">
        <v>5.3999999999999999E-2</v>
      </c>
      <c r="U489" s="170">
        <v>1.78E-2</v>
      </c>
      <c r="V489" s="170">
        <v>3.6700000000000003E-2</v>
      </c>
      <c r="W489" s="170">
        <v>4.7199999999999999E-2</v>
      </c>
      <c r="X489" s="170">
        <v>6.3899999999999998E-2</v>
      </c>
      <c r="Y489" s="170">
        <v>2.5999999999999999E-3</v>
      </c>
      <c r="Z489" s="171">
        <v>0</v>
      </c>
      <c r="AA489" s="171">
        <v>8.0000000000000004E-4</v>
      </c>
      <c r="AB489" s="171">
        <v>0</v>
      </c>
      <c r="AC489" s="67"/>
      <c r="AD489" s="55"/>
    </row>
    <row r="490" spans="1:30" s="52" customFormat="1">
      <c r="A490" s="97"/>
      <c r="B490" s="30"/>
      <c r="C490" s="211"/>
      <c r="D490" s="6">
        <f t="shared" ref="D490" si="856">$C489*D489</f>
        <v>50054.083695000001</v>
      </c>
      <c r="E490" s="6">
        <f t="shared" ref="E490" si="857">$C489*E489</f>
        <v>414993.85754400003</v>
      </c>
      <c r="F490" s="6">
        <f t="shared" ref="F490:O490" si="858">$C489*F489</f>
        <v>174734.25580799999</v>
      </c>
      <c r="G490" s="6">
        <f t="shared" si="858"/>
        <v>243899.898732</v>
      </c>
      <c r="H490" s="6">
        <f t="shared" si="858"/>
        <v>124680.17211299999</v>
      </c>
      <c r="I490" s="6">
        <f t="shared" si="858"/>
        <v>406196.47313699999</v>
      </c>
      <c r="J490" s="6">
        <f t="shared" si="858"/>
        <v>64311.913595999999</v>
      </c>
      <c r="K490" s="6">
        <f t="shared" si="858"/>
        <v>98591.376975000006</v>
      </c>
      <c r="L490" s="6">
        <f t="shared" si="858"/>
        <v>51874.232193000003</v>
      </c>
      <c r="M490" s="6">
        <f t="shared" si="858"/>
        <v>78873.101580000002</v>
      </c>
      <c r="N490" s="6">
        <f t="shared" si="858"/>
        <v>404072.96655600006</v>
      </c>
      <c r="O490" s="6">
        <f t="shared" si="858"/>
        <v>57334.677687000003</v>
      </c>
      <c r="P490" s="6">
        <f t="shared" ref="P490" si="859">$C489*P489</f>
        <v>0</v>
      </c>
      <c r="Q490" s="6">
        <f t="shared" ref="Q490" si="860">$C489*Q489</f>
        <v>117096.22003800001</v>
      </c>
      <c r="R490" s="6">
        <f t="shared" ref="R490:AB490" si="861">$C489*R489</f>
        <v>57638.035770000002</v>
      </c>
      <c r="S490" s="6">
        <f t="shared" si="861"/>
        <v>12741.039486</v>
      </c>
      <c r="T490" s="6">
        <f t="shared" si="861"/>
        <v>163813.36481999999</v>
      </c>
      <c r="U490" s="6">
        <f t="shared" si="861"/>
        <v>53997.738773999998</v>
      </c>
      <c r="V490" s="6">
        <f t="shared" si="861"/>
        <v>111332.41646100002</v>
      </c>
      <c r="W490" s="6">
        <f t="shared" si="861"/>
        <v>143185.01517599999</v>
      </c>
      <c r="X490" s="6">
        <f t="shared" si="861"/>
        <v>193845.81503699999</v>
      </c>
      <c r="Y490" s="6">
        <f t="shared" si="861"/>
        <v>7887.3101580000002</v>
      </c>
      <c r="Z490" s="6">
        <f t="shared" si="861"/>
        <v>0</v>
      </c>
      <c r="AA490" s="6">
        <f t="shared" si="861"/>
        <v>2426.8646640000002</v>
      </c>
      <c r="AB490" s="6">
        <f t="shared" si="861"/>
        <v>0</v>
      </c>
      <c r="AC490" s="67"/>
      <c r="AD490" s="55"/>
    </row>
    <row r="491" spans="1:30" s="52" customFormat="1">
      <c r="A491" s="96" t="s">
        <v>435</v>
      </c>
      <c r="B491" s="195">
        <f>72805940/2</f>
        <v>36402970</v>
      </c>
      <c r="C491" s="211">
        <f t="shared" si="825"/>
        <v>3033580.83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171">
        <v>0.37169999999999997</v>
      </c>
      <c r="R491" s="5"/>
      <c r="S491" s="171">
        <v>4.2500000000000003E-2</v>
      </c>
      <c r="T491" s="5"/>
      <c r="U491" s="5"/>
      <c r="V491" s="5"/>
      <c r="W491" s="5"/>
      <c r="X491" s="171">
        <v>0.56310000000000004</v>
      </c>
      <c r="Y491" s="171">
        <v>2.2700000000000001E-2</v>
      </c>
      <c r="Z491" s="5"/>
      <c r="AA491" s="5"/>
      <c r="AB491" s="5"/>
      <c r="AC491" s="67"/>
      <c r="AD491" s="55"/>
    </row>
    <row r="492" spans="1:30" s="52" customFormat="1">
      <c r="A492" s="97"/>
      <c r="B492" s="12"/>
      <c r="C492" s="211"/>
      <c r="D492" s="6">
        <f t="shared" ref="D492" si="862">$C491*D491</f>
        <v>0</v>
      </c>
      <c r="E492" s="6">
        <f t="shared" ref="E492" si="863">$C491*E491</f>
        <v>0</v>
      </c>
      <c r="F492" s="6">
        <f t="shared" ref="F492:O492" si="864">$C491*F491</f>
        <v>0</v>
      </c>
      <c r="G492" s="6">
        <f t="shared" si="864"/>
        <v>0</v>
      </c>
      <c r="H492" s="6">
        <f t="shared" si="864"/>
        <v>0</v>
      </c>
      <c r="I492" s="6">
        <f t="shared" si="864"/>
        <v>0</v>
      </c>
      <c r="J492" s="6">
        <f t="shared" si="864"/>
        <v>0</v>
      </c>
      <c r="K492" s="6">
        <f t="shared" si="864"/>
        <v>0</v>
      </c>
      <c r="L492" s="6">
        <f t="shared" si="864"/>
        <v>0</v>
      </c>
      <c r="M492" s="6">
        <f t="shared" si="864"/>
        <v>0</v>
      </c>
      <c r="N492" s="6">
        <f t="shared" si="864"/>
        <v>0</v>
      </c>
      <c r="O492" s="6">
        <f t="shared" si="864"/>
        <v>0</v>
      </c>
      <c r="P492" s="6">
        <f t="shared" ref="P492" si="865">$C491*P491</f>
        <v>0</v>
      </c>
      <c r="Q492" s="6">
        <f t="shared" ref="Q492" si="866">$C491*Q491</f>
        <v>1127581.9945109999</v>
      </c>
      <c r="R492" s="6">
        <f t="shared" ref="R492:AB492" si="867">$C491*R491</f>
        <v>0</v>
      </c>
      <c r="S492" s="6">
        <f t="shared" si="867"/>
        <v>128927.18527500001</v>
      </c>
      <c r="T492" s="6">
        <f t="shared" si="867"/>
        <v>0</v>
      </c>
      <c r="U492" s="6">
        <f t="shared" si="867"/>
        <v>0</v>
      </c>
      <c r="V492" s="6">
        <f t="shared" si="867"/>
        <v>0</v>
      </c>
      <c r="W492" s="6">
        <f t="shared" si="867"/>
        <v>0</v>
      </c>
      <c r="X492" s="6">
        <f t="shared" si="867"/>
        <v>1708209.3653730003</v>
      </c>
      <c r="Y492" s="6">
        <f t="shared" si="867"/>
        <v>68862.284841000001</v>
      </c>
      <c r="Z492" s="6">
        <f t="shared" si="867"/>
        <v>0</v>
      </c>
      <c r="AA492" s="6">
        <f t="shared" si="867"/>
        <v>0</v>
      </c>
      <c r="AB492" s="6">
        <f t="shared" si="867"/>
        <v>0</v>
      </c>
      <c r="AC492" s="67"/>
      <c r="AD492" s="55"/>
    </row>
    <row r="493" spans="1:30" s="52" customFormat="1">
      <c r="A493" s="96" t="s">
        <v>101</v>
      </c>
      <c r="B493" s="195">
        <v>4002649</v>
      </c>
      <c r="C493" s="211">
        <f t="shared" si="825"/>
        <v>333554.08</v>
      </c>
      <c r="D493" s="40">
        <v>5.0900000000000001E-2</v>
      </c>
      <c r="E493" s="40"/>
      <c r="F493" s="40"/>
      <c r="G493" s="40"/>
      <c r="H493" s="40"/>
      <c r="I493" s="40">
        <v>2.8999999999999998E-3</v>
      </c>
      <c r="J493" s="40">
        <v>2.9999999999999997E-4</v>
      </c>
      <c r="K493" s="40"/>
      <c r="L493" s="40"/>
      <c r="M493" s="40">
        <v>1.7600000000000001E-2</v>
      </c>
      <c r="N493" s="40"/>
      <c r="O493" s="40"/>
      <c r="P493" s="40"/>
      <c r="Q493" s="40">
        <v>0.32729999999999998</v>
      </c>
      <c r="R493" s="40"/>
      <c r="S493" s="40">
        <v>6.3200000000000006E-2</v>
      </c>
      <c r="T493" s="40">
        <v>0.1004</v>
      </c>
      <c r="U493" s="40">
        <v>5.5999999999999999E-3</v>
      </c>
      <c r="V493" s="40"/>
      <c r="W493" s="40"/>
      <c r="X493" s="40">
        <v>0.40710000000000002</v>
      </c>
      <c r="Y493" s="40">
        <v>1.52E-2</v>
      </c>
      <c r="Z493" s="40">
        <v>9.4999999999999998E-3</v>
      </c>
      <c r="AA493" s="40">
        <v>0</v>
      </c>
      <c r="AB493" s="40">
        <v>0</v>
      </c>
      <c r="AC493" s="67"/>
      <c r="AD493" s="55"/>
    </row>
    <row r="494" spans="1:30" s="52" customFormat="1">
      <c r="A494" s="97"/>
      <c r="B494" s="74"/>
      <c r="C494" s="211"/>
      <c r="D494" s="39">
        <f t="shared" ref="D494" si="868">$C493*D493</f>
        <v>16977.902672</v>
      </c>
      <c r="E494" s="39">
        <f t="shared" ref="E494" si="869">$C493*E493</f>
        <v>0</v>
      </c>
      <c r="F494" s="39">
        <f t="shared" ref="F494:AB494" si="870">$C493*F493</f>
        <v>0</v>
      </c>
      <c r="G494" s="39">
        <f t="shared" si="870"/>
        <v>0</v>
      </c>
      <c r="H494" s="39">
        <f t="shared" si="870"/>
        <v>0</v>
      </c>
      <c r="I494" s="39">
        <f t="shared" si="870"/>
        <v>967.30683199999999</v>
      </c>
      <c r="J494" s="39">
        <f t="shared" si="870"/>
        <v>100.06622399999999</v>
      </c>
      <c r="K494" s="39">
        <f t="shared" si="870"/>
        <v>0</v>
      </c>
      <c r="L494" s="39">
        <f t="shared" si="870"/>
        <v>0</v>
      </c>
      <c r="M494" s="39">
        <f t="shared" si="870"/>
        <v>5870.5518080000011</v>
      </c>
      <c r="N494" s="39">
        <f t="shared" si="870"/>
        <v>0</v>
      </c>
      <c r="O494" s="39">
        <f t="shared" si="870"/>
        <v>0</v>
      </c>
      <c r="P494" s="39">
        <f t="shared" si="870"/>
        <v>0</v>
      </c>
      <c r="Q494" s="39">
        <f t="shared" si="870"/>
        <v>109172.250384</v>
      </c>
      <c r="R494" s="39">
        <f t="shared" si="870"/>
        <v>0</v>
      </c>
      <c r="S494" s="39">
        <f t="shared" si="870"/>
        <v>21080.617856000004</v>
      </c>
      <c r="T494" s="39">
        <f t="shared" si="870"/>
        <v>33488.829632000001</v>
      </c>
      <c r="U494" s="39">
        <f t="shared" si="870"/>
        <v>1867.9028480000002</v>
      </c>
      <c r="V494" s="39">
        <f t="shared" si="870"/>
        <v>0</v>
      </c>
      <c r="W494" s="39">
        <f t="shared" si="870"/>
        <v>0</v>
      </c>
      <c r="X494" s="39">
        <f t="shared" si="870"/>
        <v>135789.865968</v>
      </c>
      <c r="Y494" s="39">
        <f t="shared" si="870"/>
        <v>5070.0220159999999</v>
      </c>
      <c r="Z494" s="39">
        <f t="shared" si="870"/>
        <v>3168.7637600000003</v>
      </c>
      <c r="AA494" s="39">
        <f t="shared" si="870"/>
        <v>0</v>
      </c>
      <c r="AB494" s="39">
        <f t="shared" si="870"/>
        <v>0</v>
      </c>
      <c r="AC494" s="67"/>
      <c r="AD494" s="55"/>
    </row>
    <row r="495" spans="1:30" s="52" customFormat="1">
      <c r="A495" s="96" t="s">
        <v>102</v>
      </c>
      <c r="B495" s="180">
        <f>2225/2</f>
        <v>1112.5</v>
      </c>
      <c r="C495" s="211">
        <f t="shared" si="825"/>
        <v>92.71</v>
      </c>
      <c r="D495" s="170">
        <v>1.6500000000000001E-2</v>
      </c>
      <c r="E495" s="170">
        <v>0.1368</v>
      </c>
      <c r="F495" s="170">
        <v>5.7599999999999998E-2</v>
      </c>
      <c r="G495" s="170">
        <v>8.0399999999999999E-2</v>
      </c>
      <c r="H495" s="170">
        <v>4.1099999999999998E-2</v>
      </c>
      <c r="I495" s="170">
        <v>0.13389999999999999</v>
      </c>
      <c r="J495" s="170">
        <v>2.12E-2</v>
      </c>
      <c r="K495" s="170">
        <v>3.2500000000000001E-2</v>
      </c>
      <c r="L495" s="170">
        <v>1.7100000000000001E-2</v>
      </c>
      <c r="M495" s="170">
        <v>2.5999999999999999E-2</v>
      </c>
      <c r="N495" s="170">
        <v>0.13320000000000001</v>
      </c>
      <c r="O495" s="170">
        <v>1.89E-2</v>
      </c>
      <c r="P495" s="170">
        <v>0</v>
      </c>
      <c r="Q495" s="170">
        <v>3.8600000000000002E-2</v>
      </c>
      <c r="R495" s="170">
        <v>1.9E-2</v>
      </c>
      <c r="S495" s="170">
        <v>4.1999999999999997E-3</v>
      </c>
      <c r="T495" s="170">
        <v>5.3999999999999999E-2</v>
      </c>
      <c r="U495" s="170">
        <v>1.78E-2</v>
      </c>
      <c r="V495" s="170">
        <v>3.6700000000000003E-2</v>
      </c>
      <c r="W495" s="170">
        <v>4.7199999999999999E-2</v>
      </c>
      <c r="X495" s="170">
        <v>6.3899999999999998E-2</v>
      </c>
      <c r="Y495" s="170">
        <v>2.5999999999999999E-3</v>
      </c>
      <c r="Z495" s="171">
        <v>0</v>
      </c>
      <c r="AA495" s="171">
        <v>8.0000000000000004E-4</v>
      </c>
      <c r="AB495" s="171">
        <v>0</v>
      </c>
      <c r="AC495" s="67"/>
      <c r="AD495" s="55"/>
    </row>
    <row r="496" spans="1:30" s="52" customFormat="1">
      <c r="A496" s="97"/>
      <c r="B496" s="30"/>
      <c r="C496" s="211"/>
      <c r="D496" s="6">
        <f t="shared" ref="D496" si="871">$C495*D495</f>
        <v>1.5297149999999999</v>
      </c>
      <c r="E496" s="6">
        <f t="shared" ref="E496" si="872">$C495*E495</f>
        <v>12.682727999999999</v>
      </c>
      <c r="F496" s="6">
        <f t="shared" ref="F496:O496" si="873">$C495*F495</f>
        <v>5.3400959999999991</v>
      </c>
      <c r="G496" s="6">
        <f t="shared" si="873"/>
        <v>7.4538839999999995</v>
      </c>
      <c r="H496" s="6">
        <f t="shared" si="873"/>
        <v>3.8103809999999996</v>
      </c>
      <c r="I496" s="6">
        <f t="shared" si="873"/>
        <v>12.413868999999998</v>
      </c>
      <c r="J496" s="6">
        <f t="shared" si="873"/>
        <v>1.965452</v>
      </c>
      <c r="K496" s="6">
        <f t="shared" si="873"/>
        <v>3.0130749999999997</v>
      </c>
      <c r="L496" s="6">
        <f t="shared" si="873"/>
        <v>1.5853409999999999</v>
      </c>
      <c r="M496" s="6">
        <f t="shared" si="873"/>
        <v>2.4104599999999996</v>
      </c>
      <c r="N496" s="6">
        <f t="shared" si="873"/>
        <v>12.348972</v>
      </c>
      <c r="O496" s="6">
        <f t="shared" si="873"/>
        <v>1.752219</v>
      </c>
      <c r="P496" s="6">
        <f t="shared" ref="P496" si="874">$C495*P495</f>
        <v>0</v>
      </c>
      <c r="Q496" s="6">
        <f t="shared" ref="Q496" si="875">$C495*Q495</f>
        <v>3.5786060000000002</v>
      </c>
      <c r="R496" s="6">
        <f t="shared" ref="R496:AB496" si="876">$C495*R495</f>
        <v>1.7614899999999998</v>
      </c>
      <c r="S496" s="6">
        <f t="shared" si="876"/>
        <v>0.38938199999999995</v>
      </c>
      <c r="T496" s="6">
        <f t="shared" si="876"/>
        <v>5.0063399999999998</v>
      </c>
      <c r="U496" s="6">
        <f t="shared" si="876"/>
        <v>1.6502379999999999</v>
      </c>
      <c r="V496" s="6">
        <f t="shared" si="876"/>
        <v>3.4024570000000001</v>
      </c>
      <c r="W496" s="6">
        <f t="shared" si="876"/>
        <v>4.3759119999999996</v>
      </c>
      <c r="X496" s="6">
        <f t="shared" si="876"/>
        <v>5.9241689999999991</v>
      </c>
      <c r="Y496" s="6">
        <f t="shared" si="876"/>
        <v>0.24104599999999998</v>
      </c>
      <c r="Z496" s="6">
        <f t="shared" si="876"/>
        <v>0</v>
      </c>
      <c r="AA496" s="6">
        <f t="shared" si="876"/>
        <v>7.4167999999999998E-2</v>
      </c>
      <c r="AB496" s="6">
        <f t="shared" si="876"/>
        <v>0</v>
      </c>
      <c r="AC496" s="67"/>
      <c r="AD496" s="55"/>
    </row>
    <row r="497" spans="1:30" s="52" customFormat="1">
      <c r="A497" s="96" t="s">
        <v>436</v>
      </c>
      <c r="B497" s="180">
        <f>2225/2</f>
        <v>1112.5</v>
      </c>
      <c r="C497" s="211">
        <f t="shared" si="825"/>
        <v>92.71</v>
      </c>
      <c r="D497" s="171">
        <v>6.3399999999999998E-2</v>
      </c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171">
        <v>0.28539999999999999</v>
      </c>
      <c r="R497" s="5"/>
      <c r="S497" s="171">
        <v>4.9599999999999998E-2</v>
      </c>
      <c r="T497" s="171">
        <v>0.104</v>
      </c>
      <c r="U497" s="5"/>
      <c r="V497" s="5"/>
      <c r="W497" s="5"/>
      <c r="X497" s="171">
        <v>0.4783</v>
      </c>
      <c r="Y497" s="171">
        <v>1.9300000000000001E-2</v>
      </c>
      <c r="Z497" s="5"/>
      <c r="AA497" s="5"/>
      <c r="AB497" s="5"/>
      <c r="AC497" s="67"/>
      <c r="AD497" s="55"/>
    </row>
    <row r="498" spans="1:30" s="52" customFormat="1">
      <c r="A498" s="97"/>
      <c r="B498" s="12"/>
      <c r="C498" s="211"/>
      <c r="D498" s="6">
        <f t="shared" ref="D498" si="877">$C497*D497</f>
        <v>5.877813999999999</v>
      </c>
      <c r="E498" s="6">
        <f t="shared" ref="E498" si="878">$C497*E497</f>
        <v>0</v>
      </c>
      <c r="F498" s="6">
        <f t="shared" ref="F498:O498" si="879">$C497*F497</f>
        <v>0</v>
      </c>
      <c r="G498" s="6">
        <f t="shared" si="879"/>
        <v>0</v>
      </c>
      <c r="H498" s="6">
        <f t="shared" si="879"/>
        <v>0</v>
      </c>
      <c r="I498" s="6">
        <f t="shared" si="879"/>
        <v>0</v>
      </c>
      <c r="J498" s="6">
        <f t="shared" si="879"/>
        <v>0</v>
      </c>
      <c r="K498" s="6">
        <f t="shared" si="879"/>
        <v>0</v>
      </c>
      <c r="L498" s="6">
        <f t="shared" si="879"/>
        <v>0</v>
      </c>
      <c r="M498" s="6">
        <f t="shared" si="879"/>
        <v>0</v>
      </c>
      <c r="N498" s="6">
        <f t="shared" si="879"/>
        <v>0</v>
      </c>
      <c r="O498" s="6">
        <f t="shared" si="879"/>
        <v>0</v>
      </c>
      <c r="P498" s="6">
        <f t="shared" ref="P498" si="880">$C497*P497</f>
        <v>0</v>
      </c>
      <c r="Q498" s="6">
        <f t="shared" ref="Q498" si="881">$C497*Q497</f>
        <v>26.459433999999998</v>
      </c>
      <c r="R498" s="6">
        <f t="shared" ref="R498:AB498" si="882">$C497*R497</f>
        <v>0</v>
      </c>
      <c r="S498" s="6">
        <f t="shared" si="882"/>
        <v>4.5984159999999994</v>
      </c>
      <c r="T498" s="6">
        <f t="shared" si="882"/>
        <v>9.6418399999999984</v>
      </c>
      <c r="U498" s="6">
        <f t="shared" si="882"/>
        <v>0</v>
      </c>
      <c r="V498" s="6">
        <f t="shared" si="882"/>
        <v>0</v>
      </c>
      <c r="W498" s="6">
        <f t="shared" si="882"/>
        <v>0</v>
      </c>
      <c r="X498" s="6">
        <f t="shared" si="882"/>
        <v>44.343192999999999</v>
      </c>
      <c r="Y498" s="6">
        <f t="shared" si="882"/>
        <v>1.7893030000000001</v>
      </c>
      <c r="Z498" s="6">
        <f t="shared" si="882"/>
        <v>0</v>
      </c>
      <c r="AA498" s="6">
        <f t="shared" si="882"/>
        <v>0</v>
      </c>
      <c r="AB498" s="6">
        <f t="shared" si="882"/>
        <v>0</v>
      </c>
      <c r="AC498" s="67"/>
      <c r="AD498" s="55"/>
    </row>
    <row r="499" spans="1:30" s="52" customFormat="1">
      <c r="A499" s="96" t="s">
        <v>103</v>
      </c>
      <c r="B499" s="193">
        <v>790167</v>
      </c>
      <c r="C499" s="211">
        <f t="shared" si="825"/>
        <v>65847.25</v>
      </c>
      <c r="D499" s="5"/>
      <c r="E499" s="5"/>
      <c r="F499" s="5"/>
      <c r="G499" s="5"/>
      <c r="H499" s="5">
        <v>1.2500000000000001E-2</v>
      </c>
      <c r="I499" s="5"/>
      <c r="J499" s="5"/>
      <c r="K499" s="5"/>
      <c r="L499" s="5"/>
      <c r="M499" s="5"/>
      <c r="N499" s="5"/>
      <c r="O499" s="5"/>
      <c r="P499" s="5"/>
      <c r="Q499" s="5">
        <v>9.9199999999999997E-2</v>
      </c>
      <c r="R499" s="5"/>
      <c r="S499" s="5">
        <v>8.6999999999999994E-3</v>
      </c>
      <c r="T499" s="5"/>
      <c r="U499" s="5"/>
      <c r="V499" s="5">
        <v>1.11E-2</v>
      </c>
      <c r="W499" s="5"/>
      <c r="X499" s="5">
        <v>0.83730000000000004</v>
      </c>
      <c r="Y499" s="5">
        <v>3.1199999999999999E-2</v>
      </c>
      <c r="Z499" s="5"/>
      <c r="AA499" s="5"/>
      <c r="AB499" s="5"/>
      <c r="AC499" s="67"/>
      <c r="AD499" s="55"/>
    </row>
    <row r="500" spans="1:30" s="52" customFormat="1">
      <c r="A500" s="97"/>
      <c r="B500" s="74"/>
      <c r="C500" s="211"/>
      <c r="D500" s="6">
        <f t="shared" ref="D500" si="883">$C499*D499</f>
        <v>0</v>
      </c>
      <c r="E500" s="6">
        <f t="shared" ref="E500" si="884">$C499*E499</f>
        <v>0</v>
      </c>
      <c r="F500" s="6">
        <f t="shared" ref="F500:AB500" si="885">$C499*F499</f>
        <v>0</v>
      </c>
      <c r="G500" s="6">
        <f t="shared" si="885"/>
        <v>0</v>
      </c>
      <c r="H500" s="6">
        <f t="shared" si="885"/>
        <v>823.09062500000005</v>
      </c>
      <c r="I500" s="6">
        <f t="shared" si="885"/>
        <v>0</v>
      </c>
      <c r="J500" s="6">
        <f t="shared" si="885"/>
        <v>0</v>
      </c>
      <c r="K500" s="6">
        <f t="shared" si="885"/>
        <v>0</v>
      </c>
      <c r="L500" s="6">
        <f t="shared" si="885"/>
        <v>0</v>
      </c>
      <c r="M500" s="6">
        <f t="shared" si="885"/>
        <v>0</v>
      </c>
      <c r="N500" s="6">
        <f t="shared" si="885"/>
        <v>0</v>
      </c>
      <c r="O500" s="6">
        <f t="shared" si="885"/>
        <v>0</v>
      </c>
      <c r="P500" s="6">
        <f t="shared" si="885"/>
        <v>0</v>
      </c>
      <c r="Q500" s="6">
        <f t="shared" si="885"/>
        <v>6532.0472</v>
      </c>
      <c r="R500" s="6">
        <f t="shared" si="885"/>
        <v>0</v>
      </c>
      <c r="S500" s="6">
        <f t="shared" si="885"/>
        <v>572.87107499999991</v>
      </c>
      <c r="T500" s="6">
        <f t="shared" si="885"/>
        <v>0</v>
      </c>
      <c r="U500" s="6">
        <f t="shared" si="885"/>
        <v>0</v>
      </c>
      <c r="V500" s="6">
        <f t="shared" si="885"/>
        <v>730.90447500000005</v>
      </c>
      <c r="W500" s="6">
        <f t="shared" si="885"/>
        <v>0</v>
      </c>
      <c r="X500" s="6">
        <f t="shared" si="885"/>
        <v>55133.902425</v>
      </c>
      <c r="Y500" s="6">
        <f t="shared" si="885"/>
        <v>2054.4341999999997</v>
      </c>
      <c r="Z500" s="6">
        <f t="shared" si="885"/>
        <v>0</v>
      </c>
      <c r="AA500" s="6">
        <f t="shared" si="885"/>
        <v>0</v>
      </c>
      <c r="AB500" s="6">
        <f t="shared" si="885"/>
        <v>0</v>
      </c>
      <c r="AC500" s="67"/>
      <c r="AD500" s="55"/>
    </row>
    <row r="501" spans="1:30" s="52" customFormat="1">
      <c r="A501" s="96" t="s">
        <v>104</v>
      </c>
      <c r="B501" s="193">
        <v>1801074</v>
      </c>
      <c r="C501" s="211">
        <f t="shared" si="825"/>
        <v>150089.5</v>
      </c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>
        <v>0.29010000000000002</v>
      </c>
      <c r="R501" s="40"/>
      <c r="S501" s="40">
        <v>2.7400000000000001E-2</v>
      </c>
      <c r="T501" s="40"/>
      <c r="U501" s="40"/>
      <c r="V501" s="40"/>
      <c r="W501" s="40"/>
      <c r="X501" s="40">
        <v>0.64849999999999997</v>
      </c>
      <c r="Y501" s="40">
        <v>2.53E-2</v>
      </c>
      <c r="Z501" s="40">
        <v>8.6999999999999994E-3</v>
      </c>
      <c r="AA501" s="40">
        <v>0</v>
      </c>
      <c r="AB501" s="40">
        <v>0</v>
      </c>
      <c r="AC501" s="67"/>
      <c r="AD501" s="55"/>
    </row>
    <row r="502" spans="1:30" s="52" customFormat="1">
      <c r="A502" s="97"/>
      <c r="B502" s="74"/>
      <c r="C502" s="211"/>
      <c r="D502" s="39">
        <f t="shared" ref="D502" si="886">$C501*D501</f>
        <v>0</v>
      </c>
      <c r="E502" s="39">
        <f t="shared" ref="E502" si="887">$C501*E501</f>
        <v>0</v>
      </c>
      <c r="F502" s="39">
        <f t="shared" ref="F502:AB502" si="888">$C501*F501</f>
        <v>0</v>
      </c>
      <c r="G502" s="39">
        <f t="shared" si="888"/>
        <v>0</v>
      </c>
      <c r="H502" s="39">
        <f t="shared" si="888"/>
        <v>0</v>
      </c>
      <c r="I502" s="39">
        <f t="shared" si="888"/>
        <v>0</v>
      </c>
      <c r="J502" s="39">
        <f t="shared" si="888"/>
        <v>0</v>
      </c>
      <c r="K502" s="39">
        <f t="shared" si="888"/>
        <v>0</v>
      </c>
      <c r="L502" s="39">
        <f t="shared" si="888"/>
        <v>0</v>
      </c>
      <c r="M502" s="39">
        <f t="shared" si="888"/>
        <v>0</v>
      </c>
      <c r="N502" s="39">
        <f t="shared" si="888"/>
        <v>0</v>
      </c>
      <c r="O502" s="39">
        <f t="shared" si="888"/>
        <v>0</v>
      </c>
      <c r="P502" s="39">
        <f t="shared" si="888"/>
        <v>0</v>
      </c>
      <c r="Q502" s="39">
        <f t="shared" si="888"/>
        <v>43540.963950000005</v>
      </c>
      <c r="R502" s="39">
        <f t="shared" si="888"/>
        <v>0</v>
      </c>
      <c r="S502" s="39">
        <f t="shared" si="888"/>
        <v>4112.4522999999999</v>
      </c>
      <c r="T502" s="39">
        <f t="shared" si="888"/>
        <v>0</v>
      </c>
      <c r="U502" s="39">
        <f t="shared" si="888"/>
        <v>0</v>
      </c>
      <c r="V502" s="39">
        <f t="shared" si="888"/>
        <v>0</v>
      </c>
      <c r="W502" s="39">
        <f t="shared" si="888"/>
        <v>0</v>
      </c>
      <c r="X502" s="39">
        <f t="shared" si="888"/>
        <v>97333.04075</v>
      </c>
      <c r="Y502" s="39">
        <f t="shared" si="888"/>
        <v>3797.2643499999999</v>
      </c>
      <c r="Z502" s="39">
        <f t="shared" si="888"/>
        <v>1305.77865</v>
      </c>
      <c r="AA502" s="39">
        <f t="shared" si="888"/>
        <v>0</v>
      </c>
      <c r="AB502" s="39">
        <f t="shared" si="888"/>
        <v>0</v>
      </c>
      <c r="AC502" s="67"/>
      <c r="AD502" s="55"/>
    </row>
    <row r="503" spans="1:30" s="52" customFormat="1">
      <c r="A503" s="96" t="s">
        <v>105</v>
      </c>
      <c r="B503" s="193">
        <v>1872775</v>
      </c>
      <c r="C503" s="211">
        <f t="shared" si="825"/>
        <v>156064.57999999999</v>
      </c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>
        <v>0.2918</v>
      </c>
      <c r="R503" s="40"/>
      <c r="S503" s="40">
        <v>2.7400000000000001E-2</v>
      </c>
      <c r="T503" s="40"/>
      <c r="U503" s="40"/>
      <c r="V503" s="40"/>
      <c r="W503" s="40"/>
      <c r="X503" s="40">
        <v>0.64680000000000004</v>
      </c>
      <c r="Y503" s="40">
        <v>2.53E-2</v>
      </c>
      <c r="Z503" s="40">
        <v>8.6999999999999994E-3</v>
      </c>
      <c r="AA503" s="40">
        <v>0</v>
      </c>
      <c r="AB503" s="40">
        <v>0</v>
      </c>
      <c r="AC503" s="67"/>
      <c r="AD503" s="55"/>
    </row>
    <row r="504" spans="1:30" s="52" customFormat="1">
      <c r="A504" s="97"/>
      <c r="B504" s="74"/>
      <c r="C504" s="211"/>
      <c r="D504" s="39">
        <f t="shared" ref="D504" si="889">$C503*D503</f>
        <v>0</v>
      </c>
      <c r="E504" s="39">
        <f t="shared" ref="E504" si="890">$C503*E503</f>
        <v>0</v>
      </c>
      <c r="F504" s="39">
        <f t="shared" ref="F504:AB504" si="891">$C503*F503</f>
        <v>0</v>
      </c>
      <c r="G504" s="39">
        <f t="shared" si="891"/>
        <v>0</v>
      </c>
      <c r="H504" s="39">
        <f t="shared" si="891"/>
        <v>0</v>
      </c>
      <c r="I504" s="39">
        <f t="shared" si="891"/>
        <v>0</v>
      </c>
      <c r="J504" s="39">
        <f t="shared" si="891"/>
        <v>0</v>
      </c>
      <c r="K504" s="39">
        <f t="shared" si="891"/>
        <v>0</v>
      </c>
      <c r="L504" s="39">
        <f t="shared" si="891"/>
        <v>0</v>
      </c>
      <c r="M504" s="39">
        <f t="shared" si="891"/>
        <v>0</v>
      </c>
      <c r="N504" s="39">
        <f t="shared" si="891"/>
        <v>0</v>
      </c>
      <c r="O504" s="39">
        <f t="shared" si="891"/>
        <v>0</v>
      </c>
      <c r="P504" s="39">
        <f t="shared" si="891"/>
        <v>0</v>
      </c>
      <c r="Q504" s="39">
        <f t="shared" si="891"/>
        <v>45539.644443999998</v>
      </c>
      <c r="R504" s="39">
        <f t="shared" si="891"/>
        <v>0</v>
      </c>
      <c r="S504" s="39">
        <f t="shared" si="891"/>
        <v>4276.169492</v>
      </c>
      <c r="T504" s="39">
        <f t="shared" si="891"/>
        <v>0</v>
      </c>
      <c r="U504" s="39">
        <f t="shared" si="891"/>
        <v>0</v>
      </c>
      <c r="V504" s="39">
        <f t="shared" si="891"/>
        <v>0</v>
      </c>
      <c r="W504" s="39">
        <f t="shared" si="891"/>
        <v>0</v>
      </c>
      <c r="X504" s="39">
        <f t="shared" si="891"/>
        <v>100942.57034399999</v>
      </c>
      <c r="Y504" s="39">
        <f t="shared" si="891"/>
        <v>3948.4338739999998</v>
      </c>
      <c r="Z504" s="39">
        <f t="shared" si="891"/>
        <v>1357.7618459999999</v>
      </c>
      <c r="AA504" s="39">
        <f t="shared" si="891"/>
        <v>0</v>
      </c>
      <c r="AB504" s="39">
        <f t="shared" si="891"/>
        <v>0</v>
      </c>
      <c r="AC504" s="67"/>
      <c r="AD504" s="55"/>
    </row>
    <row r="505" spans="1:30" s="52" customFormat="1">
      <c r="A505" s="96" t="s">
        <v>106</v>
      </c>
      <c r="B505" s="180">
        <f>541020/2</f>
        <v>270510</v>
      </c>
      <c r="C505" s="211">
        <f t="shared" si="825"/>
        <v>22542.5</v>
      </c>
      <c r="D505" s="170">
        <v>1.6500000000000001E-2</v>
      </c>
      <c r="E505" s="170">
        <v>0.1368</v>
      </c>
      <c r="F505" s="170">
        <v>5.7599999999999998E-2</v>
      </c>
      <c r="G505" s="170">
        <v>8.0399999999999999E-2</v>
      </c>
      <c r="H505" s="170">
        <v>4.1099999999999998E-2</v>
      </c>
      <c r="I505" s="170">
        <v>0.13389999999999999</v>
      </c>
      <c r="J505" s="170">
        <v>2.12E-2</v>
      </c>
      <c r="K505" s="170">
        <v>3.2500000000000001E-2</v>
      </c>
      <c r="L505" s="170">
        <v>1.7100000000000001E-2</v>
      </c>
      <c r="M505" s="170">
        <v>2.5999999999999999E-2</v>
      </c>
      <c r="N505" s="170">
        <v>0.13320000000000001</v>
      </c>
      <c r="O505" s="170">
        <v>1.89E-2</v>
      </c>
      <c r="P505" s="170">
        <v>0</v>
      </c>
      <c r="Q505" s="170">
        <v>3.8600000000000002E-2</v>
      </c>
      <c r="R505" s="170">
        <v>1.9E-2</v>
      </c>
      <c r="S505" s="170">
        <v>4.1999999999999997E-3</v>
      </c>
      <c r="T505" s="170">
        <v>5.3999999999999999E-2</v>
      </c>
      <c r="U505" s="170">
        <v>1.78E-2</v>
      </c>
      <c r="V505" s="170">
        <v>3.6700000000000003E-2</v>
      </c>
      <c r="W505" s="170">
        <v>4.7199999999999999E-2</v>
      </c>
      <c r="X505" s="170">
        <v>6.3899999999999998E-2</v>
      </c>
      <c r="Y505" s="170">
        <v>2.5999999999999999E-3</v>
      </c>
      <c r="Z505" s="171">
        <v>0</v>
      </c>
      <c r="AA505" s="171">
        <v>8.0000000000000004E-4</v>
      </c>
      <c r="AB505" s="171">
        <v>0</v>
      </c>
      <c r="AC505" s="67"/>
      <c r="AD505" s="55"/>
    </row>
    <row r="506" spans="1:30" s="52" customFormat="1">
      <c r="A506" s="97"/>
      <c r="B506" s="30"/>
      <c r="C506" s="211"/>
      <c r="D506" s="6">
        <f t="shared" ref="D506" si="892">$C505*D505</f>
        <v>371.95125000000002</v>
      </c>
      <c r="E506" s="6">
        <f t="shared" ref="E506" si="893">$C505*E505</f>
        <v>3083.8140000000003</v>
      </c>
      <c r="F506" s="6">
        <f t="shared" ref="F506:O506" si="894">$C505*F505</f>
        <v>1298.4479999999999</v>
      </c>
      <c r="G506" s="6">
        <f t="shared" si="894"/>
        <v>1812.4169999999999</v>
      </c>
      <c r="H506" s="6">
        <f t="shared" si="894"/>
        <v>926.49674999999991</v>
      </c>
      <c r="I506" s="6">
        <f t="shared" si="894"/>
        <v>3018.4407499999998</v>
      </c>
      <c r="J506" s="6">
        <f t="shared" si="894"/>
        <v>477.90100000000001</v>
      </c>
      <c r="K506" s="6">
        <f t="shared" si="894"/>
        <v>732.63125000000002</v>
      </c>
      <c r="L506" s="6">
        <f t="shared" si="894"/>
        <v>385.47675000000004</v>
      </c>
      <c r="M506" s="6">
        <f t="shared" si="894"/>
        <v>586.10500000000002</v>
      </c>
      <c r="N506" s="6">
        <f t="shared" si="894"/>
        <v>3002.6610000000005</v>
      </c>
      <c r="O506" s="6">
        <f t="shared" si="894"/>
        <v>426.05324999999999</v>
      </c>
      <c r="P506" s="6">
        <f t="shared" ref="P506" si="895">$C505*P505</f>
        <v>0</v>
      </c>
      <c r="Q506" s="6">
        <f t="shared" ref="Q506" si="896">$C505*Q505</f>
        <v>870.14050000000009</v>
      </c>
      <c r="R506" s="6">
        <f t="shared" ref="R506:AB506" si="897">$C505*R505</f>
        <v>428.3075</v>
      </c>
      <c r="S506" s="6">
        <f t="shared" si="897"/>
        <v>94.6785</v>
      </c>
      <c r="T506" s="6">
        <f t="shared" si="897"/>
        <v>1217.2950000000001</v>
      </c>
      <c r="U506" s="6">
        <f t="shared" si="897"/>
        <v>401.25650000000002</v>
      </c>
      <c r="V506" s="6">
        <f t="shared" si="897"/>
        <v>827.30975000000012</v>
      </c>
      <c r="W506" s="6">
        <f t="shared" si="897"/>
        <v>1064.0060000000001</v>
      </c>
      <c r="X506" s="6">
        <f t="shared" si="897"/>
        <v>1440.4657500000001</v>
      </c>
      <c r="Y506" s="6">
        <f t="shared" si="897"/>
        <v>58.610499999999995</v>
      </c>
      <c r="Z506" s="6">
        <f t="shared" si="897"/>
        <v>0</v>
      </c>
      <c r="AA506" s="6">
        <f t="shared" si="897"/>
        <v>18.034000000000002</v>
      </c>
      <c r="AB506" s="6">
        <f t="shared" si="897"/>
        <v>0</v>
      </c>
      <c r="AC506" s="67"/>
      <c r="AD506" s="55"/>
    </row>
    <row r="507" spans="1:30" s="52" customFormat="1">
      <c r="A507" s="96" t="s">
        <v>437</v>
      </c>
      <c r="B507" s="180">
        <f>541020/2</f>
        <v>270510</v>
      </c>
      <c r="C507" s="211">
        <f t="shared" si="825"/>
        <v>22542.5</v>
      </c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171">
        <v>0.37169999999999997</v>
      </c>
      <c r="R507" s="5"/>
      <c r="S507" s="171">
        <v>4.2500000000000003E-2</v>
      </c>
      <c r="T507" s="5"/>
      <c r="U507" s="5"/>
      <c r="V507" s="5"/>
      <c r="W507" s="5"/>
      <c r="X507" s="171">
        <v>0.56310000000000004</v>
      </c>
      <c r="Y507" s="171">
        <v>2.2700000000000001E-2</v>
      </c>
      <c r="Z507" s="5"/>
      <c r="AA507" s="5"/>
      <c r="AB507" s="5"/>
      <c r="AC507" s="67"/>
      <c r="AD507" s="55"/>
    </row>
    <row r="508" spans="1:30" s="52" customFormat="1">
      <c r="A508" s="97"/>
      <c r="B508" s="12"/>
      <c r="C508" s="211"/>
      <c r="D508" s="6">
        <f t="shared" ref="D508" si="898">$C507*D507</f>
        <v>0</v>
      </c>
      <c r="E508" s="6">
        <f t="shared" ref="E508" si="899">$C507*E507</f>
        <v>0</v>
      </c>
      <c r="F508" s="6">
        <f t="shared" ref="F508:O508" si="900">$C507*F507</f>
        <v>0</v>
      </c>
      <c r="G508" s="6">
        <f t="shared" si="900"/>
        <v>0</v>
      </c>
      <c r="H508" s="6">
        <f t="shared" si="900"/>
        <v>0</v>
      </c>
      <c r="I508" s="6">
        <f t="shared" si="900"/>
        <v>0</v>
      </c>
      <c r="J508" s="6">
        <f t="shared" si="900"/>
        <v>0</v>
      </c>
      <c r="K508" s="6">
        <f t="shared" si="900"/>
        <v>0</v>
      </c>
      <c r="L508" s="6">
        <f t="shared" si="900"/>
        <v>0</v>
      </c>
      <c r="M508" s="6">
        <f t="shared" si="900"/>
        <v>0</v>
      </c>
      <c r="N508" s="6">
        <f t="shared" si="900"/>
        <v>0</v>
      </c>
      <c r="O508" s="6">
        <f t="shared" si="900"/>
        <v>0</v>
      </c>
      <c r="P508" s="6">
        <f t="shared" ref="P508" si="901">$C507*P507</f>
        <v>0</v>
      </c>
      <c r="Q508" s="6">
        <f t="shared" ref="Q508" si="902">$C507*Q507</f>
        <v>8379.0472499999996</v>
      </c>
      <c r="R508" s="6">
        <f t="shared" ref="R508:AB508" si="903">$C507*R507</f>
        <v>0</v>
      </c>
      <c r="S508" s="6">
        <f t="shared" si="903"/>
        <v>958.05625000000009</v>
      </c>
      <c r="T508" s="6">
        <f t="shared" si="903"/>
        <v>0</v>
      </c>
      <c r="U508" s="6">
        <f t="shared" si="903"/>
        <v>0</v>
      </c>
      <c r="V508" s="6">
        <f t="shared" si="903"/>
        <v>0</v>
      </c>
      <c r="W508" s="6">
        <f t="shared" si="903"/>
        <v>0</v>
      </c>
      <c r="X508" s="6">
        <f t="shared" si="903"/>
        <v>12693.681750000002</v>
      </c>
      <c r="Y508" s="6">
        <f t="shared" si="903"/>
        <v>511.71475000000004</v>
      </c>
      <c r="Z508" s="6">
        <f t="shared" si="903"/>
        <v>0</v>
      </c>
      <c r="AA508" s="6">
        <f t="shared" si="903"/>
        <v>0</v>
      </c>
      <c r="AB508" s="6">
        <f t="shared" si="903"/>
        <v>0</v>
      </c>
      <c r="AC508" s="67"/>
      <c r="AD508" s="55"/>
    </row>
    <row r="509" spans="1:30" s="52" customFormat="1">
      <c r="A509" s="96" t="s">
        <v>107</v>
      </c>
      <c r="B509" s="180">
        <f>1441404/2</f>
        <v>720702</v>
      </c>
      <c r="C509" s="211">
        <f t="shared" si="825"/>
        <v>60058.5</v>
      </c>
      <c r="D509" s="170">
        <v>1.6500000000000001E-2</v>
      </c>
      <c r="E509" s="170">
        <v>0.1368</v>
      </c>
      <c r="F509" s="170">
        <v>5.7599999999999998E-2</v>
      </c>
      <c r="G509" s="170">
        <v>8.0399999999999999E-2</v>
      </c>
      <c r="H509" s="170">
        <v>4.1099999999999998E-2</v>
      </c>
      <c r="I509" s="170">
        <v>0.13389999999999999</v>
      </c>
      <c r="J509" s="170">
        <v>2.12E-2</v>
      </c>
      <c r="K509" s="170">
        <v>3.2500000000000001E-2</v>
      </c>
      <c r="L509" s="170">
        <v>1.7100000000000001E-2</v>
      </c>
      <c r="M509" s="170">
        <v>2.5999999999999999E-2</v>
      </c>
      <c r="N509" s="170">
        <v>0.13320000000000001</v>
      </c>
      <c r="O509" s="170">
        <v>1.89E-2</v>
      </c>
      <c r="P509" s="170">
        <v>0</v>
      </c>
      <c r="Q509" s="170">
        <v>3.8600000000000002E-2</v>
      </c>
      <c r="R509" s="170">
        <v>1.9E-2</v>
      </c>
      <c r="S509" s="170">
        <v>4.1999999999999997E-3</v>
      </c>
      <c r="T509" s="170">
        <v>5.3999999999999999E-2</v>
      </c>
      <c r="U509" s="170">
        <v>1.78E-2</v>
      </c>
      <c r="V509" s="170">
        <v>3.6700000000000003E-2</v>
      </c>
      <c r="W509" s="170">
        <v>4.7199999999999999E-2</v>
      </c>
      <c r="X509" s="170">
        <v>6.3899999999999998E-2</v>
      </c>
      <c r="Y509" s="170">
        <v>2.5999999999999999E-3</v>
      </c>
      <c r="Z509" s="171">
        <v>0</v>
      </c>
      <c r="AA509" s="171">
        <v>8.0000000000000004E-4</v>
      </c>
      <c r="AB509" s="171">
        <v>0</v>
      </c>
      <c r="AC509" s="67"/>
      <c r="AD509" s="55"/>
    </row>
    <row r="510" spans="1:30" s="52" customFormat="1">
      <c r="A510" s="97"/>
      <c r="B510" s="30"/>
      <c r="C510" s="211"/>
      <c r="D510" s="6">
        <f t="shared" ref="D510" si="904">$C509*D509</f>
        <v>990.96525000000008</v>
      </c>
      <c r="E510" s="6">
        <f t="shared" ref="E510" si="905">$C509*E509</f>
        <v>8216.0028000000002</v>
      </c>
      <c r="F510" s="6">
        <f t="shared" ref="F510:O510" si="906">$C509*F509</f>
        <v>3459.3696</v>
      </c>
      <c r="G510" s="6">
        <f t="shared" si="906"/>
        <v>4828.7034000000003</v>
      </c>
      <c r="H510" s="6">
        <f t="shared" si="906"/>
        <v>2468.4043499999998</v>
      </c>
      <c r="I510" s="6">
        <f t="shared" si="906"/>
        <v>8041.8331499999995</v>
      </c>
      <c r="J510" s="6">
        <f t="shared" si="906"/>
        <v>1273.2402</v>
      </c>
      <c r="K510" s="6">
        <f t="shared" si="906"/>
        <v>1951.9012500000001</v>
      </c>
      <c r="L510" s="6">
        <f t="shared" si="906"/>
        <v>1027.00035</v>
      </c>
      <c r="M510" s="6">
        <f t="shared" si="906"/>
        <v>1561.521</v>
      </c>
      <c r="N510" s="6">
        <f t="shared" si="906"/>
        <v>7999.7922000000008</v>
      </c>
      <c r="O510" s="6">
        <f t="shared" si="906"/>
        <v>1135.10565</v>
      </c>
      <c r="P510" s="6">
        <f t="shared" ref="P510" si="907">$C509*P509</f>
        <v>0</v>
      </c>
      <c r="Q510" s="6">
        <f t="shared" ref="Q510" si="908">$C509*Q509</f>
        <v>2318.2581</v>
      </c>
      <c r="R510" s="6">
        <f t="shared" ref="R510:AB510" si="909">$C509*R509</f>
        <v>1141.1115</v>
      </c>
      <c r="S510" s="6">
        <f t="shared" si="909"/>
        <v>252.24569999999997</v>
      </c>
      <c r="T510" s="6">
        <f t="shared" si="909"/>
        <v>3243.1590000000001</v>
      </c>
      <c r="U510" s="6">
        <f t="shared" si="909"/>
        <v>1069.0413000000001</v>
      </c>
      <c r="V510" s="6">
        <f t="shared" si="909"/>
        <v>2204.1469500000003</v>
      </c>
      <c r="W510" s="6">
        <f t="shared" si="909"/>
        <v>2834.7611999999999</v>
      </c>
      <c r="X510" s="6">
        <f t="shared" si="909"/>
        <v>3837.7381500000001</v>
      </c>
      <c r="Y510" s="6">
        <f t="shared" si="909"/>
        <v>156.15209999999999</v>
      </c>
      <c r="Z510" s="6">
        <f t="shared" si="909"/>
        <v>0</v>
      </c>
      <c r="AA510" s="6">
        <f t="shared" si="909"/>
        <v>48.046800000000005</v>
      </c>
      <c r="AB510" s="6">
        <f t="shared" si="909"/>
        <v>0</v>
      </c>
      <c r="AC510" s="67"/>
      <c r="AD510" s="55"/>
    </row>
    <row r="511" spans="1:30" s="52" customFormat="1">
      <c r="A511" s="96" t="s">
        <v>438</v>
      </c>
      <c r="B511" s="180">
        <f>1441404/2</f>
        <v>720702</v>
      </c>
      <c r="C511" s="211">
        <f t="shared" si="825"/>
        <v>60058.5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171">
        <v>0.96120000000000005</v>
      </c>
      <c r="Y511" s="171">
        <v>3.8800000000000001E-2</v>
      </c>
      <c r="Z511" s="5"/>
      <c r="AA511" s="5"/>
      <c r="AB511" s="5"/>
      <c r="AC511" s="67"/>
      <c r="AD511" s="55"/>
    </row>
    <row r="512" spans="1:30" s="52" customFormat="1">
      <c r="A512" s="97"/>
      <c r="B512" s="12"/>
      <c r="C512" s="211"/>
      <c r="D512" s="6">
        <f t="shared" ref="D512" si="910">$C511*D511</f>
        <v>0</v>
      </c>
      <c r="E512" s="6">
        <f t="shared" ref="E512" si="911">$C511*E511</f>
        <v>0</v>
      </c>
      <c r="F512" s="6">
        <f t="shared" ref="F512:O512" si="912">$C511*F511</f>
        <v>0</v>
      </c>
      <c r="G512" s="6">
        <f t="shared" si="912"/>
        <v>0</v>
      </c>
      <c r="H512" s="6">
        <f t="shared" si="912"/>
        <v>0</v>
      </c>
      <c r="I512" s="6">
        <f t="shared" si="912"/>
        <v>0</v>
      </c>
      <c r="J512" s="6">
        <f t="shared" si="912"/>
        <v>0</v>
      </c>
      <c r="K512" s="6">
        <f t="shared" si="912"/>
        <v>0</v>
      </c>
      <c r="L512" s="6">
        <f t="shared" si="912"/>
        <v>0</v>
      </c>
      <c r="M512" s="6">
        <f t="shared" si="912"/>
        <v>0</v>
      </c>
      <c r="N512" s="6">
        <f t="shared" si="912"/>
        <v>0</v>
      </c>
      <c r="O512" s="6">
        <f t="shared" si="912"/>
        <v>0</v>
      </c>
      <c r="P512" s="6">
        <f t="shared" ref="P512" si="913">$C511*P511</f>
        <v>0</v>
      </c>
      <c r="Q512" s="6">
        <f t="shared" ref="Q512" si="914">$C511*Q511</f>
        <v>0</v>
      </c>
      <c r="R512" s="6">
        <f t="shared" ref="R512:AB512" si="915">$C511*R511</f>
        <v>0</v>
      </c>
      <c r="S512" s="6">
        <f t="shared" si="915"/>
        <v>0</v>
      </c>
      <c r="T512" s="6">
        <f t="shared" si="915"/>
        <v>0</v>
      </c>
      <c r="U512" s="6">
        <f t="shared" si="915"/>
        <v>0</v>
      </c>
      <c r="V512" s="6">
        <f t="shared" si="915"/>
        <v>0</v>
      </c>
      <c r="W512" s="6">
        <f t="shared" si="915"/>
        <v>0</v>
      </c>
      <c r="X512" s="6">
        <f t="shared" si="915"/>
        <v>57728.230200000005</v>
      </c>
      <c r="Y512" s="6">
        <f t="shared" si="915"/>
        <v>2330.2698</v>
      </c>
      <c r="Z512" s="6">
        <f t="shared" si="915"/>
        <v>0</v>
      </c>
      <c r="AA512" s="6">
        <f t="shared" si="915"/>
        <v>0</v>
      </c>
      <c r="AB512" s="6">
        <f t="shared" si="915"/>
        <v>0</v>
      </c>
      <c r="AC512" s="67"/>
      <c r="AD512" s="55"/>
    </row>
    <row r="513" spans="1:30" s="52" customFormat="1">
      <c r="A513" s="96" t="s">
        <v>108</v>
      </c>
      <c r="B513" s="180">
        <f>6881142/2</f>
        <v>3440571</v>
      </c>
      <c r="C513" s="211">
        <f t="shared" si="825"/>
        <v>286714.25</v>
      </c>
      <c r="D513" s="170">
        <v>1.6500000000000001E-2</v>
      </c>
      <c r="E513" s="170">
        <v>0.1368</v>
      </c>
      <c r="F513" s="170">
        <v>5.7599999999999998E-2</v>
      </c>
      <c r="G513" s="170">
        <v>8.0399999999999999E-2</v>
      </c>
      <c r="H513" s="170">
        <v>4.1099999999999998E-2</v>
      </c>
      <c r="I513" s="170">
        <v>0.13389999999999999</v>
      </c>
      <c r="J513" s="170">
        <v>2.12E-2</v>
      </c>
      <c r="K513" s="170">
        <v>3.2500000000000001E-2</v>
      </c>
      <c r="L513" s="170">
        <v>1.7100000000000001E-2</v>
      </c>
      <c r="M513" s="170">
        <v>2.5999999999999999E-2</v>
      </c>
      <c r="N513" s="170">
        <v>0.13320000000000001</v>
      </c>
      <c r="O513" s="170">
        <v>1.89E-2</v>
      </c>
      <c r="P513" s="170">
        <v>0</v>
      </c>
      <c r="Q513" s="170">
        <v>3.8600000000000002E-2</v>
      </c>
      <c r="R513" s="170">
        <v>1.9E-2</v>
      </c>
      <c r="S513" s="170">
        <v>4.1999999999999997E-3</v>
      </c>
      <c r="T513" s="170">
        <v>5.3999999999999999E-2</v>
      </c>
      <c r="U513" s="170">
        <v>1.78E-2</v>
      </c>
      <c r="V513" s="170">
        <v>3.6700000000000003E-2</v>
      </c>
      <c r="W513" s="170">
        <v>4.7199999999999999E-2</v>
      </c>
      <c r="X513" s="170">
        <v>6.3899999999999998E-2</v>
      </c>
      <c r="Y513" s="170">
        <v>2.5999999999999999E-3</v>
      </c>
      <c r="Z513" s="171">
        <v>0</v>
      </c>
      <c r="AA513" s="171">
        <v>8.0000000000000004E-4</v>
      </c>
      <c r="AB513" s="171">
        <v>0</v>
      </c>
      <c r="AC513" s="67"/>
      <c r="AD513" s="55"/>
    </row>
    <row r="514" spans="1:30" s="52" customFormat="1">
      <c r="A514" s="97"/>
      <c r="B514" s="30"/>
      <c r="C514" s="211"/>
      <c r="D514" s="6">
        <f t="shared" ref="D514" si="916">$C513*D513</f>
        <v>4730.7851250000003</v>
      </c>
      <c r="E514" s="6">
        <f t="shared" ref="E514" si="917">$C513*E513</f>
        <v>39222.509400000003</v>
      </c>
      <c r="F514" s="6">
        <f t="shared" ref="F514:O514" si="918">$C513*F513</f>
        <v>16514.7408</v>
      </c>
      <c r="G514" s="6">
        <f t="shared" si="918"/>
        <v>23051.825700000001</v>
      </c>
      <c r="H514" s="6">
        <f t="shared" si="918"/>
        <v>11783.955674999999</v>
      </c>
      <c r="I514" s="6">
        <f t="shared" si="918"/>
        <v>38391.038074999997</v>
      </c>
      <c r="J514" s="6">
        <f t="shared" si="918"/>
        <v>6078.3420999999998</v>
      </c>
      <c r="K514" s="6">
        <f t="shared" si="918"/>
        <v>9318.2131250000002</v>
      </c>
      <c r="L514" s="6">
        <f t="shared" si="918"/>
        <v>4902.8136750000003</v>
      </c>
      <c r="M514" s="6">
        <f t="shared" si="918"/>
        <v>7454.5704999999998</v>
      </c>
      <c r="N514" s="6">
        <f t="shared" si="918"/>
        <v>38190.338100000001</v>
      </c>
      <c r="O514" s="6">
        <f t="shared" si="918"/>
        <v>5418.8993250000003</v>
      </c>
      <c r="P514" s="6">
        <f t="shared" ref="P514" si="919">$C513*P513</f>
        <v>0</v>
      </c>
      <c r="Q514" s="6">
        <f t="shared" ref="Q514" si="920">$C513*Q513</f>
        <v>11067.170050000001</v>
      </c>
      <c r="R514" s="6">
        <f t="shared" ref="R514:AB514" si="921">$C513*R513</f>
        <v>5447.5707499999999</v>
      </c>
      <c r="S514" s="6">
        <f t="shared" si="921"/>
        <v>1204.19985</v>
      </c>
      <c r="T514" s="6">
        <f t="shared" si="921"/>
        <v>15482.5695</v>
      </c>
      <c r="U514" s="6">
        <f t="shared" si="921"/>
        <v>5103.5136499999999</v>
      </c>
      <c r="V514" s="6">
        <f t="shared" si="921"/>
        <v>10522.412975000001</v>
      </c>
      <c r="W514" s="6">
        <f t="shared" si="921"/>
        <v>13532.9126</v>
      </c>
      <c r="X514" s="6">
        <f t="shared" si="921"/>
        <v>18321.040574999999</v>
      </c>
      <c r="Y514" s="6">
        <f t="shared" si="921"/>
        <v>745.45704999999998</v>
      </c>
      <c r="Z514" s="6">
        <f t="shared" si="921"/>
        <v>0</v>
      </c>
      <c r="AA514" s="6">
        <f t="shared" si="921"/>
        <v>229.37140000000002</v>
      </c>
      <c r="AB514" s="6">
        <f t="shared" si="921"/>
        <v>0</v>
      </c>
      <c r="AC514" s="67"/>
      <c r="AD514" s="55"/>
    </row>
    <row r="515" spans="1:30" s="52" customFormat="1">
      <c r="A515" s="96" t="s">
        <v>439</v>
      </c>
      <c r="B515" s="180">
        <f>6881142/2</f>
        <v>3440571</v>
      </c>
      <c r="C515" s="211">
        <f t="shared" si="825"/>
        <v>286714.25</v>
      </c>
      <c r="D515" s="171">
        <v>6.3399999999999998E-2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171">
        <v>0.28539999999999999</v>
      </c>
      <c r="R515" s="5"/>
      <c r="S515" s="171">
        <v>4.9599999999999998E-2</v>
      </c>
      <c r="T515" s="171">
        <v>0.104</v>
      </c>
      <c r="U515" s="5"/>
      <c r="V515" s="5"/>
      <c r="W515" s="5"/>
      <c r="X515" s="171">
        <v>0.4783</v>
      </c>
      <c r="Y515" s="171">
        <v>1.9300000000000001E-2</v>
      </c>
      <c r="Z515" s="5"/>
      <c r="AA515" s="5"/>
      <c r="AB515" s="5"/>
      <c r="AC515" s="67"/>
      <c r="AD515" s="55"/>
    </row>
    <row r="516" spans="1:30" s="52" customFormat="1">
      <c r="A516" s="97"/>
      <c r="B516" s="12"/>
      <c r="C516" s="211"/>
      <c r="D516" s="6">
        <f t="shared" ref="D516" si="922">$C515*D515</f>
        <v>18177.68345</v>
      </c>
      <c r="E516" s="6">
        <f t="shared" ref="E516" si="923">$C515*E515</f>
        <v>0</v>
      </c>
      <c r="F516" s="6">
        <f t="shared" ref="F516:O516" si="924">$C515*F515</f>
        <v>0</v>
      </c>
      <c r="G516" s="6">
        <f t="shared" si="924"/>
        <v>0</v>
      </c>
      <c r="H516" s="6">
        <f t="shared" si="924"/>
        <v>0</v>
      </c>
      <c r="I516" s="6">
        <f t="shared" si="924"/>
        <v>0</v>
      </c>
      <c r="J516" s="6">
        <f t="shared" si="924"/>
        <v>0</v>
      </c>
      <c r="K516" s="6">
        <f t="shared" si="924"/>
        <v>0</v>
      </c>
      <c r="L516" s="6">
        <f t="shared" si="924"/>
        <v>0</v>
      </c>
      <c r="M516" s="6">
        <f t="shared" si="924"/>
        <v>0</v>
      </c>
      <c r="N516" s="6">
        <f t="shared" si="924"/>
        <v>0</v>
      </c>
      <c r="O516" s="6">
        <f t="shared" si="924"/>
        <v>0</v>
      </c>
      <c r="P516" s="6">
        <f t="shared" ref="P516" si="925">$C515*P515</f>
        <v>0</v>
      </c>
      <c r="Q516" s="6">
        <f t="shared" ref="Q516" si="926">$C515*Q515</f>
        <v>81828.246950000001</v>
      </c>
      <c r="R516" s="6">
        <f t="shared" ref="R516:AB516" si="927">$C515*R515</f>
        <v>0</v>
      </c>
      <c r="S516" s="6">
        <f t="shared" si="927"/>
        <v>14221.0268</v>
      </c>
      <c r="T516" s="6">
        <f t="shared" si="927"/>
        <v>29818.281999999999</v>
      </c>
      <c r="U516" s="6">
        <f t="shared" si="927"/>
        <v>0</v>
      </c>
      <c r="V516" s="6">
        <f t="shared" si="927"/>
        <v>0</v>
      </c>
      <c r="W516" s="6">
        <f t="shared" si="927"/>
        <v>0</v>
      </c>
      <c r="X516" s="6">
        <f t="shared" si="927"/>
        <v>137135.42577500001</v>
      </c>
      <c r="Y516" s="6">
        <f t="shared" si="927"/>
        <v>5533.5850250000003</v>
      </c>
      <c r="Z516" s="6">
        <f t="shared" si="927"/>
        <v>0</v>
      </c>
      <c r="AA516" s="6">
        <f t="shared" si="927"/>
        <v>0</v>
      </c>
      <c r="AB516" s="6">
        <f t="shared" si="927"/>
        <v>0</v>
      </c>
      <c r="AC516" s="67"/>
      <c r="AD516" s="55"/>
    </row>
    <row r="517" spans="1:30" s="52" customFormat="1">
      <c r="A517" s="96" t="s">
        <v>109</v>
      </c>
      <c r="B517" s="193">
        <v>1289383</v>
      </c>
      <c r="C517" s="211">
        <f t="shared" si="825"/>
        <v>107448.58</v>
      </c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>
        <v>0.94410000000000005</v>
      </c>
      <c r="Y517" s="40">
        <v>3.5299999999999998E-2</v>
      </c>
      <c r="Z517" s="40">
        <v>2.06E-2</v>
      </c>
      <c r="AA517" s="40">
        <v>0</v>
      </c>
      <c r="AB517" s="40">
        <v>0</v>
      </c>
      <c r="AC517" s="67"/>
      <c r="AD517" s="55"/>
    </row>
    <row r="518" spans="1:30" s="52" customFormat="1">
      <c r="A518" s="97"/>
      <c r="B518" s="74"/>
      <c r="C518" s="211"/>
      <c r="D518" s="39">
        <f t="shared" ref="D518" si="928">$C517*D517</f>
        <v>0</v>
      </c>
      <c r="E518" s="39">
        <f t="shared" ref="E518" si="929">$C517*E517</f>
        <v>0</v>
      </c>
      <c r="F518" s="39">
        <f t="shared" ref="F518:AB518" si="930">$C517*F517</f>
        <v>0</v>
      </c>
      <c r="G518" s="39">
        <f t="shared" si="930"/>
        <v>0</v>
      </c>
      <c r="H518" s="39">
        <f t="shared" si="930"/>
        <v>0</v>
      </c>
      <c r="I518" s="39">
        <f t="shared" si="930"/>
        <v>0</v>
      </c>
      <c r="J518" s="39">
        <f t="shared" si="930"/>
        <v>0</v>
      </c>
      <c r="K518" s="39">
        <f t="shared" si="930"/>
        <v>0</v>
      </c>
      <c r="L518" s="39">
        <f t="shared" si="930"/>
        <v>0</v>
      </c>
      <c r="M518" s="39">
        <f t="shared" si="930"/>
        <v>0</v>
      </c>
      <c r="N518" s="39">
        <f t="shared" si="930"/>
        <v>0</v>
      </c>
      <c r="O518" s="39">
        <f t="shared" si="930"/>
        <v>0</v>
      </c>
      <c r="P518" s="39">
        <f t="shared" si="930"/>
        <v>0</v>
      </c>
      <c r="Q518" s="39">
        <f t="shared" si="930"/>
        <v>0</v>
      </c>
      <c r="R518" s="39">
        <f t="shared" si="930"/>
        <v>0</v>
      </c>
      <c r="S518" s="39">
        <f t="shared" si="930"/>
        <v>0</v>
      </c>
      <c r="T518" s="39">
        <f t="shared" si="930"/>
        <v>0</v>
      </c>
      <c r="U518" s="39">
        <f t="shared" si="930"/>
        <v>0</v>
      </c>
      <c r="V518" s="39">
        <f t="shared" si="930"/>
        <v>0</v>
      </c>
      <c r="W518" s="39">
        <f t="shared" si="930"/>
        <v>0</v>
      </c>
      <c r="X518" s="39">
        <f t="shared" si="930"/>
        <v>101442.20437800001</v>
      </c>
      <c r="Y518" s="39">
        <f t="shared" si="930"/>
        <v>3792.934874</v>
      </c>
      <c r="Z518" s="39">
        <f t="shared" si="930"/>
        <v>2213.440748</v>
      </c>
      <c r="AA518" s="39">
        <f t="shared" si="930"/>
        <v>0</v>
      </c>
      <c r="AB518" s="39">
        <f t="shared" si="930"/>
        <v>0</v>
      </c>
      <c r="AC518" s="67"/>
      <c r="AD518" s="55"/>
    </row>
    <row r="519" spans="1:30" s="52" customFormat="1">
      <c r="A519" s="96" t="s">
        <v>110</v>
      </c>
      <c r="B519" s="193">
        <v>1666598</v>
      </c>
      <c r="C519" s="211">
        <f t="shared" si="825"/>
        <v>138883.17000000001</v>
      </c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>
        <v>0.36349999999999999</v>
      </c>
      <c r="R519" s="5"/>
      <c r="S519" s="5">
        <v>0.188</v>
      </c>
      <c r="T519" s="5"/>
      <c r="U519" s="5"/>
      <c r="V519" s="5"/>
      <c r="W519" s="5"/>
      <c r="X519" s="5">
        <v>0.43240000000000001</v>
      </c>
      <c r="Y519" s="5">
        <v>1.61E-2</v>
      </c>
      <c r="Z519" s="5"/>
      <c r="AA519" s="5"/>
      <c r="AB519" s="5"/>
      <c r="AC519" s="67"/>
      <c r="AD519" s="55"/>
    </row>
    <row r="520" spans="1:30" s="52" customFormat="1">
      <c r="A520" s="97"/>
      <c r="B520" s="74"/>
      <c r="C520" s="211"/>
      <c r="D520" s="6">
        <f t="shared" ref="D520" si="931">$C519*D519</f>
        <v>0</v>
      </c>
      <c r="E520" s="6">
        <f t="shared" ref="E520" si="932">$C519*E519</f>
        <v>0</v>
      </c>
      <c r="F520" s="6">
        <f t="shared" ref="F520:AB520" si="933">$C519*F519</f>
        <v>0</v>
      </c>
      <c r="G520" s="6">
        <f t="shared" si="933"/>
        <v>0</v>
      </c>
      <c r="H520" s="6">
        <f t="shared" si="933"/>
        <v>0</v>
      </c>
      <c r="I520" s="6">
        <f t="shared" si="933"/>
        <v>0</v>
      </c>
      <c r="J520" s="6">
        <f t="shared" si="933"/>
        <v>0</v>
      </c>
      <c r="K520" s="6">
        <f t="shared" si="933"/>
        <v>0</v>
      </c>
      <c r="L520" s="6">
        <f t="shared" si="933"/>
        <v>0</v>
      </c>
      <c r="M520" s="6">
        <f t="shared" si="933"/>
        <v>0</v>
      </c>
      <c r="N520" s="6">
        <f t="shared" si="933"/>
        <v>0</v>
      </c>
      <c r="O520" s="6">
        <f t="shared" si="933"/>
        <v>0</v>
      </c>
      <c r="P520" s="6">
        <f t="shared" si="933"/>
        <v>0</v>
      </c>
      <c r="Q520" s="6">
        <f t="shared" si="933"/>
        <v>50484.032295000005</v>
      </c>
      <c r="R520" s="6">
        <f t="shared" si="933"/>
        <v>0</v>
      </c>
      <c r="S520" s="6">
        <f t="shared" si="933"/>
        <v>26110.035960000001</v>
      </c>
      <c r="T520" s="6">
        <f t="shared" si="933"/>
        <v>0</v>
      </c>
      <c r="U520" s="6">
        <f t="shared" si="933"/>
        <v>0</v>
      </c>
      <c r="V520" s="6">
        <f t="shared" si="933"/>
        <v>0</v>
      </c>
      <c r="W520" s="6">
        <f t="shared" si="933"/>
        <v>0</v>
      </c>
      <c r="X520" s="6">
        <f t="shared" si="933"/>
        <v>60053.082708000009</v>
      </c>
      <c r="Y520" s="6">
        <f t="shared" si="933"/>
        <v>2236.019037</v>
      </c>
      <c r="Z520" s="6">
        <f t="shared" si="933"/>
        <v>0</v>
      </c>
      <c r="AA520" s="6">
        <f t="shared" si="933"/>
        <v>0</v>
      </c>
      <c r="AB520" s="6">
        <f t="shared" si="933"/>
        <v>0</v>
      </c>
      <c r="AC520" s="67"/>
      <c r="AD520" s="55"/>
    </row>
    <row r="521" spans="1:30" s="52" customFormat="1">
      <c r="A521" s="96" t="s">
        <v>111</v>
      </c>
      <c r="B521" s="193">
        <v>575375</v>
      </c>
      <c r="C521" s="211">
        <f t="shared" si="825"/>
        <v>47947.92</v>
      </c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>
        <v>0.39410000000000001</v>
      </c>
      <c r="R521" s="5"/>
      <c r="S521" s="5">
        <v>0.20380000000000001</v>
      </c>
      <c r="T521" s="5"/>
      <c r="U521" s="5"/>
      <c r="V521" s="5"/>
      <c r="W521" s="5"/>
      <c r="X521" s="5">
        <v>0.3876</v>
      </c>
      <c r="Y521" s="5">
        <v>1.4500000000000001E-2</v>
      </c>
      <c r="Z521" s="5"/>
      <c r="AA521" s="5"/>
      <c r="AB521" s="5"/>
      <c r="AC521" s="67"/>
      <c r="AD521" s="55"/>
    </row>
    <row r="522" spans="1:30" s="52" customFormat="1">
      <c r="A522" s="97"/>
      <c r="B522" s="74"/>
      <c r="C522" s="211"/>
      <c r="D522" s="6">
        <f t="shared" ref="D522" si="934">$C521*D521</f>
        <v>0</v>
      </c>
      <c r="E522" s="6">
        <f t="shared" ref="E522" si="935">$C521*E521</f>
        <v>0</v>
      </c>
      <c r="F522" s="6">
        <f t="shared" ref="F522:AB522" si="936">$C521*F521</f>
        <v>0</v>
      </c>
      <c r="G522" s="6">
        <f t="shared" si="936"/>
        <v>0</v>
      </c>
      <c r="H522" s="6">
        <f t="shared" si="936"/>
        <v>0</v>
      </c>
      <c r="I522" s="6">
        <f t="shared" si="936"/>
        <v>0</v>
      </c>
      <c r="J522" s="6">
        <f t="shared" si="936"/>
        <v>0</v>
      </c>
      <c r="K522" s="6">
        <f t="shared" si="936"/>
        <v>0</v>
      </c>
      <c r="L522" s="6">
        <f t="shared" si="936"/>
        <v>0</v>
      </c>
      <c r="M522" s="6">
        <f t="shared" si="936"/>
        <v>0</v>
      </c>
      <c r="N522" s="6">
        <f t="shared" si="936"/>
        <v>0</v>
      </c>
      <c r="O522" s="6">
        <f t="shared" si="936"/>
        <v>0</v>
      </c>
      <c r="P522" s="6">
        <f t="shared" si="936"/>
        <v>0</v>
      </c>
      <c r="Q522" s="6">
        <f t="shared" si="936"/>
        <v>18896.275271999999</v>
      </c>
      <c r="R522" s="6">
        <f t="shared" si="936"/>
        <v>0</v>
      </c>
      <c r="S522" s="6">
        <f t="shared" si="936"/>
        <v>9771.7860959999998</v>
      </c>
      <c r="T522" s="6">
        <f t="shared" si="936"/>
        <v>0</v>
      </c>
      <c r="U522" s="6">
        <f t="shared" si="936"/>
        <v>0</v>
      </c>
      <c r="V522" s="6">
        <f t="shared" si="936"/>
        <v>0</v>
      </c>
      <c r="W522" s="6">
        <f t="shared" si="936"/>
        <v>0</v>
      </c>
      <c r="X522" s="6">
        <f t="shared" si="936"/>
        <v>18584.613792</v>
      </c>
      <c r="Y522" s="6">
        <f t="shared" si="936"/>
        <v>695.24483999999995</v>
      </c>
      <c r="Z522" s="6">
        <f t="shared" si="936"/>
        <v>0</v>
      </c>
      <c r="AA522" s="6">
        <f t="shared" si="936"/>
        <v>0</v>
      </c>
      <c r="AB522" s="6">
        <f t="shared" si="936"/>
        <v>0</v>
      </c>
      <c r="AC522" s="67"/>
      <c r="AD522" s="55"/>
    </row>
    <row r="523" spans="1:30" s="52" customFormat="1">
      <c r="A523" s="96" t="s">
        <v>112</v>
      </c>
      <c r="B523" s="193">
        <v>5637829</v>
      </c>
      <c r="C523" s="211">
        <f t="shared" si="825"/>
        <v>469819.08</v>
      </c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>
        <v>0.2349</v>
      </c>
      <c r="R523" s="5"/>
      <c r="S523" s="5">
        <v>1.61E-2</v>
      </c>
      <c r="T523" s="5"/>
      <c r="U523" s="5">
        <v>5.3699999999999998E-2</v>
      </c>
      <c r="V523" s="5"/>
      <c r="W523" s="5"/>
      <c r="X523" s="5">
        <v>0.67030000000000001</v>
      </c>
      <c r="Y523" s="5">
        <v>2.5000000000000001E-2</v>
      </c>
      <c r="Z523" s="5"/>
      <c r="AA523" s="5"/>
      <c r="AB523" s="5"/>
      <c r="AC523" s="67"/>
      <c r="AD523" s="55"/>
    </row>
    <row r="524" spans="1:30" s="52" customFormat="1">
      <c r="A524" s="97"/>
      <c r="B524" s="74"/>
      <c r="C524" s="211"/>
      <c r="D524" s="6">
        <f t="shared" ref="D524" si="937">$C523*D523</f>
        <v>0</v>
      </c>
      <c r="E524" s="6">
        <f t="shared" ref="E524" si="938">$C523*E523</f>
        <v>0</v>
      </c>
      <c r="F524" s="6">
        <f t="shared" ref="F524:AB524" si="939">$C523*F523</f>
        <v>0</v>
      </c>
      <c r="G524" s="6">
        <f t="shared" si="939"/>
        <v>0</v>
      </c>
      <c r="H524" s="6">
        <f t="shared" si="939"/>
        <v>0</v>
      </c>
      <c r="I524" s="6">
        <f t="shared" si="939"/>
        <v>0</v>
      </c>
      <c r="J524" s="6">
        <f t="shared" si="939"/>
        <v>0</v>
      </c>
      <c r="K524" s="6">
        <f t="shared" si="939"/>
        <v>0</v>
      </c>
      <c r="L524" s="6">
        <f t="shared" si="939"/>
        <v>0</v>
      </c>
      <c r="M524" s="6">
        <f t="shared" si="939"/>
        <v>0</v>
      </c>
      <c r="N524" s="6">
        <f t="shared" si="939"/>
        <v>0</v>
      </c>
      <c r="O524" s="6">
        <f t="shared" si="939"/>
        <v>0</v>
      </c>
      <c r="P524" s="6">
        <f t="shared" si="939"/>
        <v>0</v>
      </c>
      <c r="Q524" s="6">
        <f t="shared" si="939"/>
        <v>110360.501892</v>
      </c>
      <c r="R524" s="6">
        <f t="shared" si="939"/>
        <v>0</v>
      </c>
      <c r="S524" s="6">
        <f t="shared" si="939"/>
        <v>7564.0871880000004</v>
      </c>
      <c r="T524" s="6">
        <f t="shared" si="939"/>
        <v>0</v>
      </c>
      <c r="U524" s="6">
        <f t="shared" si="939"/>
        <v>25229.284596000001</v>
      </c>
      <c r="V524" s="6">
        <f t="shared" si="939"/>
        <v>0</v>
      </c>
      <c r="W524" s="6">
        <f t="shared" si="939"/>
        <v>0</v>
      </c>
      <c r="X524" s="6">
        <f t="shared" si="939"/>
        <v>314919.72932400001</v>
      </c>
      <c r="Y524" s="6">
        <f t="shared" si="939"/>
        <v>11745.477000000001</v>
      </c>
      <c r="Z524" s="6">
        <f t="shared" si="939"/>
        <v>0</v>
      </c>
      <c r="AA524" s="6">
        <f t="shared" si="939"/>
        <v>0</v>
      </c>
      <c r="AB524" s="6">
        <f t="shared" si="939"/>
        <v>0</v>
      </c>
      <c r="AC524" s="67"/>
      <c r="AD524" s="55"/>
    </row>
    <row r="525" spans="1:30" s="52" customFormat="1">
      <c r="A525" s="96" t="s">
        <v>113</v>
      </c>
      <c r="B525" s="195">
        <v>33106574</v>
      </c>
      <c r="C525" s="211">
        <f t="shared" si="825"/>
        <v>2758881.17</v>
      </c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>
        <v>0.96179999999999999</v>
      </c>
      <c r="Y525" s="5">
        <v>3.8199999999999998E-2</v>
      </c>
      <c r="Z525" s="5"/>
      <c r="AA525" s="5"/>
      <c r="AB525" s="5"/>
      <c r="AC525" s="67"/>
      <c r="AD525" s="55"/>
    </row>
    <row r="526" spans="1:30" s="52" customFormat="1">
      <c r="A526" s="97"/>
      <c r="B526" s="74"/>
      <c r="C526" s="211"/>
      <c r="D526" s="6">
        <f t="shared" ref="D526" si="940">$C525*D525</f>
        <v>0</v>
      </c>
      <c r="E526" s="6">
        <f t="shared" ref="E526" si="941">$C525*E525</f>
        <v>0</v>
      </c>
      <c r="F526" s="6">
        <f t="shared" ref="F526:AB526" si="942">$C525*F525</f>
        <v>0</v>
      </c>
      <c r="G526" s="6">
        <f t="shared" si="942"/>
        <v>0</v>
      </c>
      <c r="H526" s="6">
        <f t="shared" si="942"/>
        <v>0</v>
      </c>
      <c r="I526" s="6">
        <f t="shared" si="942"/>
        <v>0</v>
      </c>
      <c r="J526" s="6">
        <f t="shared" si="942"/>
        <v>0</v>
      </c>
      <c r="K526" s="6">
        <f t="shared" si="942"/>
        <v>0</v>
      </c>
      <c r="L526" s="6">
        <f t="shared" si="942"/>
        <v>0</v>
      </c>
      <c r="M526" s="6">
        <f t="shared" si="942"/>
        <v>0</v>
      </c>
      <c r="N526" s="6">
        <f t="shared" si="942"/>
        <v>0</v>
      </c>
      <c r="O526" s="6">
        <f t="shared" si="942"/>
        <v>0</v>
      </c>
      <c r="P526" s="6">
        <f t="shared" si="942"/>
        <v>0</v>
      </c>
      <c r="Q526" s="6">
        <f t="shared" si="942"/>
        <v>0</v>
      </c>
      <c r="R526" s="6">
        <f t="shared" si="942"/>
        <v>0</v>
      </c>
      <c r="S526" s="6">
        <f t="shared" si="942"/>
        <v>0</v>
      </c>
      <c r="T526" s="6">
        <f t="shared" si="942"/>
        <v>0</v>
      </c>
      <c r="U526" s="6">
        <f t="shared" si="942"/>
        <v>0</v>
      </c>
      <c r="V526" s="6">
        <f t="shared" si="942"/>
        <v>0</v>
      </c>
      <c r="W526" s="6">
        <f t="shared" si="942"/>
        <v>0</v>
      </c>
      <c r="X526" s="6">
        <f t="shared" si="942"/>
        <v>2653491.909306</v>
      </c>
      <c r="Y526" s="6">
        <f t="shared" si="942"/>
        <v>105389.260694</v>
      </c>
      <c r="Z526" s="6">
        <f t="shared" si="942"/>
        <v>0</v>
      </c>
      <c r="AA526" s="6">
        <f t="shared" si="942"/>
        <v>0</v>
      </c>
      <c r="AB526" s="6">
        <f t="shared" si="942"/>
        <v>0</v>
      </c>
      <c r="AC526" s="67"/>
      <c r="AD526" s="55"/>
    </row>
    <row r="527" spans="1:30" s="52" customFormat="1">
      <c r="A527" s="96" t="s">
        <v>114</v>
      </c>
      <c r="B527" s="195">
        <v>33958598</v>
      </c>
      <c r="C527" s="211">
        <f t="shared" si="825"/>
        <v>2829883.17</v>
      </c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>
        <v>0.96179999999999999</v>
      </c>
      <c r="Y527" s="5">
        <v>3.8199999999999998E-2</v>
      </c>
      <c r="Z527" s="5"/>
      <c r="AA527" s="5"/>
      <c r="AB527" s="5"/>
      <c r="AC527" s="67"/>
      <c r="AD527" s="55"/>
    </row>
    <row r="528" spans="1:30" s="52" customFormat="1">
      <c r="A528" s="97"/>
      <c r="B528" s="74"/>
      <c r="C528" s="211"/>
      <c r="D528" s="6">
        <f t="shared" ref="D528" si="943">$C527*D527</f>
        <v>0</v>
      </c>
      <c r="E528" s="6">
        <f t="shared" ref="E528" si="944">$C527*E527</f>
        <v>0</v>
      </c>
      <c r="F528" s="6">
        <f t="shared" ref="F528:AB528" si="945">$C527*F527</f>
        <v>0</v>
      </c>
      <c r="G528" s="6">
        <f t="shared" si="945"/>
        <v>0</v>
      </c>
      <c r="H528" s="6">
        <f t="shared" si="945"/>
        <v>0</v>
      </c>
      <c r="I528" s="6">
        <f t="shared" si="945"/>
        <v>0</v>
      </c>
      <c r="J528" s="6">
        <f t="shared" si="945"/>
        <v>0</v>
      </c>
      <c r="K528" s="6">
        <f t="shared" si="945"/>
        <v>0</v>
      </c>
      <c r="L528" s="6">
        <f t="shared" si="945"/>
        <v>0</v>
      </c>
      <c r="M528" s="6">
        <f t="shared" si="945"/>
        <v>0</v>
      </c>
      <c r="N528" s="6">
        <f t="shared" si="945"/>
        <v>0</v>
      </c>
      <c r="O528" s="6">
        <f t="shared" si="945"/>
        <v>0</v>
      </c>
      <c r="P528" s="6">
        <f t="shared" si="945"/>
        <v>0</v>
      </c>
      <c r="Q528" s="6">
        <f t="shared" si="945"/>
        <v>0</v>
      </c>
      <c r="R528" s="6">
        <f t="shared" si="945"/>
        <v>0</v>
      </c>
      <c r="S528" s="6">
        <f t="shared" si="945"/>
        <v>0</v>
      </c>
      <c r="T528" s="6">
        <f t="shared" si="945"/>
        <v>0</v>
      </c>
      <c r="U528" s="6">
        <f t="shared" si="945"/>
        <v>0</v>
      </c>
      <c r="V528" s="6">
        <f t="shared" si="945"/>
        <v>0</v>
      </c>
      <c r="W528" s="6">
        <f t="shared" si="945"/>
        <v>0</v>
      </c>
      <c r="X528" s="6">
        <f t="shared" si="945"/>
        <v>2721781.6329059997</v>
      </c>
      <c r="Y528" s="6">
        <f t="shared" si="945"/>
        <v>108101.53709399998</v>
      </c>
      <c r="Z528" s="6">
        <f t="shared" si="945"/>
        <v>0</v>
      </c>
      <c r="AA528" s="6">
        <f t="shared" si="945"/>
        <v>0</v>
      </c>
      <c r="AB528" s="6">
        <f t="shared" si="945"/>
        <v>0</v>
      </c>
      <c r="AC528" s="67"/>
      <c r="AD528" s="55"/>
    </row>
    <row r="529" spans="1:30" s="52" customFormat="1">
      <c r="A529" s="96" t="s">
        <v>115</v>
      </c>
      <c r="B529" s="193">
        <v>1998033</v>
      </c>
      <c r="C529" s="211">
        <f t="shared" si="825"/>
        <v>166502.75</v>
      </c>
      <c r="D529" s="148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>
        <v>1.4E-3</v>
      </c>
      <c r="Q529" s="149"/>
      <c r="R529" s="149"/>
      <c r="S529" s="149"/>
      <c r="T529" s="149"/>
      <c r="U529" s="149"/>
      <c r="V529" s="149"/>
      <c r="W529" s="149"/>
      <c r="X529" s="40">
        <v>0.95830000000000004</v>
      </c>
      <c r="Y529" s="40">
        <v>3.8100000000000002E-2</v>
      </c>
      <c r="Z529" s="149">
        <v>2.2000000000000001E-3</v>
      </c>
      <c r="AA529" s="149">
        <v>0</v>
      </c>
      <c r="AB529" s="149">
        <v>0</v>
      </c>
      <c r="AC529" s="67"/>
      <c r="AD529" s="55"/>
    </row>
    <row r="530" spans="1:30" s="52" customFormat="1">
      <c r="A530" s="97"/>
      <c r="B530" s="74"/>
      <c r="C530" s="211"/>
      <c r="D530" s="39">
        <f t="shared" ref="D530" si="946">$C529*D529</f>
        <v>0</v>
      </c>
      <c r="E530" s="39">
        <f t="shared" ref="E530" si="947">$C529*E529</f>
        <v>0</v>
      </c>
      <c r="F530" s="39">
        <f t="shared" ref="F530:AB530" si="948">$C529*F529</f>
        <v>0</v>
      </c>
      <c r="G530" s="39">
        <f t="shared" si="948"/>
        <v>0</v>
      </c>
      <c r="H530" s="39">
        <f t="shared" si="948"/>
        <v>0</v>
      </c>
      <c r="I530" s="39">
        <f t="shared" si="948"/>
        <v>0</v>
      </c>
      <c r="J530" s="39">
        <f t="shared" si="948"/>
        <v>0</v>
      </c>
      <c r="K530" s="39">
        <f t="shared" si="948"/>
        <v>0</v>
      </c>
      <c r="L530" s="39">
        <f t="shared" si="948"/>
        <v>0</v>
      </c>
      <c r="M530" s="39">
        <f t="shared" si="948"/>
        <v>0</v>
      </c>
      <c r="N530" s="39">
        <f t="shared" si="948"/>
        <v>0</v>
      </c>
      <c r="O530" s="39">
        <f t="shared" si="948"/>
        <v>0</v>
      </c>
      <c r="P530" s="39">
        <f t="shared" si="948"/>
        <v>233.10384999999999</v>
      </c>
      <c r="Q530" s="39">
        <f t="shared" si="948"/>
        <v>0</v>
      </c>
      <c r="R530" s="39">
        <f t="shared" si="948"/>
        <v>0</v>
      </c>
      <c r="S530" s="39">
        <f t="shared" si="948"/>
        <v>0</v>
      </c>
      <c r="T530" s="39">
        <f t="shared" si="948"/>
        <v>0</v>
      </c>
      <c r="U530" s="39">
        <f t="shared" si="948"/>
        <v>0</v>
      </c>
      <c r="V530" s="39">
        <f t="shared" si="948"/>
        <v>0</v>
      </c>
      <c r="W530" s="39">
        <f t="shared" si="948"/>
        <v>0</v>
      </c>
      <c r="X530" s="39">
        <f t="shared" si="948"/>
        <v>159559.58532499999</v>
      </c>
      <c r="Y530" s="39">
        <f t="shared" si="948"/>
        <v>6343.7547750000003</v>
      </c>
      <c r="Z530" s="39">
        <f t="shared" si="948"/>
        <v>366.30605000000003</v>
      </c>
      <c r="AA530" s="39">
        <f t="shared" si="948"/>
        <v>0</v>
      </c>
      <c r="AB530" s="39">
        <f t="shared" si="948"/>
        <v>0</v>
      </c>
      <c r="AC530" s="67"/>
      <c r="AD530" s="55"/>
    </row>
    <row r="531" spans="1:30" s="52" customFormat="1">
      <c r="A531" s="96" t="s">
        <v>212</v>
      </c>
      <c r="B531" s="181">
        <v>4384383</v>
      </c>
      <c r="C531" s="211">
        <f t="shared" si="825"/>
        <v>365365.25</v>
      </c>
      <c r="D531" s="27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5">
        <v>0.96179999999999999</v>
      </c>
      <c r="Y531" s="5">
        <v>3.8199999999999998E-2</v>
      </c>
      <c r="Z531" s="10"/>
      <c r="AA531" s="10"/>
      <c r="AB531" s="10"/>
      <c r="AC531" s="67"/>
      <c r="AD531" s="55"/>
    </row>
    <row r="532" spans="1:30" s="52" customFormat="1">
      <c r="A532" s="97"/>
      <c r="B532" s="74"/>
      <c r="C532" s="211"/>
      <c r="D532" s="6">
        <f t="shared" ref="D532" si="949">$C531*D531</f>
        <v>0</v>
      </c>
      <c r="E532" s="6">
        <f t="shared" ref="E532" si="950">$C531*E531</f>
        <v>0</v>
      </c>
      <c r="F532" s="6">
        <f t="shared" ref="F532:N532" si="951">$C531*F531</f>
        <v>0</v>
      </c>
      <c r="G532" s="6">
        <f t="shared" si="951"/>
        <v>0</v>
      </c>
      <c r="H532" s="6">
        <f t="shared" si="951"/>
        <v>0</v>
      </c>
      <c r="I532" s="6">
        <f t="shared" si="951"/>
        <v>0</v>
      </c>
      <c r="J532" s="6">
        <f t="shared" si="951"/>
        <v>0</v>
      </c>
      <c r="K532" s="6">
        <f t="shared" si="951"/>
        <v>0</v>
      </c>
      <c r="L532" s="6">
        <f t="shared" si="951"/>
        <v>0</v>
      </c>
      <c r="M532" s="6">
        <f t="shared" si="951"/>
        <v>0</v>
      </c>
      <c r="N532" s="6">
        <f t="shared" si="951"/>
        <v>0</v>
      </c>
      <c r="O532" s="6">
        <f t="shared" ref="O532" si="952">$C531*O531</f>
        <v>0</v>
      </c>
      <c r="P532" s="6">
        <f t="shared" ref="P532" si="953">$C531*P531</f>
        <v>0</v>
      </c>
      <c r="Q532" s="6">
        <f t="shared" ref="Q532:AB532" si="954">$C531*Q531</f>
        <v>0</v>
      </c>
      <c r="R532" s="6">
        <f t="shared" si="954"/>
        <v>0</v>
      </c>
      <c r="S532" s="6">
        <f t="shared" si="954"/>
        <v>0</v>
      </c>
      <c r="T532" s="6">
        <f t="shared" si="954"/>
        <v>0</v>
      </c>
      <c r="U532" s="6">
        <f t="shared" si="954"/>
        <v>0</v>
      </c>
      <c r="V532" s="6">
        <f t="shared" si="954"/>
        <v>0</v>
      </c>
      <c r="W532" s="6">
        <f t="shared" si="954"/>
        <v>0</v>
      </c>
      <c r="X532" s="6">
        <f t="shared" si="954"/>
        <v>351408.29745000001</v>
      </c>
      <c r="Y532" s="6">
        <f t="shared" si="954"/>
        <v>13956.95255</v>
      </c>
      <c r="Z532" s="6">
        <f t="shared" si="954"/>
        <v>0</v>
      </c>
      <c r="AA532" s="6">
        <f t="shared" si="954"/>
        <v>0</v>
      </c>
      <c r="AB532" s="6">
        <f t="shared" si="954"/>
        <v>0</v>
      </c>
      <c r="AC532" s="67"/>
      <c r="AD532" s="55"/>
    </row>
    <row r="533" spans="1:30" s="52" customFormat="1">
      <c r="A533" s="96" t="s">
        <v>213</v>
      </c>
      <c r="B533" s="181">
        <v>1158033</v>
      </c>
      <c r="C533" s="211">
        <f t="shared" si="825"/>
        <v>96502.75</v>
      </c>
      <c r="D533" s="148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>
        <v>7.4999999999999997E-3</v>
      </c>
      <c r="Q533" s="149">
        <v>0.1031</v>
      </c>
      <c r="R533" s="149"/>
      <c r="S533" s="149">
        <v>9.7999999999999997E-3</v>
      </c>
      <c r="T533" s="149">
        <v>0.30809999999999998</v>
      </c>
      <c r="U533" s="149"/>
      <c r="V533" s="149"/>
      <c r="W533" s="149"/>
      <c r="X533" s="40">
        <v>0.54169999999999996</v>
      </c>
      <c r="Y533" s="40">
        <v>2.1600000000000001E-2</v>
      </c>
      <c r="Z533" s="149">
        <v>8.2000000000000007E-3</v>
      </c>
      <c r="AA533" s="149">
        <v>0</v>
      </c>
      <c r="AB533" s="149">
        <v>0</v>
      </c>
      <c r="AC533" s="67"/>
      <c r="AD533" s="55"/>
    </row>
    <row r="534" spans="1:30" s="52" customFormat="1">
      <c r="A534" s="97"/>
      <c r="B534" s="74"/>
      <c r="C534" s="211"/>
      <c r="D534" s="39">
        <f t="shared" ref="D534" si="955">$C533*D533</f>
        <v>0</v>
      </c>
      <c r="E534" s="39">
        <f t="shared" ref="E534" si="956">$C533*E533</f>
        <v>0</v>
      </c>
      <c r="F534" s="39">
        <f t="shared" ref="F534:AB534" si="957">$C533*F533</f>
        <v>0</v>
      </c>
      <c r="G534" s="39">
        <f t="shared" si="957"/>
        <v>0</v>
      </c>
      <c r="H534" s="39">
        <f t="shared" si="957"/>
        <v>0</v>
      </c>
      <c r="I534" s="39">
        <f t="shared" si="957"/>
        <v>0</v>
      </c>
      <c r="J534" s="39">
        <f t="shared" si="957"/>
        <v>0</v>
      </c>
      <c r="K534" s="39">
        <f t="shared" si="957"/>
        <v>0</v>
      </c>
      <c r="L534" s="39">
        <f t="shared" si="957"/>
        <v>0</v>
      </c>
      <c r="M534" s="39">
        <f t="shared" si="957"/>
        <v>0</v>
      </c>
      <c r="N534" s="39">
        <f t="shared" si="957"/>
        <v>0</v>
      </c>
      <c r="O534" s="39">
        <f t="shared" si="957"/>
        <v>0</v>
      </c>
      <c r="P534" s="39">
        <f t="shared" si="957"/>
        <v>723.770625</v>
      </c>
      <c r="Q534" s="39">
        <f t="shared" si="957"/>
        <v>9949.4335250000004</v>
      </c>
      <c r="R534" s="39">
        <f t="shared" si="957"/>
        <v>0</v>
      </c>
      <c r="S534" s="39">
        <f t="shared" si="957"/>
        <v>945.72694999999999</v>
      </c>
      <c r="T534" s="39">
        <f t="shared" si="957"/>
        <v>29732.497274999998</v>
      </c>
      <c r="U534" s="39">
        <f t="shared" si="957"/>
        <v>0</v>
      </c>
      <c r="V534" s="39">
        <f t="shared" si="957"/>
        <v>0</v>
      </c>
      <c r="W534" s="39">
        <f t="shared" si="957"/>
        <v>0</v>
      </c>
      <c r="X534" s="39">
        <f t="shared" si="957"/>
        <v>52275.539674999993</v>
      </c>
      <c r="Y534" s="39">
        <f t="shared" si="957"/>
        <v>2084.4594000000002</v>
      </c>
      <c r="Z534" s="39">
        <f t="shared" si="957"/>
        <v>791.32255000000009</v>
      </c>
      <c r="AA534" s="39">
        <f t="shared" si="957"/>
        <v>0</v>
      </c>
      <c r="AB534" s="39">
        <f t="shared" si="957"/>
        <v>0</v>
      </c>
      <c r="AC534" s="67"/>
      <c r="AD534" s="55"/>
    </row>
    <row r="535" spans="1:30" s="52" customFormat="1">
      <c r="A535" s="96" t="s">
        <v>239</v>
      </c>
      <c r="B535" s="181">
        <v>1881520</v>
      </c>
      <c r="C535" s="211">
        <f t="shared" si="825"/>
        <v>156793.32999999999</v>
      </c>
      <c r="D535" s="27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>
        <v>0.36449999999999999</v>
      </c>
      <c r="U535" s="10"/>
      <c r="V535" s="10"/>
      <c r="W535" s="10"/>
      <c r="X535" s="5">
        <v>0.61109999999999998</v>
      </c>
      <c r="Y535" s="5">
        <v>2.4400000000000002E-2</v>
      </c>
      <c r="Z535" s="10"/>
      <c r="AA535" s="10"/>
      <c r="AB535" s="10"/>
      <c r="AC535" s="67"/>
      <c r="AD535" s="55"/>
    </row>
    <row r="536" spans="1:30" s="52" customFormat="1">
      <c r="A536" s="97"/>
      <c r="B536" s="74"/>
      <c r="C536" s="211"/>
      <c r="D536" s="6">
        <f t="shared" ref="D536" si="958">$C535*D535</f>
        <v>0</v>
      </c>
      <c r="E536" s="6">
        <f t="shared" ref="E536" si="959">$C535*E535</f>
        <v>0</v>
      </c>
      <c r="F536" s="6">
        <f t="shared" ref="F536:N536" si="960">$C535*F535</f>
        <v>0</v>
      </c>
      <c r="G536" s="6">
        <f t="shared" si="960"/>
        <v>0</v>
      </c>
      <c r="H536" s="6">
        <f t="shared" si="960"/>
        <v>0</v>
      </c>
      <c r="I536" s="6">
        <f t="shared" si="960"/>
        <v>0</v>
      </c>
      <c r="J536" s="6">
        <f t="shared" si="960"/>
        <v>0</v>
      </c>
      <c r="K536" s="6">
        <f t="shared" si="960"/>
        <v>0</v>
      </c>
      <c r="L536" s="6">
        <f t="shared" si="960"/>
        <v>0</v>
      </c>
      <c r="M536" s="6">
        <f t="shared" si="960"/>
        <v>0</v>
      </c>
      <c r="N536" s="6">
        <f t="shared" si="960"/>
        <v>0</v>
      </c>
      <c r="O536" s="6">
        <f t="shared" ref="O536" si="961">$C535*O535</f>
        <v>0</v>
      </c>
      <c r="P536" s="6">
        <f t="shared" ref="P536" si="962">$C535*P535</f>
        <v>0</v>
      </c>
      <c r="Q536" s="6">
        <f t="shared" ref="Q536:AB536" si="963">$C535*Q535</f>
        <v>0</v>
      </c>
      <c r="R536" s="6">
        <f t="shared" si="963"/>
        <v>0</v>
      </c>
      <c r="S536" s="6">
        <f t="shared" si="963"/>
        <v>0</v>
      </c>
      <c r="T536" s="6">
        <f t="shared" si="963"/>
        <v>57151.168784999994</v>
      </c>
      <c r="U536" s="6">
        <f t="shared" si="963"/>
        <v>0</v>
      </c>
      <c r="V536" s="6">
        <f t="shared" si="963"/>
        <v>0</v>
      </c>
      <c r="W536" s="6">
        <f t="shared" si="963"/>
        <v>0</v>
      </c>
      <c r="X536" s="6">
        <f t="shared" si="963"/>
        <v>95816.40396299999</v>
      </c>
      <c r="Y536" s="6">
        <f t="shared" si="963"/>
        <v>3825.7572519999999</v>
      </c>
      <c r="Z536" s="6">
        <f t="shared" si="963"/>
        <v>0</v>
      </c>
      <c r="AA536" s="6">
        <f t="shared" si="963"/>
        <v>0</v>
      </c>
      <c r="AB536" s="6">
        <f t="shared" si="963"/>
        <v>0</v>
      </c>
      <c r="AC536" s="67"/>
      <c r="AD536" s="55"/>
    </row>
    <row r="537" spans="1:30" s="52" customFormat="1">
      <c r="A537" s="96" t="s">
        <v>116</v>
      </c>
      <c r="B537" s="194">
        <v>60933108</v>
      </c>
      <c r="C537" s="211">
        <f t="shared" ref="C537:C599" si="964">ROUND(B537/12,2)</f>
        <v>5077759</v>
      </c>
      <c r="D537" s="148">
        <v>2.3E-3</v>
      </c>
      <c r="E537" s="149"/>
      <c r="F537" s="149"/>
      <c r="G537" s="149"/>
      <c r="H537" s="149">
        <v>9.7000000000000003E-3</v>
      </c>
      <c r="I537" s="149">
        <v>2.3199999999999998E-2</v>
      </c>
      <c r="J537" s="149">
        <v>1.2999999999999999E-3</v>
      </c>
      <c r="K537" s="149"/>
      <c r="L537" s="149"/>
      <c r="M537" s="149"/>
      <c r="N537" s="149"/>
      <c r="O537" s="149"/>
      <c r="P537" s="149">
        <v>0.1605</v>
      </c>
      <c r="Q537" s="149">
        <v>1.17E-2</v>
      </c>
      <c r="R537" s="149"/>
      <c r="S537" s="149">
        <v>6.9999999999999999E-4</v>
      </c>
      <c r="T537" s="149"/>
      <c r="U537" s="149">
        <v>2.9700000000000001E-2</v>
      </c>
      <c r="V537" s="149">
        <v>1.04E-2</v>
      </c>
      <c r="W537" s="149"/>
      <c r="X537" s="149">
        <v>0.7016</v>
      </c>
      <c r="Y537" s="150">
        <v>2.7799999999999998E-2</v>
      </c>
      <c r="Z537" s="149">
        <v>2.1100000000000001E-2</v>
      </c>
      <c r="AA537" s="149">
        <v>0</v>
      </c>
      <c r="AB537" s="149">
        <v>0</v>
      </c>
      <c r="AC537" s="67"/>
      <c r="AD537" s="55"/>
    </row>
    <row r="538" spans="1:30" s="52" customFormat="1">
      <c r="A538" s="97"/>
      <c r="B538" s="74"/>
      <c r="C538" s="211"/>
      <c r="D538" s="39">
        <f t="shared" ref="D538" si="965">$C537*D537</f>
        <v>11678.8457</v>
      </c>
      <c r="E538" s="39">
        <f t="shared" ref="E538" si="966">$C537*E537</f>
        <v>0</v>
      </c>
      <c r="F538" s="39">
        <f t="shared" ref="F538:AB538" si="967">$C537*F537</f>
        <v>0</v>
      </c>
      <c r="G538" s="39">
        <f t="shared" si="967"/>
        <v>0</v>
      </c>
      <c r="H538" s="39">
        <f t="shared" si="967"/>
        <v>49254.262300000002</v>
      </c>
      <c r="I538" s="39">
        <f t="shared" si="967"/>
        <v>117804.0088</v>
      </c>
      <c r="J538" s="39">
        <f t="shared" si="967"/>
        <v>6601.0866999999998</v>
      </c>
      <c r="K538" s="39">
        <f t="shared" si="967"/>
        <v>0</v>
      </c>
      <c r="L538" s="39">
        <f t="shared" si="967"/>
        <v>0</v>
      </c>
      <c r="M538" s="39">
        <f t="shared" si="967"/>
        <v>0</v>
      </c>
      <c r="N538" s="39">
        <f t="shared" si="967"/>
        <v>0</v>
      </c>
      <c r="O538" s="39">
        <f t="shared" si="967"/>
        <v>0</v>
      </c>
      <c r="P538" s="39">
        <f t="shared" si="967"/>
        <v>814980.31949999998</v>
      </c>
      <c r="Q538" s="39">
        <f t="shared" si="967"/>
        <v>59409.780299999999</v>
      </c>
      <c r="R538" s="39">
        <f t="shared" si="967"/>
        <v>0</v>
      </c>
      <c r="S538" s="39">
        <f t="shared" si="967"/>
        <v>3554.4312999999997</v>
      </c>
      <c r="T538" s="39">
        <f t="shared" si="967"/>
        <v>0</v>
      </c>
      <c r="U538" s="39">
        <f t="shared" si="967"/>
        <v>150809.4423</v>
      </c>
      <c r="V538" s="39">
        <f t="shared" si="967"/>
        <v>52808.693599999999</v>
      </c>
      <c r="W538" s="39">
        <f t="shared" si="967"/>
        <v>0</v>
      </c>
      <c r="X538" s="39">
        <f t="shared" si="967"/>
        <v>3562555.7143999999</v>
      </c>
      <c r="Y538" s="39">
        <f t="shared" si="967"/>
        <v>141161.70019999999</v>
      </c>
      <c r="Z538" s="39">
        <f t="shared" si="967"/>
        <v>107140.71490000001</v>
      </c>
      <c r="AA538" s="39">
        <f t="shared" si="967"/>
        <v>0</v>
      </c>
      <c r="AB538" s="39">
        <f t="shared" si="967"/>
        <v>0</v>
      </c>
      <c r="AC538" s="67"/>
      <c r="AD538" s="55"/>
    </row>
    <row r="539" spans="1:30" s="52" customFormat="1">
      <c r="A539" s="96" t="s">
        <v>186</v>
      </c>
      <c r="B539" s="181">
        <v>42058225</v>
      </c>
      <c r="C539" s="211">
        <f t="shared" si="964"/>
        <v>3504852.08</v>
      </c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42">
        <v>7.9000000000000008E-3</v>
      </c>
      <c r="Q539" s="42">
        <v>0.12820000000000001</v>
      </c>
      <c r="R539" s="42"/>
      <c r="S539" s="42">
        <v>1.18E-2</v>
      </c>
      <c r="T539" s="42">
        <v>0.51080000000000003</v>
      </c>
      <c r="U539" s="42"/>
      <c r="V539" s="42">
        <v>5.7000000000000002E-3</v>
      </c>
      <c r="W539" s="42"/>
      <c r="X539" s="42">
        <v>0.31459999999999999</v>
      </c>
      <c r="Y539" s="42">
        <v>1.2500000000000001E-2</v>
      </c>
      <c r="Z539" s="42">
        <v>8.5000000000000006E-3</v>
      </c>
      <c r="AA539" s="42">
        <v>0</v>
      </c>
      <c r="AB539" s="42">
        <v>0</v>
      </c>
      <c r="AC539" s="67"/>
      <c r="AD539" s="55"/>
    </row>
    <row r="540" spans="1:30" s="52" customFormat="1">
      <c r="A540" s="97"/>
      <c r="B540" s="74"/>
      <c r="C540" s="211"/>
      <c r="D540" s="39">
        <f t="shared" ref="D540" si="968">$C539*D539</f>
        <v>0</v>
      </c>
      <c r="E540" s="39">
        <f t="shared" ref="E540" si="969">$C539*E539</f>
        <v>0</v>
      </c>
      <c r="F540" s="39">
        <f t="shared" ref="F540:AB540" si="970">$C539*F539</f>
        <v>0</v>
      </c>
      <c r="G540" s="39">
        <f t="shared" si="970"/>
        <v>0</v>
      </c>
      <c r="H540" s="39">
        <f t="shared" si="970"/>
        <v>0</v>
      </c>
      <c r="I540" s="39">
        <f t="shared" si="970"/>
        <v>0</v>
      </c>
      <c r="J540" s="39">
        <f t="shared" si="970"/>
        <v>0</v>
      </c>
      <c r="K540" s="39">
        <f t="shared" si="970"/>
        <v>0</v>
      </c>
      <c r="L540" s="39">
        <f t="shared" si="970"/>
        <v>0</v>
      </c>
      <c r="M540" s="39">
        <f t="shared" si="970"/>
        <v>0</v>
      </c>
      <c r="N540" s="39">
        <f t="shared" si="970"/>
        <v>0</v>
      </c>
      <c r="O540" s="39">
        <f t="shared" si="970"/>
        <v>0</v>
      </c>
      <c r="P540" s="39">
        <f t="shared" si="970"/>
        <v>27688.331432000003</v>
      </c>
      <c r="Q540" s="39">
        <f t="shared" si="970"/>
        <v>449322.03665600001</v>
      </c>
      <c r="R540" s="39">
        <f t="shared" si="970"/>
        <v>0</v>
      </c>
      <c r="S540" s="39">
        <f t="shared" si="970"/>
        <v>41357.254544000003</v>
      </c>
      <c r="T540" s="39">
        <f t="shared" si="970"/>
        <v>1790278.4424640001</v>
      </c>
      <c r="U540" s="39">
        <f t="shared" si="970"/>
        <v>0</v>
      </c>
      <c r="V540" s="39">
        <f t="shared" si="970"/>
        <v>19977.656856000001</v>
      </c>
      <c r="W540" s="39">
        <f t="shared" si="970"/>
        <v>0</v>
      </c>
      <c r="X540" s="39">
        <f t="shared" si="970"/>
        <v>1102626.4643679999</v>
      </c>
      <c r="Y540" s="39">
        <f t="shared" si="970"/>
        <v>43810.651000000005</v>
      </c>
      <c r="Z540" s="39">
        <f t="shared" si="970"/>
        <v>29791.242680000003</v>
      </c>
      <c r="AA540" s="39">
        <f t="shared" si="970"/>
        <v>0</v>
      </c>
      <c r="AB540" s="39">
        <f t="shared" si="970"/>
        <v>0</v>
      </c>
      <c r="AC540" s="67"/>
      <c r="AD540" s="55"/>
    </row>
    <row r="541" spans="1:30" s="52" customFormat="1">
      <c r="A541" s="96" t="s">
        <v>176</v>
      </c>
      <c r="B541" s="181">
        <v>5829400</v>
      </c>
      <c r="C541" s="211">
        <f t="shared" si="964"/>
        <v>485783.33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42">
        <v>4.6100000000000002E-2</v>
      </c>
      <c r="R541" s="42"/>
      <c r="S541" s="42"/>
      <c r="T541" s="42"/>
      <c r="U541" s="42"/>
      <c r="V541" s="42"/>
      <c r="W541" s="42"/>
      <c r="X541" s="42">
        <v>0.91749999999999998</v>
      </c>
      <c r="Y541" s="42">
        <v>3.6400000000000002E-2</v>
      </c>
      <c r="Z541" s="28"/>
      <c r="AA541" s="28"/>
      <c r="AB541" s="28"/>
      <c r="AC541" s="67"/>
      <c r="AD541" s="55"/>
    </row>
    <row r="542" spans="1:30" s="52" customFormat="1">
      <c r="A542" s="97"/>
      <c r="B542" s="74"/>
      <c r="C542" s="211"/>
      <c r="D542" s="6">
        <f t="shared" ref="D542" si="971">$C541*D541</f>
        <v>0</v>
      </c>
      <c r="E542" s="6">
        <f t="shared" ref="E542" si="972">$C541*E541</f>
        <v>0</v>
      </c>
      <c r="F542" s="6">
        <f t="shared" ref="F542:AB542" si="973">$C541*F541</f>
        <v>0</v>
      </c>
      <c r="G542" s="6">
        <f t="shared" si="973"/>
        <v>0</v>
      </c>
      <c r="H542" s="6">
        <f t="shared" si="973"/>
        <v>0</v>
      </c>
      <c r="I542" s="6">
        <f t="shared" si="973"/>
        <v>0</v>
      </c>
      <c r="J542" s="6">
        <f t="shared" si="973"/>
        <v>0</v>
      </c>
      <c r="K542" s="6">
        <f t="shared" si="973"/>
        <v>0</v>
      </c>
      <c r="L542" s="6">
        <f t="shared" si="973"/>
        <v>0</v>
      </c>
      <c r="M542" s="6">
        <f t="shared" si="973"/>
        <v>0</v>
      </c>
      <c r="N542" s="6">
        <f t="shared" si="973"/>
        <v>0</v>
      </c>
      <c r="O542" s="6">
        <f t="shared" si="973"/>
        <v>0</v>
      </c>
      <c r="P542" s="6">
        <f t="shared" si="973"/>
        <v>0</v>
      </c>
      <c r="Q542" s="6">
        <f t="shared" si="973"/>
        <v>22394.611513000003</v>
      </c>
      <c r="R542" s="6">
        <f t="shared" si="973"/>
        <v>0</v>
      </c>
      <c r="S542" s="6">
        <f t="shared" si="973"/>
        <v>0</v>
      </c>
      <c r="T542" s="6">
        <f t="shared" si="973"/>
        <v>0</v>
      </c>
      <c r="U542" s="6">
        <f t="shared" si="973"/>
        <v>0</v>
      </c>
      <c r="V542" s="6">
        <f t="shared" si="973"/>
        <v>0</v>
      </c>
      <c r="W542" s="6">
        <f t="shared" si="973"/>
        <v>0</v>
      </c>
      <c r="X542" s="6">
        <f t="shared" si="973"/>
        <v>445706.20527500001</v>
      </c>
      <c r="Y542" s="6">
        <f t="shared" si="973"/>
        <v>17682.513212000002</v>
      </c>
      <c r="Z542" s="6">
        <f t="shared" si="973"/>
        <v>0</v>
      </c>
      <c r="AA542" s="6">
        <f t="shared" si="973"/>
        <v>0</v>
      </c>
      <c r="AB542" s="6">
        <f t="shared" si="973"/>
        <v>0</v>
      </c>
      <c r="AC542" s="67"/>
      <c r="AD542" s="55"/>
    </row>
    <row r="543" spans="1:30" s="52" customFormat="1">
      <c r="A543" s="106" t="s">
        <v>177</v>
      </c>
      <c r="B543" s="181">
        <v>6843069</v>
      </c>
      <c r="C543" s="211">
        <f t="shared" si="964"/>
        <v>570255.75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42">
        <v>0.96179999999999999</v>
      </c>
      <c r="Y543" s="42">
        <v>3.8199999999999998E-2</v>
      </c>
      <c r="Z543" s="28"/>
      <c r="AA543" s="28"/>
      <c r="AB543" s="28"/>
      <c r="AC543" s="67"/>
      <c r="AD543" s="55"/>
    </row>
    <row r="544" spans="1:30" s="52" customFormat="1">
      <c r="A544" s="97"/>
      <c r="B544" s="74"/>
      <c r="C544" s="211"/>
      <c r="D544" s="6">
        <f>$C543*D543</f>
        <v>0</v>
      </c>
      <c r="E544" s="6">
        <f t="shared" ref="E544" si="974">$C543*E543</f>
        <v>0</v>
      </c>
      <c r="F544" s="6">
        <f t="shared" ref="F544" si="975">$C543*F543</f>
        <v>0</v>
      </c>
      <c r="G544" s="6">
        <f t="shared" ref="G544:AB544" si="976">$C543*G543</f>
        <v>0</v>
      </c>
      <c r="H544" s="6">
        <f t="shared" si="976"/>
        <v>0</v>
      </c>
      <c r="I544" s="6">
        <f t="shared" si="976"/>
        <v>0</v>
      </c>
      <c r="J544" s="6">
        <f t="shared" si="976"/>
        <v>0</v>
      </c>
      <c r="K544" s="6">
        <f t="shared" si="976"/>
        <v>0</v>
      </c>
      <c r="L544" s="6">
        <f t="shared" si="976"/>
        <v>0</v>
      </c>
      <c r="M544" s="6">
        <f t="shared" si="976"/>
        <v>0</v>
      </c>
      <c r="N544" s="6">
        <f t="shared" si="976"/>
        <v>0</v>
      </c>
      <c r="O544" s="6">
        <f t="shared" si="976"/>
        <v>0</v>
      </c>
      <c r="P544" s="6">
        <f t="shared" si="976"/>
        <v>0</v>
      </c>
      <c r="Q544" s="6">
        <f t="shared" si="976"/>
        <v>0</v>
      </c>
      <c r="R544" s="6">
        <f t="shared" si="976"/>
        <v>0</v>
      </c>
      <c r="S544" s="6">
        <f t="shared" si="976"/>
        <v>0</v>
      </c>
      <c r="T544" s="6">
        <f t="shared" si="976"/>
        <v>0</v>
      </c>
      <c r="U544" s="6">
        <f t="shared" si="976"/>
        <v>0</v>
      </c>
      <c r="V544" s="6">
        <f t="shared" si="976"/>
        <v>0</v>
      </c>
      <c r="W544" s="6">
        <f t="shared" si="976"/>
        <v>0</v>
      </c>
      <c r="X544" s="6">
        <f t="shared" si="976"/>
        <v>548471.98034999997</v>
      </c>
      <c r="Y544" s="6">
        <f t="shared" si="976"/>
        <v>21783.769649999998</v>
      </c>
      <c r="Z544" s="6">
        <f t="shared" si="976"/>
        <v>0</v>
      </c>
      <c r="AA544" s="6">
        <f t="shared" si="976"/>
        <v>0</v>
      </c>
      <c r="AB544" s="6">
        <f t="shared" si="976"/>
        <v>0</v>
      </c>
      <c r="AC544" s="67"/>
      <c r="AD544" s="55"/>
    </row>
    <row r="545" spans="1:30" s="52" customFormat="1">
      <c r="A545" s="106" t="s">
        <v>223</v>
      </c>
      <c r="B545" s="181">
        <f>6667958/2</f>
        <v>3333979</v>
      </c>
      <c r="C545" s="211">
        <f t="shared" si="964"/>
        <v>277831.58</v>
      </c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2"/>
      <c r="Q545" s="43"/>
      <c r="R545" s="43"/>
      <c r="S545" s="43"/>
      <c r="T545" s="43"/>
      <c r="U545" s="43"/>
      <c r="V545" s="43"/>
      <c r="W545" s="43"/>
      <c r="X545" s="172">
        <v>0.96120000000000005</v>
      </c>
      <c r="Y545" s="172">
        <v>3.8800000000000001E-2</v>
      </c>
      <c r="Z545" s="42"/>
      <c r="AA545" s="42"/>
      <c r="AB545" s="42"/>
      <c r="AC545" s="67"/>
      <c r="AD545" s="55"/>
    </row>
    <row r="546" spans="1:30" s="52" customFormat="1">
      <c r="A546" s="100"/>
      <c r="B546" s="60"/>
      <c r="C546" s="211"/>
      <c r="D546" s="39">
        <f>$C545*D545</f>
        <v>0</v>
      </c>
      <c r="E546" s="39">
        <f t="shared" ref="E546" si="977">$C545*E545</f>
        <v>0</v>
      </c>
      <c r="F546" s="39">
        <f t="shared" ref="F546" si="978">$C545*F545</f>
        <v>0</v>
      </c>
      <c r="G546" s="39">
        <f t="shared" ref="G546:AB546" si="979">$C545*G545</f>
        <v>0</v>
      </c>
      <c r="H546" s="39">
        <f t="shared" si="979"/>
        <v>0</v>
      </c>
      <c r="I546" s="39">
        <f t="shared" si="979"/>
        <v>0</v>
      </c>
      <c r="J546" s="39">
        <f t="shared" si="979"/>
        <v>0</v>
      </c>
      <c r="K546" s="39">
        <f t="shared" si="979"/>
        <v>0</v>
      </c>
      <c r="L546" s="39">
        <f t="shared" si="979"/>
        <v>0</v>
      </c>
      <c r="M546" s="39">
        <f t="shared" si="979"/>
        <v>0</v>
      </c>
      <c r="N546" s="39">
        <f t="shared" si="979"/>
        <v>0</v>
      </c>
      <c r="O546" s="39">
        <f t="shared" si="979"/>
        <v>0</v>
      </c>
      <c r="P546" s="39">
        <f t="shared" si="979"/>
        <v>0</v>
      </c>
      <c r="Q546" s="39">
        <f t="shared" si="979"/>
        <v>0</v>
      </c>
      <c r="R546" s="39">
        <f t="shared" si="979"/>
        <v>0</v>
      </c>
      <c r="S546" s="39">
        <f t="shared" si="979"/>
        <v>0</v>
      </c>
      <c r="T546" s="39">
        <f t="shared" si="979"/>
        <v>0</v>
      </c>
      <c r="U546" s="39">
        <f t="shared" si="979"/>
        <v>0</v>
      </c>
      <c r="V546" s="39">
        <f t="shared" si="979"/>
        <v>0</v>
      </c>
      <c r="W546" s="39">
        <f t="shared" si="979"/>
        <v>0</v>
      </c>
      <c r="X546" s="39">
        <f t="shared" si="979"/>
        <v>267051.71469600004</v>
      </c>
      <c r="Y546" s="39">
        <f t="shared" si="979"/>
        <v>10779.865304000001</v>
      </c>
      <c r="Z546" s="39">
        <f t="shared" si="979"/>
        <v>0</v>
      </c>
      <c r="AA546" s="39">
        <f t="shared" si="979"/>
        <v>0</v>
      </c>
      <c r="AB546" s="39">
        <f t="shared" si="979"/>
        <v>0</v>
      </c>
      <c r="AC546" s="67"/>
      <c r="AD546" s="55"/>
    </row>
    <row r="547" spans="1:30" s="52" customFormat="1">
      <c r="A547" s="106" t="s">
        <v>214</v>
      </c>
      <c r="B547" s="181">
        <f>6667958/2</f>
        <v>3333979</v>
      </c>
      <c r="C547" s="211">
        <f t="shared" si="964"/>
        <v>277831.58</v>
      </c>
      <c r="D547" s="170">
        <v>1.6500000000000001E-2</v>
      </c>
      <c r="E547" s="170">
        <v>0.1368</v>
      </c>
      <c r="F547" s="170">
        <v>5.7599999999999998E-2</v>
      </c>
      <c r="G547" s="170">
        <v>8.0399999999999999E-2</v>
      </c>
      <c r="H547" s="170">
        <v>4.1099999999999998E-2</v>
      </c>
      <c r="I547" s="170">
        <v>0.13389999999999999</v>
      </c>
      <c r="J547" s="170">
        <v>2.12E-2</v>
      </c>
      <c r="K547" s="170">
        <v>3.2500000000000001E-2</v>
      </c>
      <c r="L547" s="170">
        <v>1.7100000000000001E-2</v>
      </c>
      <c r="M547" s="170">
        <v>2.5999999999999999E-2</v>
      </c>
      <c r="N547" s="170">
        <v>0.13320000000000001</v>
      </c>
      <c r="O547" s="170">
        <v>1.89E-2</v>
      </c>
      <c r="P547" s="170">
        <v>0</v>
      </c>
      <c r="Q547" s="170">
        <v>3.8600000000000002E-2</v>
      </c>
      <c r="R547" s="170">
        <v>1.9E-2</v>
      </c>
      <c r="S547" s="170">
        <v>4.1999999999999997E-3</v>
      </c>
      <c r="T547" s="170">
        <v>5.3999999999999999E-2</v>
      </c>
      <c r="U547" s="170">
        <v>1.78E-2</v>
      </c>
      <c r="V547" s="170">
        <v>3.6700000000000003E-2</v>
      </c>
      <c r="W547" s="170">
        <v>4.7199999999999999E-2</v>
      </c>
      <c r="X547" s="170">
        <v>6.3899999999999998E-2</v>
      </c>
      <c r="Y547" s="170">
        <v>2.5999999999999999E-3</v>
      </c>
      <c r="Z547" s="171">
        <v>0</v>
      </c>
      <c r="AA547" s="171">
        <v>8.0000000000000004E-4</v>
      </c>
      <c r="AB547" s="171">
        <v>0</v>
      </c>
      <c r="AC547" s="67"/>
      <c r="AD547" s="55"/>
    </row>
    <row r="548" spans="1:30" s="52" customFormat="1">
      <c r="A548" s="100"/>
      <c r="B548" s="60"/>
      <c r="C548" s="211"/>
      <c r="D548" s="39">
        <f>$C547*D547</f>
        <v>4584.2210700000005</v>
      </c>
      <c r="E548" s="39">
        <f t="shared" ref="E548" si="980">$C547*E547</f>
        <v>38007.360144000006</v>
      </c>
      <c r="F548" s="39">
        <f t="shared" ref="F548" si="981">$C547*F547</f>
        <v>16003.099008000001</v>
      </c>
      <c r="G548" s="39">
        <f t="shared" ref="G548:AB548" si="982">$C547*G547</f>
        <v>22337.659032</v>
      </c>
      <c r="H548" s="39">
        <f t="shared" si="982"/>
        <v>11418.877938</v>
      </c>
      <c r="I548" s="39">
        <f t="shared" si="982"/>
        <v>37201.648562000002</v>
      </c>
      <c r="J548" s="39">
        <f t="shared" si="982"/>
        <v>5890.0294960000001</v>
      </c>
      <c r="K548" s="39">
        <f t="shared" si="982"/>
        <v>9029.5263500000001</v>
      </c>
      <c r="L548" s="39">
        <f t="shared" si="982"/>
        <v>4750.9200180000007</v>
      </c>
      <c r="M548" s="39">
        <f t="shared" si="982"/>
        <v>7223.6210799999999</v>
      </c>
      <c r="N548" s="39">
        <f t="shared" si="982"/>
        <v>37007.166456000006</v>
      </c>
      <c r="O548" s="39">
        <f t="shared" si="982"/>
        <v>5251.0168620000004</v>
      </c>
      <c r="P548" s="39">
        <f t="shared" si="982"/>
        <v>0</v>
      </c>
      <c r="Q548" s="39">
        <f t="shared" si="982"/>
        <v>10724.298988</v>
      </c>
      <c r="R548" s="39">
        <f t="shared" si="982"/>
        <v>5278.8000200000006</v>
      </c>
      <c r="S548" s="39">
        <f t="shared" si="982"/>
        <v>1166.892636</v>
      </c>
      <c r="T548" s="39">
        <f t="shared" si="982"/>
        <v>15002.90532</v>
      </c>
      <c r="U548" s="39">
        <f t="shared" si="982"/>
        <v>4945.4021240000002</v>
      </c>
      <c r="V548" s="39">
        <f t="shared" si="982"/>
        <v>10196.418986000002</v>
      </c>
      <c r="W548" s="39">
        <f t="shared" si="982"/>
        <v>13113.650576</v>
      </c>
      <c r="X548" s="39">
        <f t="shared" si="982"/>
        <v>17753.437962</v>
      </c>
      <c r="Y548" s="39">
        <f t="shared" si="982"/>
        <v>722.36210800000003</v>
      </c>
      <c r="Z548" s="39">
        <f t="shared" si="982"/>
        <v>0</v>
      </c>
      <c r="AA548" s="39">
        <f t="shared" si="982"/>
        <v>222.26526400000003</v>
      </c>
      <c r="AB548" s="39">
        <f t="shared" si="982"/>
        <v>0</v>
      </c>
      <c r="AC548" s="67"/>
      <c r="AD548" s="55"/>
    </row>
    <row r="549" spans="1:30" s="52" customFormat="1">
      <c r="A549" s="106" t="s">
        <v>224</v>
      </c>
      <c r="B549" s="181">
        <f>4928318/2</f>
        <v>2464159</v>
      </c>
      <c r="C549" s="211">
        <f t="shared" si="964"/>
        <v>205346.58</v>
      </c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2"/>
      <c r="Q549" s="43"/>
      <c r="R549" s="43"/>
      <c r="S549" s="43"/>
      <c r="T549" s="43"/>
      <c r="U549" s="43"/>
      <c r="V549" s="43"/>
      <c r="W549" s="43"/>
      <c r="X549" s="172">
        <v>0.96120000000000005</v>
      </c>
      <c r="Y549" s="172">
        <v>3.8800000000000001E-2</v>
      </c>
      <c r="Z549" s="42"/>
      <c r="AA549" s="42"/>
      <c r="AB549" s="42"/>
      <c r="AC549" s="67"/>
      <c r="AD549" s="55"/>
    </row>
    <row r="550" spans="1:30" s="52" customFormat="1">
      <c r="A550" s="100"/>
      <c r="B550" s="60"/>
      <c r="C550" s="211"/>
      <c r="D550" s="39">
        <f>$C549*D549</f>
        <v>0</v>
      </c>
      <c r="E550" s="39">
        <f t="shared" ref="E550" si="983">$C549*E549</f>
        <v>0</v>
      </c>
      <c r="F550" s="39">
        <f t="shared" ref="F550" si="984">$C549*F549</f>
        <v>0</v>
      </c>
      <c r="G550" s="39">
        <f t="shared" ref="G550:AB550" si="985">$C549*G549</f>
        <v>0</v>
      </c>
      <c r="H550" s="39">
        <f t="shared" si="985"/>
        <v>0</v>
      </c>
      <c r="I550" s="39">
        <f t="shared" si="985"/>
        <v>0</v>
      </c>
      <c r="J550" s="39">
        <f t="shared" si="985"/>
        <v>0</v>
      </c>
      <c r="K550" s="39">
        <f t="shared" si="985"/>
        <v>0</v>
      </c>
      <c r="L550" s="39">
        <f t="shared" si="985"/>
        <v>0</v>
      </c>
      <c r="M550" s="39">
        <f t="shared" si="985"/>
        <v>0</v>
      </c>
      <c r="N550" s="39">
        <f t="shared" si="985"/>
        <v>0</v>
      </c>
      <c r="O550" s="39">
        <f t="shared" si="985"/>
        <v>0</v>
      </c>
      <c r="P550" s="39">
        <f t="shared" si="985"/>
        <v>0</v>
      </c>
      <c r="Q550" s="39">
        <f t="shared" si="985"/>
        <v>0</v>
      </c>
      <c r="R550" s="39">
        <f t="shared" si="985"/>
        <v>0</v>
      </c>
      <c r="S550" s="39">
        <f t="shared" si="985"/>
        <v>0</v>
      </c>
      <c r="T550" s="39">
        <f t="shared" si="985"/>
        <v>0</v>
      </c>
      <c r="U550" s="39">
        <f t="shared" si="985"/>
        <v>0</v>
      </c>
      <c r="V550" s="39">
        <f t="shared" si="985"/>
        <v>0</v>
      </c>
      <c r="W550" s="39">
        <f t="shared" si="985"/>
        <v>0</v>
      </c>
      <c r="X550" s="39">
        <f t="shared" si="985"/>
        <v>197379.13269599999</v>
      </c>
      <c r="Y550" s="39">
        <f t="shared" si="985"/>
        <v>7967.4473039999993</v>
      </c>
      <c r="Z550" s="39">
        <f t="shared" si="985"/>
        <v>0</v>
      </c>
      <c r="AA550" s="39">
        <f t="shared" si="985"/>
        <v>0</v>
      </c>
      <c r="AB550" s="39">
        <f t="shared" si="985"/>
        <v>0</v>
      </c>
      <c r="AC550" s="67"/>
      <c r="AD550" s="55"/>
    </row>
    <row r="551" spans="1:30" s="52" customFormat="1">
      <c r="A551" s="106" t="s">
        <v>215</v>
      </c>
      <c r="B551" s="181">
        <f>4928318/2</f>
        <v>2464159</v>
      </c>
      <c r="C551" s="211">
        <f t="shared" si="964"/>
        <v>205346.58</v>
      </c>
      <c r="D551" s="170">
        <v>1.6500000000000001E-2</v>
      </c>
      <c r="E551" s="170">
        <v>0.1368</v>
      </c>
      <c r="F551" s="170">
        <v>5.7599999999999998E-2</v>
      </c>
      <c r="G551" s="170">
        <v>8.0399999999999999E-2</v>
      </c>
      <c r="H551" s="170">
        <v>4.1099999999999998E-2</v>
      </c>
      <c r="I551" s="170">
        <v>0.13389999999999999</v>
      </c>
      <c r="J551" s="170">
        <v>2.12E-2</v>
      </c>
      <c r="K551" s="170">
        <v>3.2500000000000001E-2</v>
      </c>
      <c r="L551" s="170">
        <v>1.7100000000000001E-2</v>
      </c>
      <c r="M551" s="170">
        <v>2.5999999999999999E-2</v>
      </c>
      <c r="N551" s="170">
        <v>0.13320000000000001</v>
      </c>
      <c r="O551" s="170">
        <v>1.89E-2</v>
      </c>
      <c r="P551" s="170">
        <v>0</v>
      </c>
      <c r="Q551" s="170">
        <v>3.8600000000000002E-2</v>
      </c>
      <c r="R551" s="170">
        <v>1.9E-2</v>
      </c>
      <c r="S551" s="170">
        <v>4.1999999999999997E-3</v>
      </c>
      <c r="T551" s="170">
        <v>5.3999999999999999E-2</v>
      </c>
      <c r="U551" s="170">
        <v>1.78E-2</v>
      </c>
      <c r="V551" s="170">
        <v>3.6700000000000003E-2</v>
      </c>
      <c r="W551" s="170">
        <v>4.7199999999999999E-2</v>
      </c>
      <c r="X551" s="170">
        <v>6.3899999999999998E-2</v>
      </c>
      <c r="Y551" s="170">
        <v>2.5999999999999999E-3</v>
      </c>
      <c r="Z551" s="171">
        <v>0</v>
      </c>
      <c r="AA551" s="171">
        <v>8.0000000000000004E-4</v>
      </c>
      <c r="AB551" s="171">
        <v>0</v>
      </c>
      <c r="AC551" s="67"/>
      <c r="AD551" s="55"/>
    </row>
    <row r="552" spans="1:30" s="52" customFormat="1">
      <c r="A552" s="100"/>
      <c r="B552" s="60"/>
      <c r="C552" s="211"/>
      <c r="D552" s="39">
        <f>$C551*D551</f>
        <v>3388.21857</v>
      </c>
      <c r="E552" s="39">
        <f t="shared" ref="E552" si="986">$C551*E551</f>
        <v>28091.412143999998</v>
      </c>
      <c r="F552" s="39">
        <f t="shared" ref="F552" si="987">$C551*F551</f>
        <v>11827.963007999999</v>
      </c>
      <c r="G552" s="39">
        <f t="shared" ref="G552:AB552" si="988">$C551*G551</f>
        <v>16509.865031999998</v>
      </c>
      <c r="H552" s="39">
        <f t="shared" si="988"/>
        <v>8439.7444379999997</v>
      </c>
      <c r="I552" s="39">
        <f t="shared" si="988"/>
        <v>27495.907061999995</v>
      </c>
      <c r="J552" s="39">
        <f t="shared" si="988"/>
        <v>4353.3474959999994</v>
      </c>
      <c r="K552" s="39">
        <f t="shared" si="988"/>
        <v>6673.7638499999994</v>
      </c>
      <c r="L552" s="39">
        <f t="shared" si="988"/>
        <v>3511.4265179999998</v>
      </c>
      <c r="M552" s="39">
        <f t="shared" si="988"/>
        <v>5339.0110799999993</v>
      </c>
      <c r="N552" s="39">
        <f t="shared" si="988"/>
        <v>27352.164456000002</v>
      </c>
      <c r="O552" s="39">
        <f t="shared" si="988"/>
        <v>3881.050362</v>
      </c>
      <c r="P552" s="39">
        <f t="shared" si="988"/>
        <v>0</v>
      </c>
      <c r="Q552" s="39">
        <f t="shared" si="988"/>
        <v>7926.3779880000002</v>
      </c>
      <c r="R552" s="39">
        <f t="shared" si="988"/>
        <v>3901.5850199999995</v>
      </c>
      <c r="S552" s="39">
        <f t="shared" si="988"/>
        <v>862.45563599999991</v>
      </c>
      <c r="T552" s="39">
        <f t="shared" si="988"/>
        <v>11088.715319999999</v>
      </c>
      <c r="U552" s="39">
        <f t="shared" si="988"/>
        <v>3655.1691239999996</v>
      </c>
      <c r="V552" s="39">
        <f t="shared" si="988"/>
        <v>7536.219486</v>
      </c>
      <c r="W552" s="39">
        <f t="shared" si="988"/>
        <v>9692.3585759999987</v>
      </c>
      <c r="X552" s="39">
        <f t="shared" si="988"/>
        <v>13121.646461999999</v>
      </c>
      <c r="Y552" s="39">
        <f t="shared" si="988"/>
        <v>533.90110799999991</v>
      </c>
      <c r="Z552" s="39">
        <f t="shared" si="988"/>
        <v>0</v>
      </c>
      <c r="AA552" s="39">
        <f t="shared" si="988"/>
        <v>164.277264</v>
      </c>
      <c r="AB552" s="39">
        <f t="shared" si="988"/>
        <v>0</v>
      </c>
      <c r="AC552" s="67"/>
      <c r="AD552" s="55"/>
    </row>
    <row r="553" spans="1:30" s="52" customFormat="1">
      <c r="A553" s="106" t="s">
        <v>225</v>
      </c>
      <c r="B553" s="181">
        <f>5555869/2</f>
        <v>2777934.5</v>
      </c>
      <c r="C553" s="211">
        <f t="shared" si="964"/>
        <v>231494.54</v>
      </c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2"/>
      <c r="Q553" s="43"/>
      <c r="R553" s="43"/>
      <c r="S553" s="43"/>
      <c r="T553" s="43"/>
      <c r="U553" s="43"/>
      <c r="V553" s="43"/>
      <c r="W553" s="43"/>
      <c r="X553" s="170">
        <v>0.96120000000000005</v>
      </c>
      <c r="Y553" s="170">
        <v>3.8800000000000001E-2</v>
      </c>
      <c r="Z553" s="42"/>
      <c r="AA553" s="42"/>
      <c r="AB553" s="42"/>
      <c r="AC553" s="67"/>
      <c r="AD553" s="55"/>
    </row>
    <row r="554" spans="1:30" s="52" customFormat="1">
      <c r="A554" s="100"/>
      <c r="B554" s="75"/>
      <c r="C554" s="211"/>
      <c r="D554" s="39">
        <f>$C553*D553</f>
        <v>0</v>
      </c>
      <c r="E554" s="39">
        <f t="shared" ref="E554" si="989">$C553*E553</f>
        <v>0</v>
      </c>
      <c r="F554" s="39">
        <f t="shared" ref="F554" si="990">$C553*F553</f>
        <v>0</v>
      </c>
      <c r="G554" s="39">
        <f t="shared" ref="G554:AB554" si="991">$C553*G553</f>
        <v>0</v>
      </c>
      <c r="H554" s="39">
        <f t="shared" si="991"/>
        <v>0</v>
      </c>
      <c r="I554" s="39">
        <f t="shared" si="991"/>
        <v>0</v>
      </c>
      <c r="J554" s="39">
        <f t="shared" si="991"/>
        <v>0</v>
      </c>
      <c r="K554" s="39">
        <f t="shared" si="991"/>
        <v>0</v>
      </c>
      <c r="L554" s="39">
        <f t="shared" si="991"/>
        <v>0</v>
      </c>
      <c r="M554" s="39">
        <f t="shared" si="991"/>
        <v>0</v>
      </c>
      <c r="N554" s="39">
        <f t="shared" si="991"/>
        <v>0</v>
      </c>
      <c r="O554" s="39">
        <f t="shared" si="991"/>
        <v>0</v>
      </c>
      <c r="P554" s="39">
        <f t="shared" si="991"/>
        <v>0</v>
      </c>
      <c r="Q554" s="39">
        <f t="shared" si="991"/>
        <v>0</v>
      </c>
      <c r="R554" s="39">
        <f t="shared" si="991"/>
        <v>0</v>
      </c>
      <c r="S554" s="39">
        <f t="shared" si="991"/>
        <v>0</v>
      </c>
      <c r="T554" s="39">
        <f t="shared" si="991"/>
        <v>0</v>
      </c>
      <c r="U554" s="39">
        <f t="shared" si="991"/>
        <v>0</v>
      </c>
      <c r="V554" s="39">
        <f t="shared" si="991"/>
        <v>0</v>
      </c>
      <c r="W554" s="39">
        <f t="shared" si="991"/>
        <v>0</v>
      </c>
      <c r="X554" s="39">
        <f t="shared" si="991"/>
        <v>222512.55184800003</v>
      </c>
      <c r="Y554" s="39">
        <f t="shared" si="991"/>
        <v>8981.9881519999999</v>
      </c>
      <c r="Z554" s="39">
        <f t="shared" si="991"/>
        <v>0</v>
      </c>
      <c r="AA554" s="39">
        <f t="shared" si="991"/>
        <v>0</v>
      </c>
      <c r="AB554" s="39">
        <f t="shared" si="991"/>
        <v>0</v>
      </c>
      <c r="AC554" s="67"/>
      <c r="AD554" s="55"/>
    </row>
    <row r="555" spans="1:30" s="52" customFormat="1">
      <c r="A555" s="106" t="s">
        <v>216</v>
      </c>
      <c r="B555" s="181">
        <f>5555869/2</f>
        <v>2777934.5</v>
      </c>
      <c r="C555" s="211">
        <f t="shared" si="964"/>
        <v>231494.54</v>
      </c>
      <c r="D555" s="170">
        <v>1.6500000000000001E-2</v>
      </c>
      <c r="E555" s="170">
        <v>0.1368</v>
      </c>
      <c r="F555" s="170">
        <v>5.7599999999999998E-2</v>
      </c>
      <c r="G555" s="170">
        <v>8.0399999999999999E-2</v>
      </c>
      <c r="H555" s="170">
        <v>4.1099999999999998E-2</v>
      </c>
      <c r="I555" s="170">
        <v>0.13389999999999999</v>
      </c>
      <c r="J555" s="170">
        <v>2.12E-2</v>
      </c>
      <c r="K555" s="170">
        <v>3.2500000000000001E-2</v>
      </c>
      <c r="L555" s="170">
        <v>1.7100000000000001E-2</v>
      </c>
      <c r="M555" s="170">
        <v>2.5999999999999999E-2</v>
      </c>
      <c r="N555" s="170">
        <v>0.13320000000000001</v>
      </c>
      <c r="O555" s="170">
        <v>1.89E-2</v>
      </c>
      <c r="P555" s="170">
        <v>0</v>
      </c>
      <c r="Q555" s="170">
        <v>3.8600000000000002E-2</v>
      </c>
      <c r="R555" s="170">
        <v>1.9E-2</v>
      </c>
      <c r="S555" s="170">
        <v>4.1999999999999997E-3</v>
      </c>
      <c r="T555" s="170">
        <v>5.3999999999999999E-2</v>
      </c>
      <c r="U555" s="170">
        <v>1.78E-2</v>
      </c>
      <c r="V555" s="170">
        <v>3.6700000000000003E-2</v>
      </c>
      <c r="W555" s="170">
        <v>4.7199999999999999E-2</v>
      </c>
      <c r="X555" s="170">
        <v>6.3899999999999998E-2</v>
      </c>
      <c r="Y555" s="170">
        <v>2.5999999999999999E-3</v>
      </c>
      <c r="Z555" s="171">
        <v>0</v>
      </c>
      <c r="AA555" s="171">
        <v>8.0000000000000004E-4</v>
      </c>
      <c r="AB555" s="171">
        <v>0</v>
      </c>
      <c r="AC555" s="67"/>
      <c r="AD555" s="55"/>
    </row>
    <row r="556" spans="1:30" s="52" customFormat="1">
      <c r="A556" s="100"/>
      <c r="B556" s="60"/>
      <c r="C556" s="211"/>
      <c r="D556" s="39">
        <f>$C555*D555</f>
        <v>3819.6599100000003</v>
      </c>
      <c r="E556" s="39">
        <f t="shared" ref="E556" si="992">$C555*E555</f>
        <v>31668.453072000004</v>
      </c>
      <c r="F556" s="39">
        <f t="shared" ref="F556" si="993">$C555*F555</f>
        <v>13334.085504000001</v>
      </c>
      <c r="G556" s="39">
        <f t="shared" ref="G556:AB556" si="994">$C555*G555</f>
        <v>18612.161016000002</v>
      </c>
      <c r="H556" s="39">
        <f t="shared" si="994"/>
        <v>9514.4255940000003</v>
      </c>
      <c r="I556" s="39">
        <f t="shared" si="994"/>
        <v>30997.118906</v>
      </c>
      <c r="J556" s="39">
        <f t="shared" si="994"/>
        <v>4907.6842480000005</v>
      </c>
      <c r="K556" s="39">
        <f t="shared" si="994"/>
        <v>7523.5725500000008</v>
      </c>
      <c r="L556" s="39">
        <f t="shared" si="994"/>
        <v>3958.5566340000005</v>
      </c>
      <c r="M556" s="39">
        <f t="shared" si="994"/>
        <v>6018.8580400000001</v>
      </c>
      <c r="N556" s="39">
        <f t="shared" si="994"/>
        <v>30835.072728000003</v>
      </c>
      <c r="O556" s="39">
        <f t="shared" si="994"/>
        <v>4375.2468060000001</v>
      </c>
      <c r="P556" s="39">
        <f t="shared" si="994"/>
        <v>0</v>
      </c>
      <c r="Q556" s="39">
        <f t="shared" si="994"/>
        <v>8935.6892440000011</v>
      </c>
      <c r="R556" s="39">
        <f t="shared" si="994"/>
        <v>4398.3962600000004</v>
      </c>
      <c r="S556" s="39">
        <f t="shared" si="994"/>
        <v>972.27706799999999</v>
      </c>
      <c r="T556" s="39">
        <f t="shared" si="994"/>
        <v>12500.70516</v>
      </c>
      <c r="U556" s="39">
        <f t="shared" si="994"/>
        <v>4120.6028120000001</v>
      </c>
      <c r="V556" s="39">
        <f t="shared" si="994"/>
        <v>8495.8496180000002</v>
      </c>
      <c r="W556" s="39">
        <f t="shared" si="994"/>
        <v>10926.542288000001</v>
      </c>
      <c r="X556" s="39">
        <f t="shared" si="994"/>
        <v>14792.501106</v>
      </c>
      <c r="Y556" s="39">
        <f t="shared" si="994"/>
        <v>601.88580400000001</v>
      </c>
      <c r="Z556" s="39">
        <f t="shared" si="994"/>
        <v>0</v>
      </c>
      <c r="AA556" s="39">
        <f t="shared" si="994"/>
        <v>185.19563200000002</v>
      </c>
      <c r="AB556" s="39">
        <f t="shared" si="994"/>
        <v>0</v>
      </c>
      <c r="AC556" s="67"/>
      <c r="AD556" s="55"/>
    </row>
    <row r="557" spans="1:30" s="52" customFormat="1">
      <c r="A557" s="106" t="s">
        <v>226</v>
      </c>
      <c r="B557" s="181">
        <f>5555870/2</f>
        <v>2777935</v>
      </c>
      <c r="C557" s="211">
        <f t="shared" si="964"/>
        <v>231494.58</v>
      </c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2"/>
      <c r="Q557" s="43"/>
      <c r="R557" s="43"/>
      <c r="S557" s="43"/>
      <c r="T557" s="43"/>
      <c r="U557" s="43"/>
      <c r="V557" s="43"/>
      <c r="W557" s="43"/>
      <c r="X557" s="170">
        <v>0.96120000000000005</v>
      </c>
      <c r="Y557" s="170">
        <v>3.8800000000000001E-2</v>
      </c>
      <c r="Z557" s="42"/>
      <c r="AA557" s="42"/>
      <c r="AB557" s="42"/>
      <c r="AC557" s="67"/>
      <c r="AD557" s="55"/>
    </row>
    <row r="558" spans="1:30" s="52" customFormat="1">
      <c r="A558" s="100"/>
      <c r="B558" s="60"/>
      <c r="C558" s="211"/>
      <c r="D558" s="39">
        <f>$C557*D557</f>
        <v>0</v>
      </c>
      <c r="E558" s="39">
        <f t="shared" ref="E558" si="995">$C557*E557</f>
        <v>0</v>
      </c>
      <c r="F558" s="39">
        <f t="shared" ref="F558" si="996">$C557*F557</f>
        <v>0</v>
      </c>
      <c r="G558" s="39">
        <f t="shared" ref="G558:AB558" si="997">$C557*G557</f>
        <v>0</v>
      </c>
      <c r="H558" s="39">
        <f t="shared" si="997"/>
        <v>0</v>
      </c>
      <c r="I558" s="39">
        <f t="shared" si="997"/>
        <v>0</v>
      </c>
      <c r="J558" s="39">
        <f t="shared" si="997"/>
        <v>0</v>
      </c>
      <c r="K558" s="39">
        <f t="shared" si="997"/>
        <v>0</v>
      </c>
      <c r="L558" s="39">
        <f t="shared" si="997"/>
        <v>0</v>
      </c>
      <c r="M558" s="39">
        <f t="shared" si="997"/>
        <v>0</v>
      </c>
      <c r="N558" s="39">
        <f t="shared" si="997"/>
        <v>0</v>
      </c>
      <c r="O558" s="39">
        <f t="shared" si="997"/>
        <v>0</v>
      </c>
      <c r="P558" s="39">
        <f t="shared" si="997"/>
        <v>0</v>
      </c>
      <c r="Q558" s="39">
        <f t="shared" si="997"/>
        <v>0</v>
      </c>
      <c r="R558" s="39">
        <f t="shared" si="997"/>
        <v>0</v>
      </c>
      <c r="S558" s="39">
        <f t="shared" si="997"/>
        <v>0</v>
      </c>
      <c r="T558" s="39">
        <f t="shared" si="997"/>
        <v>0</v>
      </c>
      <c r="U558" s="39">
        <f t="shared" si="997"/>
        <v>0</v>
      </c>
      <c r="V558" s="39">
        <f t="shared" si="997"/>
        <v>0</v>
      </c>
      <c r="W558" s="39">
        <f t="shared" si="997"/>
        <v>0</v>
      </c>
      <c r="X558" s="39">
        <f t="shared" si="997"/>
        <v>222512.59029600001</v>
      </c>
      <c r="Y558" s="39">
        <f t="shared" si="997"/>
        <v>8981.9897039999996</v>
      </c>
      <c r="Z558" s="39">
        <f t="shared" si="997"/>
        <v>0</v>
      </c>
      <c r="AA558" s="39">
        <f t="shared" si="997"/>
        <v>0</v>
      </c>
      <c r="AB558" s="39">
        <f t="shared" si="997"/>
        <v>0</v>
      </c>
      <c r="AC558" s="67"/>
      <c r="AD558" s="55"/>
    </row>
    <row r="559" spans="1:30" s="52" customFormat="1">
      <c r="A559" s="106" t="s">
        <v>217</v>
      </c>
      <c r="B559" s="181">
        <f>5555870/2</f>
        <v>2777935</v>
      </c>
      <c r="C559" s="211">
        <f t="shared" si="964"/>
        <v>231494.58</v>
      </c>
      <c r="D559" s="170">
        <v>1.6500000000000001E-2</v>
      </c>
      <c r="E559" s="170">
        <v>0.1368</v>
      </c>
      <c r="F559" s="170">
        <v>5.7599999999999998E-2</v>
      </c>
      <c r="G559" s="170">
        <v>8.0399999999999999E-2</v>
      </c>
      <c r="H559" s="170">
        <v>4.1099999999999998E-2</v>
      </c>
      <c r="I559" s="170">
        <v>0.13389999999999999</v>
      </c>
      <c r="J559" s="170">
        <v>2.12E-2</v>
      </c>
      <c r="K559" s="170">
        <v>3.2500000000000001E-2</v>
      </c>
      <c r="L559" s="170">
        <v>1.7100000000000001E-2</v>
      </c>
      <c r="M559" s="170">
        <v>2.5999999999999999E-2</v>
      </c>
      <c r="N559" s="170">
        <v>0.13320000000000001</v>
      </c>
      <c r="O559" s="170">
        <v>1.89E-2</v>
      </c>
      <c r="P559" s="170">
        <v>0</v>
      </c>
      <c r="Q559" s="170">
        <v>3.8600000000000002E-2</v>
      </c>
      <c r="R559" s="170">
        <v>1.9E-2</v>
      </c>
      <c r="S559" s="170">
        <v>4.1999999999999997E-3</v>
      </c>
      <c r="T559" s="170">
        <v>5.3999999999999999E-2</v>
      </c>
      <c r="U559" s="170">
        <v>1.78E-2</v>
      </c>
      <c r="V559" s="170">
        <v>3.6700000000000003E-2</v>
      </c>
      <c r="W559" s="170">
        <v>4.7199999999999999E-2</v>
      </c>
      <c r="X559" s="170">
        <v>6.3899999999999998E-2</v>
      </c>
      <c r="Y559" s="170">
        <v>2.5999999999999999E-3</v>
      </c>
      <c r="Z559" s="171">
        <v>0</v>
      </c>
      <c r="AA559" s="171">
        <v>8.0000000000000004E-4</v>
      </c>
      <c r="AB559" s="171">
        <v>0</v>
      </c>
      <c r="AC559" s="67"/>
      <c r="AD559" s="55"/>
    </row>
    <row r="560" spans="1:30" s="52" customFormat="1">
      <c r="A560" s="100"/>
      <c r="B560" s="60"/>
      <c r="C560" s="211"/>
      <c r="D560" s="39">
        <f>$C559*D559</f>
        <v>3819.66057</v>
      </c>
      <c r="E560" s="39">
        <f t="shared" ref="E560" si="998">$C559*E559</f>
        <v>31668.458544000001</v>
      </c>
      <c r="F560" s="39">
        <f t="shared" ref="F560" si="999">$C559*F559</f>
        <v>13334.087807999998</v>
      </c>
      <c r="G560" s="39">
        <f t="shared" ref="G560:AB560" si="1000">$C559*G559</f>
        <v>18612.164231999999</v>
      </c>
      <c r="H560" s="39">
        <f t="shared" si="1000"/>
        <v>9514.4272379999984</v>
      </c>
      <c r="I560" s="39">
        <f t="shared" si="1000"/>
        <v>30997.124261999998</v>
      </c>
      <c r="J560" s="39">
        <f t="shared" si="1000"/>
        <v>4907.6850960000002</v>
      </c>
      <c r="K560" s="39">
        <f t="shared" si="1000"/>
        <v>7523.5738499999998</v>
      </c>
      <c r="L560" s="39">
        <f t="shared" si="1000"/>
        <v>3958.5573180000001</v>
      </c>
      <c r="M560" s="39">
        <f t="shared" si="1000"/>
        <v>6018.8590799999993</v>
      </c>
      <c r="N560" s="39">
        <f t="shared" si="1000"/>
        <v>30835.078056000002</v>
      </c>
      <c r="O560" s="39">
        <f t="shared" si="1000"/>
        <v>4375.2475619999996</v>
      </c>
      <c r="P560" s="39">
        <f t="shared" si="1000"/>
        <v>0</v>
      </c>
      <c r="Q560" s="39">
        <f t="shared" si="1000"/>
        <v>8935.6907879999999</v>
      </c>
      <c r="R560" s="39">
        <f t="shared" si="1000"/>
        <v>4398.3970199999994</v>
      </c>
      <c r="S560" s="39">
        <f t="shared" si="1000"/>
        <v>972.2772359999999</v>
      </c>
      <c r="T560" s="39">
        <f t="shared" si="1000"/>
        <v>12500.70732</v>
      </c>
      <c r="U560" s="39">
        <f t="shared" si="1000"/>
        <v>4120.6035240000001</v>
      </c>
      <c r="V560" s="39">
        <f t="shared" si="1000"/>
        <v>8495.8510860000006</v>
      </c>
      <c r="W560" s="39">
        <f t="shared" si="1000"/>
        <v>10926.544175999999</v>
      </c>
      <c r="X560" s="39">
        <f t="shared" si="1000"/>
        <v>14792.503661999999</v>
      </c>
      <c r="Y560" s="39">
        <f t="shared" si="1000"/>
        <v>601.88590799999997</v>
      </c>
      <c r="Z560" s="39">
        <f t="shared" si="1000"/>
        <v>0</v>
      </c>
      <c r="AA560" s="39">
        <f t="shared" si="1000"/>
        <v>185.19566399999999</v>
      </c>
      <c r="AB560" s="39">
        <f t="shared" si="1000"/>
        <v>0</v>
      </c>
      <c r="AC560" s="67"/>
      <c r="AD560" s="55"/>
    </row>
    <row r="561" spans="1:30" s="52" customFormat="1">
      <c r="A561" s="106" t="s">
        <v>227</v>
      </c>
      <c r="B561" s="181">
        <f>3086992/2</f>
        <v>1543496</v>
      </c>
      <c r="C561" s="211">
        <f t="shared" si="964"/>
        <v>128624.67</v>
      </c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38">
        <v>0</v>
      </c>
      <c r="Q561" s="43"/>
      <c r="R561" s="43"/>
      <c r="S561" s="43"/>
      <c r="T561" s="43"/>
      <c r="U561" s="43"/>
      <c r="V561" s="43"/>
      <c r="W561" s="43"/>
      <c r="X561" s="38">
        <v>1</v>
      </c>
      <c r="Y561" s="38"/>
      <c r="Z561" s="43"/>
      <c r="AA561" s="43"/>
      <c r="AB561" s="43"/>
      <c r="AC561" s="67"/>
      <c r="AD561" s="55"/>
    </row>
    <row r="562" spans="1:30" s="52" customFormat="1">
      <c r="A562" s="100"/>
      <c r="B562" s="60"/>
      <c r="C562" s="211"/>
      <c r="D562" s="39">
        <f>$C561*D561</f>
        <v>0</v>
      </c>
      <c r="E562" s="39">
        <f t="shared" ref="E562" si="1001">$C561*E561</f>
        <v>0</v>
      </c>
      <c r="F562" s="39">
        <f t="shared" ref="F562" si="1002">$C561*F561</f>
        <v>0</v>
      </c>
      <c r="G562" s="39">
        <f t="shared" ref="G562:AB562" si="1003">$C561*G561</f>
        <v>0</v>
      </c>
      <c r="H562" s="39">
        <f t="shared" si="1003"/>
        <v>0</v>
      </c>
      <c r="I562" s="39">
        <f t="shared" si="1003"/>
        <v>0</v>
      </c>
      <c r="J562" s="39">
        <f t="shared" si="1003"/>
        <v>0</v>
      </c>
      <c r="K562" s="39">
        <f t="shared" si="1003"/>
        <v>0</v>
      </c>
      <c r="L562" s="39">
        <f t="shared" si="1003"/>
        <v>0</v>
      </c>
      <c r="M562" s="39">
        <f t="shared" si="1003"/>
        <v>0</v>
      </c>
      <c r="N562" s="39">
        <f t="shared" si="1003"/>
        <v>0</v>
      </c>
      <c r="O562" s="39">
        <f t="shared" si="1003"/>
        <v>0</v>
      </c>
      <c r="P562" s="39">
        <f t="shared" si="1003"/>
        <v>0</v>
      </c>
      <c r="Q562" s="39">
        <f t="shared" si="1003"/>
        <v>0</v>
      </c>
      <c r="R562" s="39">
        <f t="shared" si="1003"/>
        <v>0</v>
      </c>
      <c r="S562" s="39">
        <f t="shared" si="1003"/>
        <v>0</v>
      </c>
      <c r="T562" s="39">
        <f t="shared" si="1003"/>
        <v>0</v>
      </c>
      <c r="U562" s="39">
        <f t="shared" si="1003"/>
        <v>0</v>
      </c>
      <c r="V562" s="39">
        <f t="shared" si="1003"/>
        <v>0</v>
      </c>
      <c r="W562" s="39">
        <f t="shared" si="1003"/>
        <v>0</v>
      </c>
      <c r="X562" s="39">
        <f t="shared" si="1003"/>
        <v>128624.67</v>
      </c>
      <c r="Y562" s="39">
        <f t="shared" si="1003"/>
        <v>0</v>
      </c>
      <c r="Z562" s="39">
        <f t="shared" si="1003"/>
        <v>0</v>
      </c>
      <c r="AA562" s="39">
        <f t="shared" si="1003"/>
        <v>0</v>
      </c>
      <c r="AB562" s="39">
        <f t="shared" si="1003"/>
        <v>0</v>
      </c>
      <c r="AC562" s="67"/>
      <c r="AD562" s="55"/>
    </row>
    <row r="563" spans="1:30" s="52" customFormat="1">
      <c r="A563" s="106" t="s">
        <v>218</v>
      </c>
      <c r="B563" s="181">
        <f>3086992/2</f>
        <v>1543496</v>
      </c>
      <c r="C563" s="211">
        <f t="shared" si="964"/>
        <v>128624.67</v>
      </c>
      <c r="D563" s="170">
        <v>1.6500000000000001E-2</v>
      </c>
      <c r="E563" s="170">
        <v>0.1368</v>
      </c>
      <c r="F563" s="170">
        <v>5.7599999999999998E-2</v>
      </c>
      <c r="G563" s="170">
        <v>8.0399999999999999E-2</v>
      </c>
      <c r="H563" s="170">
        <v>4.1099999999999998E-2</v>
      </c>
      <c r="I563" s="170">
        <v>0.13389999999999999</v>
      </c>
      <c r="J563" s="170">
        <v>2.12E-2</v>
      </c>
      <c r="K563" s="170">
        <v>3.2500000000000001E-2</v>
      </c>
      <c r="L563" s="170">
        <v>1.7100000000000001E-2</v>
      </c>
      <c r="M563" s="170">
        <v>2.5999999999999999E-2</v>
      </c>
      <c r="N563" s="170">
        <v>0.13320000000000001</v>
      </c>
      <c r="O563" s="170">
        <v>1.89E-2</v>
      </c>
      <c r="P563" s="170">
        <v>0</v>
      </c>
      <c r="Q563" s="170">
        <v>3.8600000000000002E-2</v>
      </c>
      <c r="R563" s="170">
        <v>1.9E-2</v>
      </c>
      <c r="S563" s="170">
        <v>4.1999999999999997E-3</v>
      </c>
      <c r="T563" s="170">
        <v>5.3999999999999999E-2</v>
      </c>
      <c r="U563" s="170">
        <v>1.78E-2</v>
      </c>
      <c r="V563" s="170">
        <v>3.6700000000000003E-2</v>
      </c>
      <c r="W563" s="170">
        <v>4.7199999999999999E-2</v>
      </c>
      <c r="X563" s="170">
        <v>6.3899999999999998E-2</v>
      </c>
      <c r="Y563" s="170">
        <v>2.5999999999999999E-3</v>
      </c>
      <c r="Z563" s="171">
        <v>0</v>
      </c>
      <c r="AA563" s="171">
        <v>8.0000000000000004E-4</v>
      </c>
      <c r="AB563" s="171">
        <v>0</v>
      </c>
      <c r="AC563" s="67"/>
      <c r="AD563" s="55"/>
    </row>
    <row r="564" spans="1:30" s="52" customFormat="1">
      <c r="A564" s="100"/>
      <c r="B564" s="60"/>
      <c r="C564" s="211"/>
      <c r="D564" s="39">
        <f>$C563*D563</f>
        <v>2122.3070550000002</v>
      </c>
      <c r="E564" s="39">
        <f t="shared" ref="E564" si="1004">$C563*E563</f>
        <v>17595.854856000002</v>
      </c>
      <c r="F564" s="39">
        <f t="shared" ref="F564" si="1005">$C563*F563</f>
        <v>7408.780992</v>
      </c>
      <c r="G564" s="39">
        <f t="shared" ref="G564:AB564" si="1006">$C563*G563</f>
        <v>10341.423467999999</v>
      </c>
      <c r="H564" s="39">
        <f t="shared" si="1006"/>
        <v>5286.4739369999998</v>
      </c>
      <c r="I564" s="39">
        <f t="shared" si="1006"/>
        <v>17222.843312999998</v>
      </c>
      <c r="J564" s="39">
        <f t="shared" si="1006"/>
        <v>2726.8430039999998</v>
      </c>
      <c r="K564" s="39">
        <f t="shared" si="1006"/>
        <v>4180.3017749999999</v>
      </c>
      <c r="L564" s="39">
        <f t="shared" si="1006"/>
        <v>2199.4818570000002</v>
      </c>
      <c r="M564" s="39">
        <f t="shared" si="1006"/>
        <v>3344.2414199999998</v>
      </c>
      <c r="N564" s="39">
        <f t="shared" si="1006"/>
        <v>17132.806044000001</v>
      </c>
      <c r="O564" s="39">
        <f t="shared" si="1006"/>
        <v>2431.0062629999998</v>
      </c>
      <c r="P564" s="39">
        <f t="shared" si="1006"/>
        <v>0</v>
      </c>
      <c r="Q564" s="39">
        <f t="shared" si="1006"/>
        <v>4964.9122619999998</v>
      </c>
      <c r="R564" s="39">
        <f t="shared" si="1006"/>
        <v>2443.8687299999997</v>
      </c>
      <c r="S564" s="39">
        <f t="shared" si="1006"/>
        <v>540.223614</v>
      </c>
      <c r="T564" s="39">
        <f t="shared" si="1006"/>
        <v>6945.73218</v>
      </c>
      <c r="U564" s="39">
        <f t="shared" si="1006"/>
        <v>2289.5191260000001</v>
      </c>
      <c r="V564" s="39">
        <f t="shared" si="1006"/>
        <v>4720.5253890000004</v>
      </c>
      <c r="W564" s="39">
        <f t="shared" si="1006"/>
        <v>6071.0844239999997</v>
      </c>
      <c r="X564" s="39">
        <f t="shared" si="1006"/>
        <v>8219.1164129999997</v>
      </c>
      <c r="Y564" s="39">
        <f t="shared" si="1006"/>
        <v>334.42414199999996</v>
      </c>
      <c r="Z564" s="39">
        <f t="shared" si="1006"/>
        <v>0</v>
      </c>
      <c r="AA564" s="39">
        <f t="shared" si="1006"/>
        <v>102.899736</v>
      </c>
      <c r="AB564" s="39">
        <f t="shared" si="1006"/>
        <v>0</v>
      </c>
      <c r="AC564" s="67"/>
      <c r="AD564" s="55"/>
    </row>
    <row r="565" spans="1:30" s="52" customFormat="1">
      <c r="A565" s="106" t="s">
        <v>219</v>
      </c>
      <c r="B565" s="181">
        <v>0</v>
      </c>
      <c r="C565" s="211">
        <f t="shared" si="964"/>
        <v>0</v>
      </c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2"/>
      <c r="Q565" s="43"/>
      <c r="R565" s="43"/>
      <c r="S565" s="43"/>
      <c r="T565" s="43"/>
      <c r="U565" s="43"/>
      <c r="V565" s="43"/>
      <c r="W565" s="43"/>
      <c r="X565" s="170">
        <v>0.96120000000000005</v>
      </c>
      <c r="Y565" s="170">
        <v>3.8800000000000001E-2</v>
      </c>
      <c r="Z565" s="42"/>
      <c r="AA565" s="42"/>
      <c r="AB565" s="42"/>
      <c r="AC565" s="67"/>
      <c r="AD565" s="55"/>
    </row>
    <row r="566" spans="1:30" s="52" customFormat="1">
      <c r="A566" s="100"/>
      <c r="B566" s="202"/>
      <c r="C566" s="211"/>
      <c r="D566" s="39">
        <f>$C565*D565</f>
        <v>0</v>
      </c>
      <c r="E566" s="39">
        <f t="shared" ref="E566" si="1007">$C565*E565</f>
        <v>0</v>
      </c>
      <c r="F566" s="39">
        <f t="shared" ref="F566" si="1008">$C565*F565</f>
        <v>0</v>
      </c>
      <c r="G566" s="39">
        <f t="shared" ref="G566:AB566" si="1009">$C565*G565</f>
        <v>0</v>
      </c>
      <c r="H566" s="39">
        <f t="shared" si="1009"/>
        <v>0</v>
      </c>
      <c r="I566" s="39">
        <f t="shared" si="1009"/>
        <v>0</v>
      </c>
      <c r="J566" s="39">
        <f t="shared" si="1009"/>
        <v>0</v>
      </c>
      <c r="K566" s="39">
        <f t="shared" si="1009"/>
        <v>0</v>
      </c>
      <c r="L566" s="39">
        <f t="shared" si="1009"/>
        <v>0</v>
      </c>
      <c r="M566" s="39">
        <f t="shared" si="1009"/>
        <v>0</v>
      </c>
      <c r="N566" s="39">
        <f t="shared" si="1009"/>
        <v>0</v>
      </c>
      <c r="O566" s="39">
        <f t="shared" si="1009"/>
        <v>0</v>
      </c>
      <c r="P566" s="39">
        <f t="shared" si="1009"/>
        <v>0</v>
      </c>
      <c r="Q566" s="39">
        <f t="shared" si="1009"/>
        <v>0</v>
      </c>
      <c r="R566" s="39">
        <f t="shared" si="1009"/>
        <v>0</v>
      </c>
      <c r="S566" s="39">
        <f t="shared" si="1009"/>
        <v>0</v>
      </c>
      <c r="T566" s="39">
        <f t="shared" si="1009"/>
        <v>0</v>
      </c>
      <c r="U566" s="39">
        <f t="shared" si="1009"/>
        <v>0</v>
      </c>
      <c r="V566" s="39">
        <f t="shared" si="1009"/>
        <v>0</v>
      </c>
      <c r="W566" s="39">
        <f t="shared" si="1009"/>
        <v>0</v>
      </c>
      <c r="X566" s="39">
        <f t="shared" si="1009"/>
        <v>0</v>
      </c>
      <c r="Y566" s="39">
        <f t="shared" si="1009"/>
        <v>0</v>
      </c>
      <c r="Z566" s="39">
        <f t="shared" si="1009"/>
        <v>0</v>
      </c>
      <c r="AA566" s="39">
        <f t="shared" si="1009"/>
        <v>0</v>
      </c>
      <c r="AB566" s="39">
        <f t="shared" si="1009"/>
        <v>0</v>
      </c>
      <c r="AC566" s="67"/>
      <c r="AD566" s="55"/>
    </row>
    <row r="567" spans="1:30" s="52" customFormat="1">
      <c r="A567" s="106" t="s">
        <v>220</v>
      </c>
      <c r="B567" s="181">
        <v>0</v>
      </c>
      <c r="C567" s="211">
        <f t="shared" si="964"/>
        <v>0</v>
      </c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2"/>
      <c r="Q567" s="43"/>
      <c r="R567" s="43"/>
      <c r="S567" s="43"/>
      <c r="T567" s="43"/>
      <c r="U567" s="43"/>
      <c r="V567" s="43"/>
      <c r="W567" s="43"/>
      <c r="X567" s="170">
        <v>0.96120000000000005</v>
      </c>
      <c r="Y567" s="170">
        <v>3.8800000000000001E-2</v>
      </c>
      <c r="Z567" s="5"/>
      <c r="AA567" s="5"/>
      <c r="AB567" s="5"/>
      <c r="AC567" s="67"/>
      <c r="AD567" s="55"/>
    </row>
    <row r="568" spans="1:30" s="52" customFormat="1">
      <c r="A568" s="100"/>
      <c r="B568" s="202"/>
      <c r="C568" s="211"/>
      <c r="D568" s="39">
        <f>$C567*D567</f>
        <v>0</v>
      </c>
      <c r="E568" s="39">
        <f t="shared" ref="E568" si="1010">$C567*E567</f>
        <v>0</v>
      </c>
      <c r="F568" s="39">
        <f t="shared" ref="F568" si="1011">$C567*F567</f>
        <v>0</v>
      </c>
      <c r="G568" s="39">
        <f t="shared" ref="G568:AB568" si="1012">$C567*G567</f>
        <v>0</v>
      </c>
      <c r="H568" s="39">
        <f t="shared" si="1012"/>
        <v>0</v>
      </c>
      <c r="I568" s="39">
        <f t="shared" si="1012"/>
        <v>0</v>
      </c>
      <c r="J568" s="39">
        <f t="shared" si="1012"/>
        <v>0</v>
      </c>
      <c r="K568" s="39">
        <f t="shared" si="1012"/>
        <v>0</v>
      </c>
      <c r="L568" s="39">
        <f t="shared" si="1012"/>
        <v>0</v>
      </c>
      <c r="M568" s="39">
        <f t="shared" si="1012"/>
        <v>0</v>
      </c>
      <c r="N568" s="39">
        <f t="shared" si="1012"/>
        <v>0</v>
      </c>
      <c r="O568" s="39">
        <f t="shared" si="1012"/>
        <v>0</v>
      </c>
      <c r="P568" s="39">
        <f t="shared" si="1012"/>
        <v>0</v>
      </c>
      <c r="Q568" s="39">
        <f t="shared" si="1012"/>
        <v>0</v>
      </c>
      <c r="R568" s="39">
        <f t="shared" si="1012"/>
        <v>0</v>
      </c>
      <c r="S568" s="39">
        <f t="shared" si="1012"/>
        <v>0</v>
      </c>
      <c r="T568" s="39">
        <f t="shared" si="1012"/>
        <v>0</v>
      </c>
      <c r="U568" s="39">
        <f t="shared" si="1012"/>
        <v>0</v>
      </c>
      <c r="V568" s="39">
        <f t="shared" si="1012"/>
        <v>0</v>
      </c>
      <c r="W568" s="39">
        <f t="shared" si="1012"/>
        <v>0</v>
      </c>
      <c r="X568" s="39">
        <f t="shared" si="1012"/>
        <v>0</v>
      </c>
      <c r="Y568" s="39">
        <f t="shared" si="1012"/>
        <v>0</v>
      </c>
      <c r="Z568" s="39">
        <f t="shared" si="1012"/>
        <v>0</v>
      </c>
      <c r="AA568" s="39">
        <f t="shared" si="1012"/>
        <v>0</v>
      </c>
      <c r="AB568" s="39">
        <f t="shared" si="1012"/>
        <v>0</v>
      </c>
      <c r="AC568" s="67"/>
      <c r="AD568" s="55"/>
    </row>
    <row r="569" spans="1:30" s="52" customFormat="1">
      <c r="A569" s="106" t="s">
        <v>221</v>
      </c>
      <c r="B569" s="181">
        <v>0</v>
      </c>
      <c r="C569" s="211">
        <f t="shared" si="964"/>
        <v>0</v>
      </c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2"/>
      <c r="Q569" s="43"/>
      <c r="R569" s="43"/>
      <c r="S569" s="43"/>
      <c r="T569" s="43"/>
      <c r="U569" s="43"/>
      <c r="V569" s="43"/>
      <c r="W569" s="43"/>
      <c r="X569" s="170">
        <v>0.96120000000000005</v>
      </c>
      <c r="Y569" s="170">
        <v>3.8800000000000001E-2</v>
      </c>
      <c r="Z569" s="42"/>
      <c r="AA569" s="42"/>
      <c r="AB569" s="42"/>
      <c r="AC569" s="67"/>
      <c r="AD569" s="55"/>
    </row>
    <row r="570" spans="1:30" s="52" customFormat="1">
      <c r="A570" s="100"/>
      <c r="B570" s="60"/>
      <c r="C570" s="211"/>
      <c r="D570" s="39">
        <f>$C569*D569</f>
        <v>0</v>
      </c>
      <c r="E570" s="39">
        <f t="shared" ref="E570" si="1013">$C569*E569</f>
        <v>0</v>
      </c>
      <c r="F570" s="39">
        <f t="shared" ref="F570" si="1014">$C569*F569</f>
        <v>0</v>
      </c>
      <c r="G570" s="39">
        <f t="shared" ref="G570:AB570" si="1015">$C569*G569</f>
        <v>0</v>
      </c>
      <c r="H570" s="39">
        <f t="shared" si="1015"/>
        <v>0</v>
      </c>
      <c r="I570" s="39">
        <f t="shared" si="1015"/>
        <v>0</v>
      </c>
      <c r="J570" s="39">
        <f t="shared" si="1015"/>
        <v>0</v>
      </c>
      <c r="K570" s="39">
        <f t="shared" si="1015"/>
        <v>0</v>
      </c>
      <c r="L570" s="39">
        <f t="shared" si="1015"/>
        <v>0</v>
      </c>
      <c r="M570" s="39">
        <f t="shared" si="1015"/>
        <v>0</v>
      </c>
      <c r="N570" s="39">
        <f t="shared" si="1015"/>
        <v>0</v>
      </c>
      <c r="O570" s="39">
        <f t="shared" si="1015"/>
        <v>0</v>
      </c>
      <c r="P570" s="39">
        <f t="shared" si="1015"/>
        <v>0</v>
      </c>
      <c r="Q570" s="39">
        <f t="shared" si="1015"/>
        <v>0</v>
      </c>
      <c r="R570" s="39">
        <f t="shared" si="1015"/>
        <v>0</v>
      </c>
      <c r="S570" s="39">
        <f t="shared" si="1015"/>
        <v>0</v>
      </c>
      <c r="T570" s="39">
        <f t="shared" si="1015"/>
        <v>0</v>
      </c>
      <c r="U570" s="39">
        <f t="shared" si="1015"/>
        <v>0</v>
      </c>
      <c r="V570" s="39">
        <f t="shared" si="1015"/>
        <v>0</v>
      </c>
      <c r="W570" s="39">
        <f t="shared" si="1015"/>
        <v>0</v>
      </c>
      <c r="X570" s="39">
        <f t="shared" si="1015"/>
        <v>0</v>
      </c>
      <c r="Y570" s="39">
        <f t="shared" si="1015"/>
        <v>0</v>
      </c>
      <c r="Z570" s="39">
        <f t="shared" si="1015"/>
        <v>0</v>
      </c>
      <c r="AA570" s="39">
        <f t="shared" si="1015"/>
        <v>0</v>
      </c>
      <c r="AB570" s="39">
        <f t="shared" si="1015"/>
        <v>0</v>
      </c>
      <c r="AC570" s="67"/>
      <c r="AD570" s="55"/>
    </row>
    <row r="571" spans="1:30" s="52" customFormat="1">
      <c r="A571" s="106" t="s">
        <v>222</v>
      </c>
      <c r="B571" s="181">
        <v>3443697</v>
      </c>
      <c r="C571" s="211">
        <f t="shared" si="964"/>
        <v>286974.75</v>
      </c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2"/>
      <c r="Q571" s="43"/>
      <c r="R571" s="43"/>
      <c r="S571" s="43"/>
      <c r="T571" s="43"/>
      <c r="U571" s="43"/>
      <c r="V571" s="43"/>
      <c r="W571" s="43"/>
      <c r="X571" s="170">
        <v>0.96120000000000005</v>
      </c>
      <c r="Y571" s="170">
        <v>3.8800000000000001E-2</v>
      </c>
      <c r="Z571" s="42"/>
      <c r="AA571" s="42"/>
      <c r="AB571" s="42"/>
      <c r="AC571" s="67"/>
      <c r="AD571" s="55"/>
    </row>
    <row r="572" spans="1:30" s="52" customFormat="1">
      <c r="A572" s="100"/>
      <c r="B572" s="60"/>
      <c r="C572" s="211"/>
      <c r="D572" s="39">
        <f>$C571*D571</f>
        <v>0</v>
      </c>
      <c r="E572" s="39">
        <f t="shared" ref="E572" si="1016">$C571*E571</f>
        <v>0</v>
      </c>
      <c r="F572" s="39">
        <f t="shared" ref="F572" si="1017">$C571*F571</f>
        <v>0</v>
      </c>
      <c r="G572" s="39">
        <f t="shared" ref="G572:AB572" si="1018">$C571*G571</f>
        <v>0</v>
      </c>
      <c r="H572" s="39">
        <f t="shared" si="1018"/>
        <v>0</v>
      </c>
      <c r="I572" s="39">
        <f t="shared" si="1018"/>
        <v>0</v>
      </c>
      <c r="J572" s="39">
        <f t="shared" si="1018"/>
        <v>0</v>
      </c>
      <c r="K572" s="39">
        <f t="shared" si="1018"/>
        <v>0</v>
      </c>
      <c r="L572" s="39">
        <f t="shared" si="1018"/>
        <v>0</v>
      </c>
      <c r="M572" s="39">
        <f t="shared" si="1018"/>
        <v>0</v>
      </c>
      <c r="N572" s="39">
        <f t="shared" si="1018"/>
        <v>0</v>
      </c>
      <c r="O572" s="39">
        <f t="shared" si="1018"/>
        <v>0</v>
      </c>
      <c r="P572" s="39">
        <f t="shared" si="1018"/>
        <v>0</v>
      </c>
      <c r="Q572" s="39">
        <f t="shared" si="1018"/>
        <v>0</v>
      </c>
      <c r="R572" s="39">
        <f t="shared" si="1018"/>
        <v>0</v>
      </c>
      <c r="S572" s="39">
        <f t="shared" si="1018"/>
        <v>0</v>
      </c>
      <c r="T572" s="39">
        <f t="shared" si="1018"/>
        <v>0</v>
      </c>
      <c r="U572" s="39">
        <f t="shared" si="1018"/>
        <v>0</v>
      </c>
      <c r="V572" s="39">
        <f t="shared" si="1018"/>
        <v>0</v>
      </c>
      <c r="W572" s="39">
        <f t="shared" si="1018"/>
        <v>0</v>
      </c>
      <c r="X572" s="39">
        <f t="shared" si="1018"/>
        <v>275840.12969999999</v>
      </c>
      <c r="Y572" s="39">
        <f t="shared" si="1018"/>
        <v>11134.6203</v>
      </c>
      <c r="Z572" s="39">
        <f t="shared" si="1018"/>
        <v>0</v>
      </c>
      <c r="AA572" s="39">
        <f t="shared" si="1018"/>
        <v>0</v>
      </c>
      <c r="AB572" s="39">
        <f t="shared" si="1018"/>
        <v>0</v>
      </c>
      <c r="AC572" s="67"/>
      <c r="AD572" s="55"/>
    </row>
    <row r="573" spans="1:30" s="52" customFormat="1">
      <c r="A573" s="99" t="s">
        <v>266</v>
      </c>
      <c r="B573" s="196">
        <v>1070875</v>
      </c>
      <c r="C573" s="211">
        <f t="shared" si="964"/>
        <v>89239.58</v>
      </c>
      <c r="D573" s="44"/>
      <c r="E573" s="44"/>
      <c r="F573" s="44"/>
      <c r="G573" s="44"/>
      <c r="H573" s="42">
        <v>3.0499999999999999E-2</v>
      </c>
      <c r="I573" s="42"/>
      <c r="J573" s="42"/>
      <c r="K573" s="42"/>
      <c r="L573" s="42"/>
      <c r="M573" s="42"/>
      <c r="N573" s="42"/>
      <c r="O573" s="42"/>
      <c r="P573" s="42">
        <v>2.0999999999999999E-3</v>
      </c>
      <c r="Q573" s="42"/>
      <c r="R573" s="42">
        <v>8.3000000000000001E-3</v>
      </c>
      <c r="S573" s="42"/>
      <c r="T573" s="42">
        <v>0.91359999999999997</v>
      </c>
      <c r="U573" s="42"/>
      <c r="V573" s="42">
        <v>1.9300000000000001E-2</v>
      </c>
      <c r="W573" s="42">
        <v>2.46E-2</v>
      </c>
      <c r="X573" s="42"/>
      <c r="Y573" s="42"/>
      <c r="Z573" s="42">
        <v>1.6000000000000001E-3</v>
      </c>
      <c r="AA573" s="42">
        <v>0</v>
      </c>
      <c r="AB573" s="42">
        <v>0</v>
      </c>
      <c r="AC573" s="67"/>
      <c r="AD573" s="55"/>
    </row>
    <row r="574" spans="1:30" s="52" customFormat="1">
      <c r="A574" s="100"/>
      <c r="B574" s="137"/>
      <c r="C574" s="211"/>
      <c r="D574" s="39">
        <f t="shared" ref="D574" si="1019">$C573*D573</f>
        <v>0</v>
      </c>
      <c r="E574" s="39">
        <f t="shared" ref="E574" si="1020">$C573*E573</f>
        <v>0</v>
      </c>
      <c r="F574" s="39">
        <f t="shared" ref="F574:O574" si="1021">$C573*F573</f>
        <v>0</v>
      </c>
      <c r="G574" s="39">
        <f t="shared" si="1021"/>
        <v>0</v>
      </c>
      <c r="H574" s="39">
        <f t="shared" si="1021"/>
        <v>2721.80719</v>
      </c>
      <c r="I574" s="39">
        <f t="shared" si="1021"/>
        <v>0</v>
      </c>
      <c r="J574" s="39">
        <f t="shared" si="1021"/>
        <v>0</v>
      </c>
      <c r="K574" s="39">
        <f t="shared" si="1021"/>
        <v>0</v>
      </c>
      <c r="L574" s="39">
        <f t="shared" si="1021"/>
        <v>0</v>
      </c>
      <c r="M574" s="39">
        <f t="shared" si="1021"/>
        <v>0</v>
      </c>
      <c r="N574" s="39">
        <f t="shared" si="1021"/>
        <v>0</v>
      </c>
      <c r="O574" s="39">
        <f t="shared" si="1021"/>
        <v>0</v>
      </c>
      <c r="P574" s="39">
        <f t="shared" ref="P574" si="1022">$C573*P573</f>
        <v>187.40311800000001</v>
      </c>
      <c r="Q574" s="39">
        <f t="shared" ref="Q574" si="1023">$C573*Q573</f>
        <v>0</v>
      </c>
      <c r="R574" s="39">
        <f t="shared" ref="R574:AB574" si="1024">$C573*R573</f>
        <v>740.68851400000005</v>
      </c>
      <c r="S574" s="39">
        <f t="shared" si="1024"/>
        <v>0</v>
      </c>
      <c r="T574" s="39">
        <f t="shared" si="1024"/>
        <v>81529.280287999994</v>
      </c>
      <c r="U574" s="39">
        <f t="shared" si="1024"/>
        <v>0</v>
      </c>
      <c r="V574" s="39">
        <f t="shared" si="1024"/>
        <v>1722.3238940000001</v>
      </c>
      <c r="W574" s="39">
        <f t="shared" si="1024"/>
        <v>2195.2936680000003</v>
      </c>
      <c r="X574" s="39">
        <f t="shared" si="1024"/>
        <v>0</v>
      </c>
      <c r="Y574" s="39">
        <f t="shared" si="1024"/>
        <v>0</v>
      </c>
      <c r="Z574" s="39">
        <f t="shared" si="1024"/>
        <v>142.78332800000001</v>
      </c>
      <c r="AA574" s="39">
        <f t="shared" si="1024"/>
        <v>0</v>
      </c>
      <c r="AB574" s="39">
        <f t="shared" si="1024"/>
        <v>0</v>
      </c>
      <c r="AC574" s="67"/>
      <c r="AD574" s="55"/>
    </row>
    <row r="575" spans="1:30" s="52" customFormat="1">
      <c r="A575" s="99" t="s">
        <v>267</v>
      </c>
      <c r="B575" s="196">
        <v>3103635</v>
      </c>
      <c r="C575" s="211">
        <f t="shared" si="964"/>
        <v>258636.25</v>
      </c>
      <c r="D575" s="42">
        <v>4.9599999999999998E-2</v>
      </c>
      <c r="E575" s="44"/>
      <c r="F575" s="44"/>
      <c r="G575" s="44"/>
      <c r="H575" s="42"/>
      <c r="I575" s="42"/>
      <c r="J575" s="42"/>
      <c r="K575" s="42"/>
      <c r="L575" s="42"/>
      <c r="M575" s="42"/>
      <c r="N575" s="42"/>
      <c r="O575" s="42"/>
      <c r="P575" s="42">
        <v>1.5E-3</v>
      </c>
      <c r="Q575" s="42">
        <v>0.442</v>
      </c>
      <c r="R575" s="42"/>
      <c r="S575" s="42">
        <v>5.3E-3</v>
      </c>
      <c r="T575" s="42"/>
      <c r="U575" s="42"/>
      <c r="V575" s="42"/>
      <c r="W575" s="42"/>
      <c r="X575" s="42">
        <v>0.48080000000000001</v>
      </c>
      <c r="Y575" s="42">
        <v>1.9199999999999998E-2</v>
      </c>
      <c r="Z575" s="42">
        <v>1.6000000000000001E-3</v>
      </c>
      <c r="AA575" s="42">
        <v>0</v>
      </c>
      <c r="AB575" s="42">
        <v>0</v>
      </c>
      <c r="AC575" s="67"/>
      <c r="AD575" s="55"/>
    </row>
    <row r="576" spans="1:30" s="52" customFormat="1">
      <c r="A576" s="100"/>
      <c r="B576" s="137"/>
      <c r="C576" s="211"/>
      <c r="D576" s="39">
        <f t="shared" ref="D576" si="1025">$C575*D575</f>
        <v>12828.358</v>
      </c>
      <c r="E576" s="39">
        <f t="shared" ref="E576" si="1026">$C575*E575</f>
        <v>0</v>
      </c>
      <c r="F576" s="39">
        <f t="shared" ref="F576:O576" si="1027">$C575*F575</f>
        <v>0</v>
      </c>
      <c r="G576" s="39">
        <f t="shared" si="1027"/>
        <v>0</v>
      </c>
      <c r="H576" s="39">
        <f t="shared" si="1027"/>
        <v>0</v>
      </c>
      <c r="I576" s="39">
        <f t="shared" si="1027"/>
        <v>0</v>
      </c>
      <c r="J576" s="39">
        <f t="shared" si="1027"/>
        <v>0</v>
      </c>
      <c r="K576" s="39">
        <f t="shared" si="1027"/>
        <v>0</v>
      </c>
      <c r="L576" s="39">
        <f t="shared" si="1027"/>
        <v>0</v>
      </c>
      <c r="M576" s="39">
        <f t="shared" si="1027"/>
        <v>0</v>
      </c>
      <c r="N576" s="39">
        <f t="shared" si="1027"/>
        <v>0</v>
      </c>
      <c r="O576" s="39">
        <f t="shared" si="1027"/>
        <v>0</v>
      </c>
      <c r="P576" s="39">
        <f t="shared" ref="P576" si="1028">$C575*P575</f>
        <v>387.95437500000003</v>
      </c>
      <c r="Q576" s="39">
        <f t="shared" ref="Q576" si="1029">$C575*Q575</f>
        <v>114317.2225</v>
      </c>
      <c r="R576" s="39">
        <f t="shared" ref="R576:AB576" si="1030">$C575*R575</f>
        <v>0</v>
      </c>
      <c r="S576" s="39">
        <f t="shared" si="1030"/>
        <v>1370.772125</v>
      </c>
      <c r="T576" s="39">
        <f t="shared" si="1030"/>
        <v>0</v>
      </c>
      <c r="U576" s="39">
        <f t="shared" si="1030"/>
        <v>0</v>
      </c>
      <c r="V576" s="39">
        <f t="shared" si="1030"/>
        <v>0</v>
      </c>
      <c r="W576" s="39">
        <f t="shared" si="1030"/>
        <v>0</v>
      </c>
      <c r="X576" s="39">
        <f t="shared" si="1030"/>
        <v>124352.30900000001</v>
      </c>
      <c r="Y576" s="39">
        <f t="shared" si="1030"/>
        <v>4965.8159999999998</v>
      </c>
      <c r="Z576" s="39">
        <f t="shared" si="1030"/>
        <v>413.81800000000004</v>
      </c>
      <c r="AA576" s="39">
        <f t="shared" si="1030"/>
        <v>0</v>
      </c>
      <c r="AB576" s="39">
        <f t="shared" si="1030"/>
        <v>0</v>
      </c>
      <c r="AC576" s="67"/>
      <c r="AD576" s="55"/>
    </row>
    <row r="577" spans="1:30" s="52" customFormat="1">
      <c r="A577" s="106" t="s">
        <v>284</v>
      </c>
      <c r="B577" s="181">
        <f>17674138/2</f>
        <v>8837069</v>
      </c>
      <c r="C577" s="211">
        <f t="shared" si="964"/>
        <v>736422.42</v>
      </c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2"/>
      <c r="Q577" s="43"/>
      <c r="R577" s="43"/>
      <c r="S577" s="43"/>
      <c r="T577" s="43"/>
      <c r="U577" s="43"/>
      <c r="V577" s="43"/>
      <c r="W577" s="43"/>
      <c r="X577" s="172">
        <v>0.96120000000000005</v>
      </c>
      <c r="Y577" s="172">
        <v>3.8800000000000001E-2</v>
      </c>
      <c r="Z577" s="42"/>
      <c r="AA577" s="42"/>
      <c r="AB577" s="42"/>
      <c r="AC577" s="67"/>
      <c r="AD577" s="55"/>
    </row>
    <row r="578" spans="1:30" s="52" customFormat="1">
      <c r="A578" s="100"/>
      <c r="B578" s="60"/>
      <c r="C578" s="211"/>
      <c r="D578" s="39">
        <f>$C577*D577</f>
        <v>0</v>
      </c>
      <c r="E578" s="39">
        <f t="shared" ref="E578" si="1031">$C577*E577</f>
        <v>0</v>
      </c>
      <c r="F578" s="39">
        <f t="shared" ref="F578" si="1032">$C577*F577</f>
        <v>0</v>
      </c>
      <c r="G578" s="39">
        <f t="shared" ref="G578:AB578" si="1033">$C577*G577</f>
        <v>0</v>
      </c>
      <c r="H578" s="39">
        <f t="shared" si="1033"/>
        <v>0</v>
      </c>
      <c r="I578" s="39">
        <f t="shared" si="1033"/>
        <v>0</v>
      </c>
      <c r="J578" s="39">
        <f t="shared" si="1033"/>
        <v>0</v>
      </c>
      <c r="K578" s="39">
        <f t="shared" si="1033"/>
        <v>0</v>
      </c>
      <c r="L578" s="39">
        <f t="shared" si="1033"/>
        <v>0</v>
      </c>
      <c r="M578" s="39">
        <f t="shared" si="1033"/>
        <v>0</v>
      </c>
      <c r="N578" s="39">
        <f t="shared" si="1033"/>
        <v>0</v>
      </c>
      <c r="O578" s="39">
        <f t="shared" si="1033"/>
        <v>0</v>
      </c>
      <c r="P578" s="39">
        <f t="shared" si="1033"/>
        <v>0</v>
      </c>
      <c r="Q578" s="39">
        <f t="shared" si="1033"/>
        <v>0</v>
      </c>
      <c r="R578" s="39">
        <f t="shared" si="1033"/>
        <v>0</v>
      </c>
      <c r="S578" s="39">
        <f t="shared" si="1033"/>
        <v>0</v>
      </c>
      <c r="T578" s="39">
        <f t="shared" si="1033"/>
        <v>0</v>
      </c>
      <c r="U578" s="39">
        <f t="shared" si="1033"/>
        <v>0</v>
      </c>
      <c r="V578" s="39">
        <f t="shared" si="1033"/>
        <v>0</v>
      </c>
      <c r="W578" s="39">
        <f t="shared" si="1033"/>
        <v>0</v>
      </c>
      <c r="X578" s="39">
        <f t="shared" si="1033"/>
        <v>707849.23010400007</v>
      </c>
      <c r="Y578" s="39">
        <f t="shared" si="1033"/>
        <v>28573.189896000004</v>
      </c>
      <c r="Z578" s="39">
        <f t="shared" si="1033"/>
        <v>0</v>
      </c>
      <c r="AA578" s="39">
        <f t="shared" si="1033"/>
        <v>0</v>
      </c>
      <c r="AB578" s="39">
        <f t="shared" si="1033"/>
        <v>0</v>
      </c>
      <c r="AC578" s="67"/>
      <c r="AD578" s="55"/>
    </row>
    <row r="579" spans="1:30" s="52" customFormat="1">
      <c r="A579" s="106" t="s">
        <v>281</v>
      </c>
      <c r="B579" s="181">
        <f>17674138/2</f>
        <v>8837069</v>
      </c>
      <c r="C579" s="211">
        <f t="shared" si="964"/>
        <v>736422.42</v>
      </c>
      <c r="D579" s="170">
        <v>1.6500000000000001E-2</v>
      </c>
      <c r="E579" s="170">
        <v>0.1368</v>
      </c>
      <c r="F579" s="170">
        <v>5.7599999999999998E-2</v>
      </c>
      <c r="G579" s="170">
        <v>8.0399999999999999E-2</v>
      </c>
      <c r="H579" s="170">
        <v>4.1099999999999998E-2</v>
      </c>
      <c r="I579" s="170">
        <v>0.13389999999999999</v>
      </c>
      <c r="J579" s="170">
        <v>2.12E-2</v>
      </c>
      <c r="K579" s="170">
        <v>3.2500000000000001E-2</v>
      </c>
      <c r="L579" s="170">
        <v>1.7100000000000001E-2</v>
      </c>
      <c r="M579" s="170">
        <v>2.5999999999999999E-2</v>
      </c>
      <c r="N579" s="170">
        <v>0.13320000000000001</v>
      </c>
      <c r="O579" s="170">
        <v>1.89E-2</v>
      </c>
      <c r="P579" s="170">
        <v>0</v>
      </c>
      <c r="Q579" s="170">
        <v>3.8600000000000002E-2</v>
      </c>
      <c r="R579" s="170">
        <v>1.9E-2</v>
      </c>
      <c r="S579" s="170">
        <v>4.1999999999999997E-3</v>
      </c>
      <c r="T579" s="170">
        <v>5.3999999999999999E-2</v>
      </c>
      <c r="U579" s="170">
        <v>1.78E-2</v>
      </c>
      <c r="V579" s="170">
        <v>3.6700000000000003E-2</v>
      </c>
      <c r="W579" s="170">
        <v>4.7199999999999999E-2</v>
      </c>
      <c r="X579" s="170">
        <v>6.3899999999999998E-2</v>
      </c>
      <c r="Y579" s="170">
        <v>2.5999999999999999E-3</v>
      </c>
      <c r="Z579" s="171">
        <v>0</v>
      </c>
      <c r="AA579" s="171">
        <v>8.0000000000000004E-4</v>
      </c>
      <c r="AB579" s="171">
        <v>0</v>
      </c>
      <c r="AC579" s="67"/>
      <c r="AD579" s="55"/>
    </row>
    <row r="580" spans="1:30" s="52" customFormat="1">
      <c r="A580" s="100"/>
      <c r="B580" s="60"/>
      <c r="C580" s="211"/>
      <c r="D580" s="39">
        <f>$C579*D579</f>
        <v>12150.969930000001</v>
      </c>
      <c r="E580" s="39">
        <f t="shared" ref="E580" si="1034">$C579*E579</f>
        <v>100742.587056</v>
      </c>
      <c r="F580" s="39">
        <f t="shared" ref="F580" si="1035">$C579*F579</f>
        <v>42417.931391999999</v>
      </c>
      <c r="G580" s="39">
        <f t="shared" ref="G580:AB580" si="1036">$C579*G579</f>
        <v>59208.362568000004</v>
      </c>
      <c r="H580" s="39">
        <f t="shared" si="1036"/>
        <v>30266.961461999999</v>
      </c>
      <c r="I580" s="39">
        <f t="shared" si="1036"/>
        <v>98606.962037999998</v>
      </c>
      <c r="J580" s="39">
        <f t="shared" si="1036"/>
        <v>15612.155304000002</v>
      </c>
      <c r="K580" s="39">
        <f t="shared" si="1036"/>
        <v>23933.728650000001</v>
      </c>
      <c r="L580" s="39">
        <f t="shared" si="1036"/>
        <v>12592.823382</v>
      </c>
      <c r="M580" s="39">
        <f t="shared" si="1036"/>
        <v>19146.982919999999</v>
      </c>
      <c r="N580" s="39">
        <f t="shared" si="1036"/>
        <v>98091.466344000015</v>
      </c>
      <c r="O580" s="39">
        <f t="shared" si="1036"/>
        <v>13918.383738</v>
      </c>
      <c r="P580" s="39">
        <f t="shared" si="1036"/>
        <v>0</v>
      </c>
      <c r="Q580" s="39">
        <f t="shared" si="1036"/>
        <v>28425.905412000004</v>
      </c>
      <c r="R580" s="39">
        <f t="shared" si="1036"/>
        <v>13992.02598</v>
      </c>
      <c r="S580" s="39">
        <f t="shared" si="1036"/>
        <v>3092.9741640000002</v>
      </c>
      <c r="T580" s="39">
        <f t="shared" si="1036"/>
        <v>39766.810680000002</v>
      </c>
      <c r="U580" s="39">
        <f t="shared" si="1036"/>
        <v>13108.319076</v>
      </c>
      <c r="V580" s="39">
        <f t="shared" si="1036"/>
        <v>27026.702814000004</v>
      </c>
      <c r="W580" s="39">
        <f t="shared" si="1036"/>
        <v>34759.138224000002</v>
      </c>
      <c r="X580" s="39">
        <f t="shared" si="1036"/>
        <v>47057.392638000005</v>
      </c>
      <c r="Y580" s="39">
        <f t="shared" si="1036"/>
        <v>1914.698292</v>
      </c>
      <c r="Z580" s="39">
        <f t="shared" si="1036"/>
        <v>0</v>
      </c>
      <c r="AA580" s="39">
        <f t="shared" si="1036"/>
        <v>589.13793600000008</v>
      </c>
      <c r="AB580" s="39">
        <f t="shared" si="1036"/>
        <v>0</v>
      </c>
      <c r="AC580" s="67"/>
      <c r="AD580" s="55"/>
    </row>
    <row r="581" spans="1:30" s="52" customFormat="1">
      <c r="A581" s="106" t="s">
        <v>285</v>
      </c>
      <c r="B581" s="181">
        <f>5391484/2</f>
        <v>2695742</v>
      </c>
      <c r="C581" s="211">
        <f t="shared" si="964"/>
        <v>224645.17</v>
      </c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2"/>
      <c r="Q581" s="43"/>
      <c r="R581" s="43"/>
      <c r="S581" s="43"/>
      <c r="T581" s="43"/>
      <c r="U581" s="43"/>
      <c r="V581" s="43"/>
      <c r="W581" s="43"/>
      <c r="X581" s="170">
        <v>0.96120000000000005</v>
      </c>
      <c r="Y581" s="170">
        <v>3.8800000000000001E-2</v>
      </c>
      <c r="Z581" s="42"/>
      <c r="AA581" s="42"/>
      <c r="AB581" s="42"/>
      <c r="AC581" s="67"/>
      <c r="AD581" s="55"/>
    </row>
    <row r="582" spans="1:30" s="52" customFormat="1">
      <c r="A582" s="100"/>
      <c r="B582" s="60"/>
      <c r="C582" s="211"/>
      <c r="D582" s="39">
        <f>$C581*D581</f>
        <v>0</v>
      </c>
      <c r="E582" s="39">
        <f t="shared" ref="E582" si="1037">$C581*E581</f>
        <v>0</v>
      </c>
      <c r="F582" s="39">
        <f t="shared" ref="F582" si="1038">$C581*F581</f>
        <v>0</v>
      </c>
      <c r="G582" s="39">
        <f t="shared" ref="G582:AB582" si="1039">$C581*G581</f>
        <v>0</v>
      </c>
      <c r="H582" s="39">
        <f t="shared" si="1039"/>
        <v>0</v>
      </c>
      <c r="I582" s="39">
        <f t="shared" si="1039"/>
        <v>0</v>
      </c>
      <c r="J582" s="39">
        <f t="shared" si="1039"/>
        <v>0</v>
      </c>
      <c r="K582" s="39">
        <f t="shared" si="1039"/>
        <v>0</v>
      </c>
      <c r="L582" s="39">
        <f t="shared" si="1039"/>
        <v>0</v>
      </c>
      <c r="M582" s="39">
        <f t="shared" si="1039"/>
        <v>0</v>
      </c>
      <c r="N582" s="39">
        <f t="shared" si="1039"/>
        <v>0</v>
      </c>
      <c r="O582" s="39">
        <f t="shared" si="1039"/>
        <v>0</v>
      </c>
      <c r="P582" s="39">
        <f t="shared" si="1039"/>
        <v>0</v>
      </c>
      <c r="Q582" s="39">
        <f t="shared" si="1039"/>
        <v>0</v>
      </c>
      <c r="R582" s="39">
        <f t="shared" si="1039"/>
        <v>0</v>
      </c>
      <c r="S582" s="39">
        <f t="shared" si="1039"/>
        <v>0</v>
      </c>
      <c r="T582" s="39">
        <f t="shared" si="1039"/>
        <v>0</v>
      </c>
      <c r="U582" s="39">
        <f t="shared" si="1039"/>
        <v>0</v>
      </c>
      <c r="V582" s="39">
        <f t="shared" si="1039"/>
        <v>0</v>
      </c>
      <c r="W582" s="39">
        <f t="shared" si="1039"/>
        <v>0</v>
      </c>
      <c r="X582" s="39">
        <f t="shared" si="1039"/>
        <v>215928.93740400003</v>
      </c>
      <c r="Y582" s="39">
        <f t="shared" si="1039"/>
        <v>8716.2325960000016</v>
      </c>
      <c r="Z582" s="39">
        <f t="shared" si="1039"/>
        <v>0</v>
      </c>
      <c r="AA582" s="39">
        <f t="shared" si="1039"/>
        <v>0</v>
      </c>
      <c r="AB582" s="39">
        <f t="shared" si="1039"/>
        <v>0</v>
      </c>
      <c r="AC582" s="67"/>
      <c r="AD582" s="55"/>
    </row>
    <row r="583" spans="1:30" s="52" customFormat="1">
      <c r="A583" s="106" t="s">
        <v>282</v>
      </c>
      <c r="B583" s="181">
        <f>5391484/2</f>
        <v>2695742</v>
      </c>
      <c r="C583" s="211">
        <f t="shared" si="964"/>
        <v>224645.17</v>
      </c>
      <c r="D583" s="170">
        <v>1.6500000000000001E-2</v>
      </c>
      <c r="E583" s="170">
        <v>0.1368</v>
      </c>
      <c r="F583" s="170">
        <v>5.7599999999999998E-2</v>
      </c>
      <c r="G583" s="170">
        <v>8.0399999999999999E-2</v>
      </c>
      <c r="H583" s="170">
        <v>4.1099999999999998E-2</v>
      </c>
      <c r="I583" s="170">
        <v>0.13389999999999999</v>
      </c>
      <c r="J583" s="170">
        <v>2.12E-2</v>
      </c>
      <c r="K583" s="170">
        <v>3.2500000000000001E-2</v>
      </c>
      <c r="L583" s="170">
        <v>1.7100000000000001E-2</v>
      </c>
      <c r="M583" s="170">
        <v>2.5999999999999999E-2</v>
      </c>
      <c r="N583" s="170">
        <v>0.13320000000000001</v>
      </c>
      <c r="O583" s="170">
        <v>1.89E-2</v>
      </c>
      <c r="P583" s="170">
        <v>0</v>
      </c>
      <c r="Q583" s="170">
        <v>3.8600000000000002E-2</v>
      </c>
      <c r="R583" s="170">
        <v>1.9E-2</v>
      </c>
      <c r="S583" s="170">
        <v>4.1999999999999997E-3</v>
      </c>
      <c r="T583" s="170">
        <v>5.3999999999999999E-2</v>
      </c>
      <c r="U583" s="170">
        <v>1.78E-2</v>
      </c>
      <c r="V583" s="170">
        <v>3.6700000000000003E-2</v>
      </c>
      <c r="W583" s="170">
        <v>4.7199999999999999E-2</v>
      </c>
      <c r="X583" s="170">
        <v>6.3899999999999998E-2</v>
      </c>
      <c r="Y583" s="170">
        <v>2.5999999999999999E-3</v>
      </c>
      <c r="Z583" s="171">
        <v>0</v>
      </c>
      <c r="AA583" s="171">
        <v>8.0000000000000004E-4</v>
      </c>
      <c r="AB583" s="171">
        <v>0</v>
      </c>
      <c r="AC583" s="67"/>
      <c r="AD583" s="55"/>
    </row>
    <row r="584" spans="1:30" s="52" customFormat="1">
      <c r="A584" s="100"/>
      <c r="B584" s="60"/>
      <c r="C584" s="211"/>
      <c r="D584" s="39">
        <f>$C583*D583</f>
        <v>3706.6453050000005</v>
      </c>
      <c r="E584" s="39">
        <f t="shared" ref="E584" si="1040">$C583*E583</f>
        <v>30731.459256000002</v>
      </c>
      <c r="F584" s="39">
        <f t="shared" ref="F584" si="1041">$C583*F583</f>
        <v>12939.561792</v>
      </c>
      <c r="G584" s="39">
        <f t="shared" ref="G584:AB584" si="1042">$C583*G583</f>
        <v>18061.471668000002</v>
      </c>
      <c r="H584" s="39">
        <f t="shared" si="1042"/>
        <v>9232.9164870000004</v>
      </c>
      <c r="I584" s="39">
        <f t="shared" si="1042"/>
        <v>30079.988262999999</v>
      </c>
      <c r="J584" s="39">
        <f t="shared" si="1042"/>
        <v>4762.4776040000006</v>
      </c>
      <c r="K584" s="39">
        <f t="shared" si="1042"/>
        <v>7300.968025000001</v>
      </c>
      <c r="L584" s="39">
        <f t="shared" si="1042"/>
        <v>3841.4324070000002</v>
      </c>
      <c r="M584" s="39">
        <f t="shared" si="1042"/>
        <v>5840.7744199999997</v>
      </c>
      <c r="N584" s="39">
        <f t="shared" si="1042"/>
        <v>29922.736644000004</v>
      </c>
      <c r="O584" s="39">
        <f t="shared" si="1042"/>
        <v>4245.793713</v>
      </c>
      <c r="P584" s="39">
        <f t="shared" si="1042"/>
        <v>0</v>
      </c>
      <c r="Q584" s="39">
        <f t="shared" si="1042"/>
        <v>8671.303562000001</v>
      </c>
      <c r="R584" s="39">
        <f t="shared" si="1042"/>
        <v>4268.2582300000004</v>
      </c>
      <c r="S584" s="39">
        <f t="shared" si="1042"/>
        <v>943.50971400000003</v>
      </c>
      <c r="T584" s="39">
        <f t="shared" si="1042"/>
        <v>12130.839180000001</v>
      </c>
      <c r="U584" s="39">
        <f t="shared" si="1042"/>
        <v>3998.6840260000004</v>
      </c>
      <c r="V584" s="39">
        <f t="shared" si="1042"/>
        <v>8244.4777390000017</v>
      </c>
      <c r="W584" s="39">
        <f t="shared" si="1042"/>
        <v>10603.252024000001</v>
      </c>
      <c r="X584" s="39">
        <f t="shared" si="1042"/>
        <v>14354.826363</v>
      </c>
      <c r="Y584" s="39">
        <f t="shared" si="1042"/>
        <v>584.07744200000002</v>
      </c>
      <c r="Z584" s="39">
        <f t="shared" si="1042"/>
        <v>0</v>
      </c>
      <c r="AA584" s="39">
        <f t="shared" si="1042"/>
        <v>179.71613600000001</v>
      </c>
      <c r="AB584" s="39">
        <f t="shared" si="1042"/>
        <v>0</v>
      </c>
      <c r="AC584" s="67"/>
      <c r="AD584" s="55"/>
    </row>
    <row r="585" spans="1:30" s="52" customFormat="1">
      <c r="A585" s="106" t="s">
        <v>286</v>
      </c>
      <c r="B585" s="181">
        <f>5297183/2</f>
        <v>2648591.5</v>
      </c>
      <c r="C585" s="211">
        <f t="shared" si="964"/>
        <v>220715.96</v>
      </c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2"/>
      <c r="Q585" s="43"/>
      <c r="R585" s="43"/>
      <c r="S585" s="43"/>
      <c r="T585" s="43"/>
      <c r="U585" s="43"/>
      <c r="V585" s="43"/>
      <c r="W585" s="43"/>
      <c r="X585" s="170">
        <v>0.96120000000000005</v>
      </c>
      <c r="Y585" s="170">
        <v>3.8800000000000001E-2</v>
      </c>
      <c r="Z585" s="42"/>
      <c r="AA585" s="42"/>
      <c r="AB585" s="42"/>
      <c r="AC585" s="67"/>
      <c r="AD585" s="55"/>
    </row>
    <row r="586" spans="1:30" s="52" customFormat="1">
      <c r="A586" s="100"/>
      <c r="B586" s="60"/>
      <c r="C586" s="211"/>
      <c r="D586" s="39">
        <f t="shared" ref="D586" si="1043">$C585*D585</f>
        <v>0</v>
      </c>
      <c r="E586" s="39">
        <f t="shared" ref="E586" si="1044">$C585*E585</f>
        <v>0</v>
      </c>
      <c r="F586" s="39">
        <f t="shared" ref="F586:AB586" si="1045">$C585*F585</f>
        <v>0</v>
      </c>
      <c r="G586" s="39">
        <f t="shared" si="1045"/>
        <v>0</v>
      </c>
      <c r="H586" s="39">
        <f t="shared" si="1045"/>
        <v>0</v>
      </c>
      <c r="I586" s="39">
        <f t="shared" si="1045"/>
        <v>0</v>
      </c>
      <c r="J586" s="39">
        <f t="shared" si="1045"/>
        <v>0</v>
      </c>
      <c r="K586" s="39">
        <f t="shared" si="1045"/>
        <v>0</v>
      </c>
      <c r="L586" s="39">
        <f t="shared" si="1045"/>
        <v>0</v>
      </c>
      <c r="M586" s="39">
        <f t="shared" si="1045"/>
        <v>0</v>
      </c>
      <c r="N586" s="39">
        <f t="shared" si="1045"/>
        <v>0</v>
      </c>
      <c r="O586" s="39">
        <f t="shared" si="1045"/>
        <v>0</v>
      </c>
      <c r="P586" s="39">
        <f t="shared" si="1045"/>
        <v>0</v>
      </c>
      <c r="Q586" s="39">
        <f t="shared" si="1045"/>
        <v>0</v>
      </c>
      <c r="R586" s="39">
        <f t="shared" si="1045"/>
        <v>0</v>
      </c>
      <c r="S586" s="39">
        <f t="shared" si="1045"/>
        <v>0</v>
      </c>
      <c r="T586" s="39">
        <f t="shared" si="1045"/>
        <v>0</v>
      </c>
      <c r="U586" s="39">
        <f t="shared" si="1045"/>
        <v>0</v>
      </c>
      <c r="V586" s="39">
        <f t="shared" si="1045"/>
        <v>0</v>
      </c>
      <c r="W586" s="39">
        <f t="shared" si="1045"/>
        <v>0</v>
      </c>
      <c r="X586" s="39">
        <f t="shared" si="1045"/>
        <v>212152.18075200001</v>
      </c>
      <c r="Y586" s="39">
        <f t="shared" si="1045"/>
        <v>8563.7792480000007</v>
      </c>
      <c r="Z586" s="39">
        <f t="shared" si="1045"/>
        <v>0</v>
      </c>
      <c r="AA586" s="39">
        <f t="shared" si="1045"/>
        <v>0</v>
      </c>
      <c r="AB586" s="39">
        <f t="shared" si="1045"/>
        <v>0</v>
      </c>
      <c r="AC586" s="67"/>
      <c r="AD586" s="55"/>
    </row>
    <row r="587" spans="1:30" s="52" customFormat="1">
      <c r="A587" s="106" t="s">
        <v>283</v>
      </c>
      <c r="B587" s="181">
        <f>5297183/2</f>
        <v>2648591.5</v>
      </c>
      <c r="C587" s="211">
        <f t="shared" si="964"/>
        <v>220715.96</v>
      </c>
      <c r="D587" s="170">
        <v>1.6500000000000001E-2</v>
      </c>
      <c r="E587" s="170">
        <v>0.1368</v>
      </c>
      <c r="F587" s="170">
        <v>5.7599999999999998E-2</v>
      </c>
      <c r="G587" s="170">
        <v>8.0399999999999999E-2</v>
      </c>
      <c r="H587" s="170">
        <v>4.1099999999999998E-2</v>
      </c>
      <c r="I587" s="170">
        <v>0.13389999999999999</v>
      </c>
      <c r="J587" s="170">
        <v>2.12E-2</v>
      </c>
      <c r="K587" s="170">
        <v>3.2500000000000001E-2</v>
      </c>
      <c r="L587" s="170">
        <v>1.7100000000000001E-2</v>
      </c>
      <c r="M587" s="170">
        <v>2.5999999999999999E-2</v>
      </c>
      <c r="N587" s="170">
        <v>0.13320000000000001</v>
      </c>
      <c r="O587" s="170">
        <v>1.89E-2</v>
      </c>
      <c r="P587" s="170">
        <v>0</v>
      </c>
      <c r="Q587" s="170">
        <v>3.8600000000000002E-2</v>
      </c>
      <c r="R587" s="170">
        <v>1.9E-2</v>
      </c>
      <c r="S587" s="170">
        <v>4.1999999999999997E-3</v>
      </c>
      <c r="T587" s="170">
        <v>5.3999999999999999E-2</v>
      </c>
      <c r="U587" s="170">
        <v>1.78E-2</v>
      </c>
      <c r="V587" s="170">
        <v>3.6700000000000003E-2</v>
      </c>
      <c r="W587" s="170">
        <v>4.7199999999999999E-2</v>
      </c>
      <c r="X587" s="170">
        <v>6.3899999999999998E-2</v>
      </c>
      <c r="Y587" s="170">
        <v>2.5999999999999999E-3</v>
      </c>
      <c r="Z587" s="171">
        <v>0</v>
      </c>
      <c r="AA587" s="171">
        <v>8.0000000000000004E-4</v>
      </c>
      <c r="AB587" s="171">
        <v>0</v>
      </c>
      <c r="AC587" s="67"/>
      <c r="AD587" s="55"/>
    </row>
    <row r="588" spans="1:30" s="52" customFormat="1">
      <c r="A588" s="100"/>
      <c r="B588" s="60"/>
      <c r="C588" s="211"/>
      <c r="D588" s="39">
        <f>$C587*D587</f>
        <v>3641.8133400000002</v>
      </c>
      <c r="E588" s="39">
        <f t="shared" ref="E588" si="1046">$C587*E587</f>
        <v>30193.943328000001</v>
      </c>
      <c r="F588" s="39">
        <f t="shared" ref="F588" si="1047">$C587*F587</f>
        <v>12713.239296</v>
      </c>
      <c r="G588" s="39">
        <f t="shared" ref="G588:AB588" si="1048">$C587*G587</f>
        <v>17745.563183999999</v>
      </c>
      <c r="H588" s="39">
        <f t="shared" si="1048"/>
        <v>9071.4259559999991</v>
      </c>
      <c r="I588" s="39">
        <f t="shared" si="1048"/>
        <v>29553.867043999999</v>
      </c>
      <c r="J588" s="39">
        <f t="shared" si="1048"/>
        <v>4679.1783519999999</v>
      </c>
      <c r="K588" s="39">
        <f t="shared" si="1048"/>
        <v>7173.2686999999996</v>
      </c>
      <c r="L588" s="39">
        <f t="shared" si="1048"/>
        <v>3774.2429160000002</v>
      </c>
      <c r="M588" s="39">
        <f t="shared" si="1048"/>
        <v>5738.6149599999999</v>
      </c>
      <c r="N588" s="39">
        <f t="shared" si="1048"/>
        <v>29399.365872000002</v>
      </c>
      <c r="O588" s="39">
        <f t="shared" si="1048"/>
        <v>4171.5316439999997</v>
      </c>
      <c r="P588" s="39">
        <f t="shared" si="1048"/>
        <v>0</v>
      </c>
      <c r="Q588" s="39">
        <f t="shared" si="1048"/>
        <v>8519.6360559999994</v>
      </c>
      <c r="R588" s="39">
        <f t="shared" si="1048"/>
        <v>4193.6032399999995</v>
      </c>
      <c r="S588" s="39">
        <f t="shared" si="1048"/>
        <v>927.00703199999987</v>
      </c>
      <c r="T588" s="39">
        <f t="shared" si="1048"/>
        <v>11918.661839999999</v>
      </c>
      <c r="U588" s="39">
        <f t="shared" si="1048"/>
        <v>3928.7440879999999</v>
      </c>
      <c r="V588" s="39">
        <f t="shared" si="1048"/>
        <v>8100.2757320000001</v>
      </c>
      <c r="W588" s="39">
        <f t="shared" si="1048"/>
        <v>10417.793312</v>
      </c>
      <c r="X588" s="39">
        <f t="shared" si="1048"/>
        <v>14103.749844</v>
      </c>
      <c r="Y588" s="39">
        <f t="shared" si="1048"/>
        <v>573.86149599999999</v>
      </c>
      <c r="Z588" s="39">
        <f t="shared" si="1048"/>
        <v>0</v>
      </c>
      <c r="AA588" s="39">
        <f t="shared" si="1048"/>
        <v>176.572768</v>
      </c>
      <c r="AB588" s="39">
        <f t="shared" si="1048"/>
        <v>0</v>
      </c>
      <c r="AC588" s="67"/>
      <c r="AD588" s="55"/>
    </row>
    <row r="589" spans="1:30" s="52" customFormat="1">
      <c r="A589" s="96" t="s">
        <v>250</v>
      </c>
      <c r="B589" s="180">
        <f>107987/2</f>
        <v>53993.5</v>
      </c>
      <c r="C589" s="211">
        <f t="shared" si="964"/>
        <v>4499.46</v>
      </c>
      <c r="D589" s="170">
        <v>1.6500000000000001E-2</v>
      </c>
      <c r="E589" s="170">
        <v>0.1368</v>
      </c>
      <c r="F589" s="170">
        <v>5.7599999999999998E-2</v>
      </c>
      <c r="G589" s="170">
        <v>8.0399999999999999E-2</v>
      </c>
      <c r="H589" s="170">
        <v>4.1099999999999998E-2</v>
      </c>
      <c r="I589" s="170">
        <v>0.13389999999999999</v>
      </c>
      <c r="J589" s="170">
        <v>2.12E-2</v>
      </c>
      <c r="K589" s="170">
        <v>3.2500000000000001E-2</v>
      </c>
      <c r="L589" s="170">
        <v>1.7100000000000001E-2</v>
      </c>
      <c r="M589" s="170">
        <v>2.5999999999999999E-2</v>
      </c>
      <c r="N589" s="170">
        <v>0.13320000000000001</v>
      </c>
      <c r="O589" s="170">
        <v>1.89E-2</v>
      </c>
      <c r="P589" s="170">
        <v>0</v>
      </c>
      <c r="Q589" s="170">
        <v>3.8600000000000002E-2</v>
      </c>
      <c r="R589" s="170">
        <v>1.9E-2</v>
      </c>
      <c r="S589" s="170">
        <v>4.1999999999999997E-3</v>
      </c>
      <c r="T589" s="170">
        <v>5.3999999999999999E-2</v>
      </c>
      <c r="U589" s="170">
        <v>1.78E-2</v>
      </c>
      <c r="V589" s="170">
        <v>3.6700000000000003E-2</v>
      </c>
      <c r="W589" s="170">
        <v>4.7199999999999999E-2</v>
      </c>
      <c r="X589" s="170">
        <v>6.3899999999999998E-2</v>
      </c>
      <c r="Y589" s="170">
        <v>2.5999999999999999E-3</v>
      </c>
      <c r="Z589" s="171">
        <v>0</v>
      </c>
      <c r="AA589" s="171">
        <v>8.0000000000000004E-4</v>
      </c>
      <c r="AB589" s="171">
        <v>0</v>
      </c>
      <c r="AC589" s="67"/>
      <c r="AD589" s="55"/>
    </row>
    <row r="590" spans="1:30" s="52" customFormat="1">
      <c r="A590" s="97"/>
      <c r="B590" s="30"/>
      <c r="C590" s="211"/>
      <c r="D590" s="6">
        <f t="shared" ref="D590" si="1049">$C589*D589</f>
        <v>74.24109</v>
      </c>
      <c r="E590" s="6">
        <f t="shared" ref="E590" si="1050">$C589*E589</f>
        <v>615.52612799999997</v>
      </c>
      <c r="F590" s="6">
        <f t="shared" ref="F590:AB590" si="1051">$C589*F589</f>
        <v>259.16889600000002</v>
      </c>
      <c r="G590" s="6">
        <f t="shared" si="1051"/>
        <v>361.75658399999998</v>
      </c>
      <c r="H590" s="6">
        <f t="shared" si="1051"/>
        <v>184.927806</v>
      </c>
      <c r="I590" s="6">
        <f t="shared" si="1051"/>
        <v>602.47769399999993</v>
      </c>
      <c r="J590" s="6">
        <f t="shared" si="1051"/>
        <v>95.388552000000004</v>
      </c>
      <c r="K590" s="6">
        <f t="shared" si="1051"/>
        <v>146.23245</v>
      </c>
      <c r="L590" s="6">
        <f t="shared" si="1051"/>
        <v>76.940765999999996</v>
      </c>
      <c r="M590" s="6">
        <f t="shared" si="1051"/>
        <v>116.98595999999999</v>
      </c>
      <c r="N590" s="6">
        <f t="shared" si="1051"/>
        <v>599.32807200000002</v>
      </c>
      <c r="O590" s="6">
        <f t="shared" si="1051"/>
        <v>85.039794000000001</v>
      </c>
      <c r="P590" s="6">
        <f t="shared" si="1051"/>
        <v>0</v>
      </c>
      <c r="Q590" s="6">
        <f t="shared" si="1051"/>
        <v>173.67915600000001</v>
      </c>
      <c r="R590" s="6">
        <f t="shared" si="1051"/>
        <v>85.489739999999998</v>
      </c>
      <c r="S590" s="6">
        <f t="shared" si="1051"/>
        <v>18.897731999999998</v>
      </c>
      <c r="T590" s="6">
        <f t="shared" si="1051"/>
        <v>242.97084000000001</v>
      </c>
      <c r="U590" s="6">
        <f t="shared" si="1051"/>
        <v>80.090388000000004</v>
      </c>
      <c r="V590" s="6">
        <f t="shared" si="1051"/>
        <v>165.13018200000002</v>
      </c>
      <c r="W590" s="6">
        <f t="shared" si="1051"/>
        <v>212.37451200000001</v>
      </c>
      <c r="X590" s="6">
        <f t="shared" si="1051"/>
        <v>287.51549399999999</v>
      </c>
      <c r="Y590" s="6">
        <f t="shared" si="1051"/>
        <v>11.698596</v>
      </c>
      <c r="Z590" s="6">
        <f t="shared" si="1051"/>
        <v>0</v>
      </c>
      <c r="AA590" s="6">
        <f t="shared" si="1051"/>
        <v>3.5995680000000001</v>
      </c>
      <c r="AB590" s="6">
        <f t="shared" si="1051"/>
        <v>0</v>
      </c>
      <c r="AC590" s="67"/>
      <c r="AD590" s="55"/>
    </row>
    <row r="591" spans="1:30" s="52" customFormat="1">
      <c r="A591" s="96" t="s">
        <v>408</v>
      </c>
      <c r="B591" s="180">
        <f>107987/2</f>
        <v>53993.5</v>
      </c>
      <c r="C591" s="211">
        <f t="shared" si="964"/>
        <v>4499.46</v>
      </c>
      <c r="D591" s="171">
        <v>0</v>
      </c>
      <c r="E591" s="5"/>
      <c r="F591" s="5"/>
      <c r="G591" s="5"/>
      <c r="H591" s="171">
        <v>0.23400000000000001</v>
      </c>
      <c r="I591" s="5"/>
      <c r="J591" s="5"/>
      <c r="K591" s="5"/>
      <c r="L591" s="5"/>
      <c r="M591" s="5"/>
      <c r="N591" s="5"/>
      <c r="O591" s="5"/>
      <c r="P591" s="5"/>
      <c r="Q591" s="171">
        <v>0.22750000000000001</v>
      </c>
      <c r="R591" s="171">
        <v>0.1497</v>
      </c>
      <c r="S591" s="171">
        <v>2.5999999999999999E-2</v>
      </c>
      <c r="T591" s="171">
        <v>0</v>
      </c>
      <c r="U591" s="171">
        <v>6.5299999999999997E-2</v>
      </c>
      <c r="V591" s="5"/>
      <c r="W591" s="5"/>
      <c r="X591" s="171">
        <v>0.28589999999999999</v>
      </c>
      <c r="Y591" s="171">
        <v>1.1599999999999999E-2</v>
      </c>
      <c r="Z591" s="5"/>
      <c r="AA591" s="5"/>
      <c r="AB591" s="5"/>
      <c r="AC591" s="67"/>
      <c r="AD591" s="55"/>
    </row>
    <row r="592" spans="1:30" s="52" customFormat="1">
      <c r="A592" s="97"/>
      <c r="B592" s="12"/>
      <c r="C592" s="211"/>
      <c r="D592" s="6">
        <f t="shared" ref="D592" si="1052">$C591*D591</f>
        <v>0</v>
      </c>
      <c r="E592" s="6">
        <f t="shared" ref="E592" si="1053">$C591*E591</f>
        <v>0</v>
      </c>
      <c r="F592" s="6">
        <f t="shared" ref="F592:O592" si="1054">$C591*F591</f>
        <v>0</v>
      </c>
      <c r="G592" s="6">
        <f t="shared" si="1054"/>
        <v>0</v>
      </c>
      <c r="H592" s="6">
        <f t="shared" si="1054"/>
        <v>1052.87364</v>
      </c>
      <c r="I592" s="6">
        <f t="shared" si="1054"/>
        <v>0</v>
      </c>
      <c r="J592" s="6">
        <f t="shared" si="1054"/>
        <v>0</v>
      </c>
      <c r="K592" s="6">
        <f t="shared" si="1054"/>
        <v>0</v>
      </c>
      <c r="L592" s="6">
        <f t="shared" si="1054"/>
        <v>0</v>
      </c>
      <c r="M592" s="6">
        <f t="shared" si="1054"/>
        <v>0</v>
      </c>
      <c r="N592" s="6">
        <f t="shared" si="1054"/>
        <v>0</v>
      </c>
      <c r="O592" s="6">
        <f t="shared" si="1054"/>
        <v>0</v>
      </c>
      <c r="P592" s="6">
        <f t="shared" ref="P592" si="1055">$C591*P591</f>
        <v>0</v>
      </c>
      <c r="Q592" s="6">
        <f t="shared" ref="Q592" si="1056">$C591*Q591</f>
        <v>1023.62715</v>
      </c>
      <c r="R592" s="6">
        <f t="shared" ref="R592:AB592" si="1057">$C591*R591</f>
        <v>673.56916200000001</v>
      </c>
      <c r="S592" s="6">
        <f t="shared" si="1057"/>
        <v>116.98595999999999</v>
      </c>
      <c r="T592" s="6">
        <f t="shared" si="1057"/>
        <v>0</v>
      </c>
      <c r="U592" s="6">
        <f t="shared" si="1057"/>
        <v>293.81473799999998</v>
      </c>
      <c r="V592" s="6">
        <f t="shared" si="1057"/>
        <v>0</v>
      </c>
      <c r="W592" s="6">
        <f t="shared" si="1057"/>
        <v>0</v>
      </c>
      <c r="X592" s="6">
        <f t="shared" si="1057"/>
        <v>1286.395614</v>
      </c>
      <c r="Y592" s="6">
        <f t="shared" si="1057"/>
        <v>52.193735999999994</v>
      </c>
      <c r="Z592" s="6">
        <f t="shared" si="1057"/>
        <v>0</v>
      </c>
      <c r="AA592" s="6">
        <f t="shared" si="1057"/>
        <v>0</v>
      </c>
      <c r="AB592" s="6">
        <f t="shared" si="1057"/>
        <v>0</v>
      </c>
      <c r="AC592" s="67"/>
      <c r="AD592" s="55"/>
    </row>
    <row r="593" spans="1:30" s="52" customFormat="1">
      <c r="A593" s="106" t="s">
        <v>370</v>
      </c>
      <c r="B593" s="181">
        <v>2259877</v>
      </c>
      <c r="C593" s="211">
        <f t="shared" si="964"/>
        <v>188323.08</v>
      </c>
      <c r="D593" s="43"/>
      <c r="E593" s="43"/>
      <c r="F593" s="43"/>
      <c r="G593" s="61">
        <v>0.08</v>
      </c>
      <c r="H593" s="43"/>
      <c r="I593" s="43"/>
      <c r="J593" s="43"/>
      <c r="K593" s="43"/>
      <c r="L593" s="43"/>
      <c r="M593" s="43"/>
      <c r="N593" s="43"/>
      <c r="O593" s="43"/>
      <c r="P593" s="42">
        <v>0.20180000000000001</v>
      </c>
      <c r="Q593" s="43"/>
      <c r="R593" s="43"/>
      <c r="S593" s="43"/>
      <c r="T593" s="43"/>
      <c r="U593" s="42">
        <v>7.7700000000000005E-2</v>
      </c>
      <c r="V593" s="43"/>
      <c r="W593" s="43"/>
      <c r="X593" s="42">
        <v>0.6159</v>
      </c>
      <c r="Y593" s="42">
        <v>2.46E-2</v>
      </c>
      <c r="Z593" s="42"/>
      <c r="AA593" s="42"/>
      <c r="AB593" s="42"/>
      <c r="AC593" s="67"/>
      <c r="AD593" s="55"/>
    </row>
    <row r="594" spans="1:30" s="52" customFormat="1">
      <c r="A594" s="100"/>
      <c r="B594" s="60"/>
      <c r="C594" s="211"/>
      <c r="D594" s="39">
        <f t="shared" ref="D594" si="1058">$C593*D593</f>
        <v>0</v>
      </c>
      <c r="E594" s="39">
        <f t="shared" ref="E594" si="1059">$C593*E593</f>
        <v>0</v>
      </c>
      <c r="F594" s="39">
        <f t="shared" ref="F594:AB594" si="1060">$C593*F593</f>
        <v>0</v>
      </c>
      <c r="G594" s="39">
        <f t="shared" si="1060"/>
        <v>15065.846399999999</v>
      </c>
      <c r="H594" s="39">
        <f t="shared" si="1060"/>
        <v>0</v>
      </c>
      <c r="I594" s="39">
        <f t="shared" si="1060"/>
        <v>0</v>
      </c>
      <c r="J594" s="39">
        <f t="shared" si="1060"/>
        <v>0</v>
      </c>
      <c r="K594" s="39">
        <f t="shared" si="1060"/>
        <v>0</v>
      </c>
      <c r="L594" s="39">
        <f t="shared" si="1060"/>
        <v>0</v>
      </c>
      <c r="M594" s="39">
        <f t="shared" si="1060"/>
        <v>0</v>
      </c>
      <c r="N594" s="39">
        <f t="shared" si="1060"/>
        <v>0</v>
      </c>
      <c r="O594" s="39">
        <f t="shared" si="1060"/>
        <v>0</v>
      </c>
      <c r="P594" s="39">
        <f t="shared" si="1060"/>
        <v>38003.597543999997</v>
      </c>
      <c r="Q594" s="39">
        <f t="shared" si="1060"/>
        <v>0</v>
      </c>
      <c r="R594" s="39">
        <f t="shared" si="1060"/>
        <v>0</v>
      </c>
      <c r="S594" s="39">
        <f t="shared" si="1060"/>
        <v>0</v>
      </c>
      <c r="T594" s="39">
        <f t="shared" si="1060"/>
        <v>0</v>
      </c>
      <c r="U594" s="39">
        <f t="shared" si="1060"/>
        <v>14632.703315999999</v>
      </c>
      <c r="V594" s="39">
        <f t="shared" si="1060"/>
        <v>0</v>
      </c>
      <c r="W594" s="39">
        <f t="shared" si="1060"/>
        <v>0</v>
      </c>
      <c r="X594" s="39">
        <f t="shared" si="1060"/>
        <v>115988.18497199999</v>
      </c>
      <c r="Y594" s="39">
        <f t="shared" si="1060"/>
        <v>4632.7477680000002</v>
      </c>
      <c r="Z594" s="39">
        <f t="shared" si="1060"/>
        <v>0</v>
      </c>
      <c r="AA594" s="39">
        <f t="shared" si="1060"/>
        <v>0</v>
      </c>
      <c r="AB594" s="39">
        <f t="shared" si="1060"/>
        <v>0</v>
      </c>
      <c r="AC594" s="67"/>
      <c r="AD594" s="55"/>
    </row>
    <row r="595" spans="1:30" s="52" customFormat="1">
      <c r="A595" s="106" t="s">
        <v>371</v>
      </c>
      <c r="B595" s="181">
        <v>16162047</v>
      </c>
      <c r="C595" s="211">
        <f t="shared" si="964"/>
        <v>1346837.25</v>
      </c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2"/>
      <c r="Q595" s="43"/>
      <c r="R595" s="43"/>
      <c r="S595" s="43"/>
      <c r="T595" s="43"/>
      <c r="U595" s="43"/>
      <c r="V595" s="43"/>
      <c r="W595" s="43"/>
      <c r="X595" s="42">
        <v>0.96160000000000001</v>
      </c>
      <c r="Y595" s="42">
        <v>3.8399999999999997E-2</v>
      </c>
      <c r="Z595" s="42"/>
      <c r="AA595" s="42"/>
      <c r="AB595" s="42"/>
      <c r="AC595" s="67"/>
      <c r="AD595" s="55"/>
    </row>
    <row r="596" spans="1:30" s="52" customFormat="1">
      <c r="A596" s="100"/>
      <c r="B596" s="60"/>
      <c r="C596" s="211"/>
      <c r="D596" s="39">
        <f t="shared" ref="D596" si="1061">$C595*D595</f>
        <v>0</v>
      </c>
      <c r="E596" s="39">
        <f t="shared" ref="E596" si="1062">$C595*E595</f>
        <v>0</v>
      </c>
      <c r="F596" s="39">
        <f t="shared" ref="F596:AB596" si="1063">$C595*F595</f>
        <v>0</v>
      </c>
      <c r="G596" s="39">
        <f t="shared" si="1063"/>
        <v>0</v>
      </c>
      <c r="H596" s="39">
        <f t="shared" si="1063"/>
        <v>0</v>
      </c>
      <c r="I596" s="39">
        <f t="shared" si="1063"/>
        <v>0</v>
      </c>
      <c r="J596" s="39">
        <f t="shared" si="1063"/>
        <v>0</v>
      </c>
      <c r="K596" s="39">
        <f t="shared" si="1063"/>
        <v>0</v>
      </c>
      <c r="L596" s="39">
        <f t="shared" si="1063"/>
        <v>0</v>
      </c>
      <c r="M596" s="39">
        <f t="shared" si="1063"/>
        <v>0</v>
      </c>
      <c r="N596" s="39">
        <f t="shared" si="1063"/>
        <v>0</v>
      </c>
      <c r="O596" s="39">
        <f t="shared" si="1063"/>
        <v>0</v>
      </c>
      <c r="P596" s="39">
        <f t="shared" si="1063"/>
        <v>0</v>
      </c>
      <c r="Q596" s="39">
        <f t="shared" si="1063"/>
        <v>0</v>
      </c>
      <c r="R596" s="39">
        <f t="shared" si="1063"/>
        <v>0</v>
      </c>
      <c r="S596" s="39">
        <f t="shared" si="1063"/>
        <v>0</v>
      </c>
      <c r="T596" s="39">
        <f t="shared" si="1063"/>
        <v>0</v>
      </c>
      <c r="U596" s="39">
        <f t="shared" si="1063"/>
        <v>0</v>
      </c>
      <c r="V596" s="39">
        <f t="shared" si="1063"/>
        <v>0</v>
      </c>
      <c r="W596" s="39">
        <f t="shared" si="1063"/>
        <v>0</v>
      </c>
      <c r="X596" s="39">
        <f t="shared" si="1063"/>
        <v>1295118.6995999999</v>
      </c>
      <c r="Y596" s="39">
        <f t="shared" si="1063"/>
        <v>51718.550399999993</v>
      </c>
      <c r="Z596" s="39">
        <f t="shared" si="1063"/>
        <v>0</v>
      </c>
      <c r="AA596" s="39">
        <f t="shared" si="1063"/>
        <v>0</v>
      </c>
      <c r="AB596" s="39">
        <f t="shared" si="1063"/>
        <v>0</v>
      </c>
      <c r="AC596" s="67"/>
      <c r="AD596" s="55"/>
    </row>
    <row r="597" spans="1:30" s="52" customFormat="1">
      <c r="A597" s="106" t="s">
        <v>378</v>
      </c>
      <c r="B597" s="181">
        <f>2287476/2</f>
        <v>1143738</v>
      </c>
      <c r="C597" s="211">
        <f t="shared" si="964"/>
        <v>95311.5</v>
      </c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2"/>
      <c r="Q597" s="43"/>
      <c r="R597" s="43"/>
      <c r="S597" s="43"/>
      <c r="T597" s="43"/>
      <c r="U597" s="43"/>
      <c r="V597" s="43"/>
      <c r="W597" s="43"/>
      <c r="X597" s="42">
        <v>1</v>
      </c>
      <c r="Y597" s="42"/>
      <c r="Z597" s="42"/>
      <c r="AA597" s="42"/>
      <c r="AB597" s="42"/>
      <c r="AC597" s="67"/>
      <c r="AD597" s="55"/>
    </row>
    <row r="598" spans="1:30" s="52" customFormat="1">
      <c r="A598" s="100"/>
      <c r="B598" s="60"/>
      <c r="C598" s="211"/>
      <c r="D598" s="39">
        <f t="shared" ref="D598" si="1064">$C597*D597</f>
        <v>0</v>
      </c>
      <c r="E598" s="39">
        <f t="shared" ref="E598" si="1065">$C597*E597</f>
        <v>0</v>
      </c>
      <c r="F598" s="39">
        <f t="shared" ref="F598:AB598" si="1066">$C597*F597</f>
        <v>0</v>
      </c>
      <c r="G598" s="39">
        <f t="shared" si="1066"/>
        <v>0</v>
      </c>
      <c r="H598" s="39">
        <f t="shared" si="1066"/>
        <v>0</v>
      </c>
      <c r="I598" s="39">
        <f t="shared" si="1066"/>
        <v>0</v>
      </c>
      <c r="J598" s="39">
        <f t="shared" si="1066"/>
        <v>0</v>
      </c>
      <c r="K598" s="39">
        <f t="shared" si="1066"/>
        <v>0</v>
      </c>
      <c r="L598" s="39">
        <f t="shared" si="1066"/>
        <v>0</v>
      </c>
      <c r="M598" s="39">
        <f t="shared" si="1066"/>
        <v>0</v>
      </c>
      <c r="N598" s="39">
        <f t="shared" si="1066"/>
        <v>0</v>
      </c>
      <c r="O598" s="39">
        <f t="shared" si="1066"/>
        <v>0</v>
      </c>
      <c r="P598" s="39">
        <f t="shared" si="1066"/>
        <v>0</v>
      </c>
      <c r="Q598" s="39">
        <f t="shared" si="1066"/>
        <v>0</v>
      </c>
      <c r="R598" s="39">
        <f t="shared" si="1066"/>
        <v>0</v>
      </c>
      <c r="S598" s="39">
        <f t="shared" si="1066"/>
        <v>0</v>
      </c>
      <c r="T598" s="39">
        <f t="shared" si="1066"/>
        <v>0</v>
      </c>
      <c r="U598" s="39">
        <f t="shared" si="1066"/>
        <v>0</v>
      </c>
      <c r="V598" s="39">
        <f t="shared" si="1066"/>
        <v>0</v>
      </c>
      <c r="W598" s="39">
        <f t="shared" si="1066"/>
        <v>0</v>
      </c>
      <c r="X598" s="39">
        <f t="shared" si="1066"/>
        <v>95311.5</v>
      </c>
      <c r="Y598" s="39">
        <f t="shared" si="1066"/>
        <v>0</v>
      </c>
      <c r="Z598" s="39">
        <f t="shared" si="1066"/>
        <v>0</v>
      </c>
      <c r="AA598" s="39">
        <f t="shared" si="1066"/>
        <v>0</v>
      </c>
      <c r="AB598" s="39">
        <f t="shared" si="1066"/>
        <v>0</v>
      </c>
      <c r="AC598" s="67"/>
      <c r="AD598" s="55"/>
    </row>
    <row r="599" spans="1:30" s="52" customFormat="1">
      <c r="A599" s="106" t="s">
        <v>372</v>
      </c>
      <c r="B599" s="181">
        <f>2287476/2</f>
        <v>1143738</v>
      </c>
      <c r="C599" s="211">
        <f t="shared" si="964"/>
        <v>95311.5</v>
      </c>
      <c r="D599" s="170">
        <v>1.6500000000000001E-2</v>
      </c>
      <c r="E599" s="170">
        <v>0.1368</v>
      </c>
      <c r="F599" s="170">
        <v>5.7599999999999998E-2</v>
      </c>
      <c r="G599" s="170">
        <v>8.0399999999999999E-2</v>
      </c>
      <c r="H599" s="170">
        <v>4.1099999999999998E-2</v>
      </c>
      <c r="I599" s="170">
        <v>0.13389999999999999</v>
      </c>
      <c r="J599" s="170">
        <v>2.12E-2</v>
      </c>
      <c r="K599" s="170">
        <v>3.2500000000000001E-2</v>
      </c>
      <c r="L599" s="170">
        <v>1.7100000000000001E-2</v>
      </c>
      <c r="M599" s="170">
        <v>2.5999999999999999E-2</v>
      </c>
      <c r="N599" s="170">
        <v>0.13320000000000001</v>
      </c>
      <c r="O599" s="170">
        <v>1.89E-2</v>
      </c>
      <c r="P599" s="170">
        <v>0</v>
      </c>
      <c r="Q599" s="170">
        <v>3.8600000000000002E-2</v>
      </c>
      <c r="R599" s="170">
        <v>1.9E-2</v>
      </c>
      <c r="S599" s="170">
        <v>4.1999999999999997E-3</v>
      </c>
      <c r="T599" s="170">
        <v>5.3999999999999999E-2</v>
      </c>
      <c r="U599" s="170">
        <v>1.78E-2</v>
      </c>
      <c r="V599" s="170">
        <v>3.6700000000000003E-2</v>
      </c>
      <c r="W599" s="170">
        <v>4.7199999999999999E-2</v>
      </c>
      <c r="X599" s="170">
        <v>6.3899999999999998E-2</v>
      </c>
      <c r="Y599" s="170">
        <v>2.5999999999999999E-3</v>
      </c>
      <c r="Z599" s="171">
        <v>0</v>
      </c>
      <c r="AA599" s="171">
        <v>8.0000000000000004E-4</v>
      </c>
      <c r="AB599" s="171">
        <v>0</v>
      </c>
      <c r="AC599" s="67"/>
      <c r="AD599" s="55"/>
    </row>
    <row r="600" spans="1:30" s="52" customFormat="1">
      <c r="A600" s="100"/>
      <c r="B600" s="60"/>
      <c r="C600" s="211"/>
      <c r="D600" s="39">
        <f t="shared" ref="D600" si="1067">$C599*D599</f>
        <v>1572.63975</v>
      </c>
      <c r="E600" s="39">
        <f t="shared" ref="E600" si="1068">$C599*E599</f>
        <v>13038.6132</v>
      </c>
      <c r="F600" s="39">
        <f t="shared" ref="F600:AB600" si="1069">$C599*F599</f>
        <v>5489.9423999999999</v>
      </c>
      <c r="G600" s="39">
        <f t="shared" si="1069"/>
        <v>7663.0446000000002</v>
      </c>
      <c r="H600" s="39">
        <f t="shared" si="1069"/>
        <v>3917.3026499999996</v>
      </c>
      <c r="I600" s="39">
        <f t="shared" si="1069"/>
        <v>12762.209849999999</v>
      </c>
      <c r="J600" s="39">
        <f t="shared" si="1069"/>
        <v>2020.6038000000001</v>
      </c>
      <c r="K600" s="39">
        <f t="shared" si="1069"/>
        <v>3097.6237500000002</v>
      </c>
      <c r="L600" s="39">
        <f t="shared" si="1069"/>
        <v>1629.82665</v>
      </c>
      <c r="M600" s="39">
        <f t="shared" si="1069"/>
        <v>2478.0989999999997</v>
      </c>
      <c r="N600" s="39">
        <f t="shared" si="1069"/>
        <v>12695.491800000002</v>
      </c>
      <c r="O600" s="39">
        <f t="shared" si="1069"/>
        <v>1801.38735</v>
      </c>
      <c r="P600" s="39">
        <f t="shared" si="1069"/>
        <v>0</v>
      </c>
      <c r="Q600" s="39">
        <f t="shared" si="1069"/>
        <v>3679.0239000000001</v>
      </c>
      <c r="R600" s="39">
        <f t="shared" si="1069"/>
        <v>1810.9185</v>
      </c>
      <c r="S600" s="39">
        <f t="shared" si="1069"/>
        <v>400.30829999999997</v>
      </c>
      <c r="T600" s="39">
        <f t="shared" si="1069"/>
        <v>5146.8209999999999</v>
      </c>
      <c r="U600" s="39">
        <f t="shared" si="1069"/>
        <v>1696.5446999999999</v>
      </c>
      <c r="V600" s="39">
        <f t="shared" si="1069"/>
        <v>3497.9320500000003</v>
      </c>
      <c r="W600" s="39">
        <f t="shared" si="1069"/>
        <v>4498.7028</v>
      </c>
      <c r="X600" s="39">
        <f t="shared" si="1069"/>
        <v>6090.4048499999999</v>
      </c>
      <c r="Y600" s="39">
        <f t="shared" si="1069"/>
        <v>247.8099</v>
      </c>
      <c r="Z600" s="39">
        <f t="shared" si="1069"/>
        <v>0</v>
      </c>
      <c r="AA600" s="39">
        <f t="shared" si="1069"/>
        <v>76.249200000000002</v>
      </c>
      <c r="AB600" s="39">
        <f t="shared" si="1069"/>
        <v>0</v>
      </c>
      <c r="AC600" s="67"/>
      <c r="AD600" s="55"/>
    </row>
    <row r="601" spans="1:30" s="52" customFormat="1">
      <c r="A601" s="106" t="s">
        <v>513</v>
      </c>
      <c r="B601" s="181">
        <f>6277176/2</f>
        <v>3138588</v>
      </c>
      <c r="C601" s="211">
        <f t="shared" ref="C601:C657" si="1070">ROUND(B601/12,2)</f>
        <v>261549</v>
      </c>
      <c r="D601" s="170">
        <v>1.6500000000000001E-2</v>
      </c>
      <c r="E601" s="170">
        <v>0.1368</v>
      </c>
      <c r="F601" s="170">
        <v>5.7599999999999998E-2</v>
      </c>
      <c r="G601" s="170">
        <v>8.0399999999999999E-2</v>
      </c>
      <c r="H601" s="170">
        <v>4.1099999999999998E-2</v>
      </c>
      <c r="I601" s="170">
        <v>0.13389999999999999</v>
      </c>
      <c r="J601" s="170">
        <v>2.12E-2</v>
      </c>
      <c r="K601" s="170">
        <v>3.2500000000000001E-2</v>
      </c>
      <c r="L601" s="170">
        <v>1.7100000000000001E-2</v>
      </c>
      <c r="M601" s="170">
        <v>2.5999999999999999E-2</v>
      </c>
      <c r="N601" s="170">
        <v>0.13320000000000001</v>
      </c>
      <c r="O601" s="170">
        <v>1.89E-2</v>
      </c>
      <c r="P601" s="170">
        <v>0</v>
      </c>
      <c r="Q601" s="170">
        <v>3.8600000000000002E-2</v>
      </c>
      <c r="R601" s="170">
        <v>1.9E-2</v>
      </c>
      <c r="S601" s="170">
        <v>4.1999999999999997E-3</v>
      </c>
      <c r="T601" s="170">
        <v>5.3999999999999999E-2</v>
      </c>
      <c r="U601" s="170">
        <v>1.78E-2</v>
      </c>
      <c r="V601" s="170">
        <v>3.6700000000000003E-2</v>
      </c>
      <c r="W601" s="170">
        <v>4.7199999999999999E-2</v>
      </c>
      <c r="X601" s="170">
        <v>6.3899999999999998E-2</v>
      </c>
      <c r="Y601" s="170">
        <v>2.5999999999999999E-3</v>
      </c>
      <c r="Z601" s="171">
        <v>0</v>
      </c>
      <c r="AA601" s="171">
        <v>8.0000000000000004E-4</v>
      </c>
      <c r="AB601" s="171">
        <v>0</v>
      </c>
      <c r="AC601" s="67"/>
      <c r="AD601" s="55"/>
    </row>
    <row r="602" spans="1:30" s="52" customFormat="1">
      <c r="A602" s="100"/>
      <c r="B602" s="60"/>
      <c r="C602" s="211"/>
      <c r="D602" s="39">
        <f t="shared" ref="D602" si="1071">$C601*D601</f>
        <v>4315.5585000000001</v>
      </c>
      <c r="E602" s="39">
        <f t="shared" ref="E602" si="1072">$C601*E601</f>
        <v>35779.903200000001</v>
      </c>
      <c r="F602" s="39">
        <f t="shared" ref="F602:AB602" si="1073">$C601*F601</f>
        <v>15065.222399999999</v>
      </c>
      <c r="G602" s="39">
        <f t="shared" si="1073"/>
        <v>21028.5396</v>
      </c>
      <c r="H602" s="39">
        <f t="shared" si="1073"/>
        <v>10749.6639</v>
      </c>
      <c r="I602" s="39">
        <f t="shared" si="1073"/>
        <v>35021.411099999998</v>
      </c>
      <c r="J602" s="39">
        <f t="shared" si="1073"/>
        <v>5544.8388000000004</v>
      </c>
      <c r="K602" s="39">
        <f t="shared" si="1073"/>
        <v>8500.3425000000007</v>
      </c>
      <c r="L602" s="39">
        <f t="shared" si="1073"/>
        <v>4472.4879000000001</v>
      </c>
      <c r="M602" s="39">
        <f t="shared" si="1073"/>
        <v>6800.2739999999994</v>
      </c>
      <c r="N602" s="39">
        <f t="shared" si="1073"/>
        <v>34838.326800000003</v>
      </c>
      <c r="O602" s="39">
        <f t="shared" si="1073"/>
        <v>4943.2761</v>
      </c>
      <c r="P602" s="39">
        <f t="shared" si="1073"/>
        <v>0</v>
      </c>
      <c r="Q602" s="39">
        <f t="shared" si="1073"/>
        <v>10095.7914</v>
      </c>
      <c r="R602" s="39">
        <f t="shared" si="1073"/>
        <v>4969.4309999999996</v>
      </c>
      <c r="S602" s="39">
        <f t="shared" si="1073"/>
        <v>1098.5057999999999</v>
      </c>
      <c r="T602" s="39">
        <f t="shared" si="1073"/>
        <v>14123.646000000001</v>
      </c>
      <c r="U602" s="39">
        <f t="shared" si="1073"/>
        <v>4655.5721999999996</v>
      </c>
      <c r="V602" s="39">
        <f t="shared" si="1073"/>
        <v>9598.8483000000015</v>
      </c>
      <c r="W602" s="39">
        <f t="shared" si="1073"/>
        <v>12345.112799999999</v>
      </c>
      <c r="X602" s="39">
        <f t="shared" si="1073"/>
        <v>16712.981100000001</v>
      </c>
      <c r="Y602" s="39">
        <f t="shared" si="1073"/>
        <v>680.02739999999994</v>
      </c>
      <c r="Z602" s="39">
        <f t="shared" si="1073"/>
        <v>0</v>
      </c>
      <c r="AA602" s="39">
        <f t="shared" si="1073"/>
        <v>209.23920000000001</v>
      </c>
      <c r="AB602" s="39">
        <f t="shared" si="1073"/>
        <v>0</v>
      </c>
      <c r="AC602" s="67"/>
      <c r="AD602" s="55"/>
    </row>
    <row r="603" spans="1:30" s="52" customFormat="1">
      <c r="A603" s="106" t="s">
        <v>514</v>
      </c>
      <c r="B603" s="181">
        <f>6277176/2</f>
        <v>3138588</v>
      </c>
      <c r="C603" s="211">
        <f t="shared" si="1070"/>
        <v>261549</v>
      </c>
      <c r="D603" s="38">
        <v>8.0100000000000005E-2</v>
      </c>
      <c r="E603" s="38"/>
      <c r="F603" s="38"/>
      <c r="G603" s="38"/>
      <c r="H603" s="38">
        <v>1.9400000000000001E-2</v>
      </c>
      <c r="I603" s="38"/>
      <c r="J603" s="38"/>
      <c r="K603" s="38"/>
      <c r="L603" s="38"/>
      <c r="M603" s="38">
        <v>0.12989999999999999</v>
      </c>
      <c r="N603" s="38"/>
      <c r="O603" s="38"/>
      <c r="P603" s="38"/>
      <c r="Q603" s="38">
        <v>0.13850000000000001</v>
      </c>
      <c r="R603" s="38">
        <v>5.8799999999999998E-2</v>
      </c>
      <c r="S603" s="38">
        <v>3.4500000000000003E-2</v>
      </c>
      <c r="T603" s="38">
        <v>0.1762</v>
      </c>
      <c r="U603" s="38"/>
      <c r="V603" s="38"/>
      <c r="W603" s="38">
        <v>0.14849999999999999</v>
      </c>
      <c r="X603" s="38">
        <v>0.2079</v>
      </c>
      <c r="Y603" s="38">
        <v>6.1999999999999998E-3</v>
      </c>
      <c r="Z603" s="5"/>
      <c r="AA603" s="5"/>
      <c r="AB603" s="5"/>
      <c r="AC603" s="67"/>
      <c r="AD603" s="55"/>
    </row>
    <row r="604" spans="1:30" s="52" customFormat="1">
      <c r="A604" s="100"/>
      <c r="B604" s="60"/>
      <c r="C604" s="211"/>
      <c r="D604" s="39">
        <f t="shared" ref="D604" si="1074">$C603*D603</f>
        <v>20950.0749</v>
      </c>
      <c r="E604" s="39">
        <f t="shared" ref="E604" si="1075">$C603*E603</f>
        <v>0</v>
      </c>
      <c r="F604" s="39">
        <f t="shared" ref="F604:AB604" si="1076">$C603*F603</f>
        <v>0</v>
      </c>
      <c r="G604" s="39">
        <f t="shared" si="1076"/>
        <v>0</v>
      </c>
      <c r="H604" s="39">
        <f t="shared" si="1076"/>
        <v>5074.0506000000005</v>
      </c>
      <c r="I604" s="39">
        <f t="shared" si="1076"/>
        <v>0</v>
      </c>
      <c r="J604" s="39">
        <f t="shared" si="1076"/>
        <v>0</v>
      </c>
      <c r="K604" s="39">
        <f t="shared" si="1076"/>
        <v>0</v>
      </c>
      <c r="L604" s="39">
        <f t="shared" si="1076"/>
        <v>0</v>
      </c>
      <c r="M604" s="39">
        <f t="shared" si="1076"/>
        <v>33975.215099999994</v>
      </c>
      <c r="N604" s="39">
        <f t="shared" si="1076"/>
        <v>0</v>
      </c>
      <c r="O604" s="39">
        <f t="shared" si="1076"/>
        <v>0</v>
      </c>
      <c r="P604" s="39">
        <f t="shared" si="1076"/>
        <v>0</v>
      </c>
      <c r="Q604" s="39">
        <f t="shared" si="1076"/>
        <v>36224.536500000002</v>
      </c>
      <c r="R604" s="39">
        <f t="shared" si="1076"/>
        <v>15379.081199999999</v>
      </c>
      <c r="S604" s="39">
        <f t="shared" si="1076"/>
        <v>9023.4405000000006</v>
      </c>
      <c r="T604" s="39">
        <f t="shared" si="1076"/>
        <v>46084.933799999999</v>
      </c>
      <c r="U604" s="39">
        <f t="shared" si="1076"/>
        <v>0</v>
      </c>
      <c r="V604" s="39">
        <f t="shared" si="1076"/>
        <v>0</v>
      </c>
      <c r="W604" s="39">
        <f t="shared" si="1076"/>
        <v>38840.0265</v>
      </c>
      <c r="X604" s="39">
        <f t="shared" si="1076"/>
        <v>54376.037100000001</v>
      </c>
      <c r="Y604" s="39">
        <f t="shared" si="1076"/>
        <v>1621.6037999999999</v>
      </c>
      <c r="Z604" s="39">
        <f t="shared" si="1076"/>
        <v>0</v>
      </c>
      <c r="AA604" s="39">
        <f t="shared" si="1076"/>
        <v>0</v>
      </c>
      <c r="AB604" s="39">
        <f t="shared" si="1076"/>
        <v>0</v>
      </c>
      <c r="AC604" s="67"/>
      <c r="AD604" s="55"/>
    </row>
    <row r="605" spans="1:30" s="52" customFormat="1">
      <c r="A605" s="106" t="s">
        <v>515</v>
      </c>
      <c r="B605" s="181">
        <v>8578960</v>
      </c>
      <c r="C605" s="211">
        <f t="shared" si="1070"/>
        <v>714913.33</v>
      </c>
      <c r="D605" s="38">
        <v>8.0100000000000005E-2</v>
      </c>
      <c r="E605" s="38"/>
      <c r="F605" s="38"/>
      <c r="G605" s="38"/>
      <c r="H605" s="38">
        <v>1.9400000000000001E-2</v>
      </c>
      <c r="I605" s="38"/>
      <c r="J605" s="38"/>
      <c r="K605" s="38"/>
      <c r="L605" s="38"/>
      <c r="M605" s="38">
        <v>0.12989999999999999</v>
      </c>
      <c r="N605" s="38"/>
      <c r="O605" s="38"/>
      <c r="P605" s="38"/>
      <c r="Q605" s="38">
        <v>0.13850000000000001</v>
      </c>
      <c r="R605" s="38">
        <v>5.8799999999999998E-2</v>
      </c>
      <c r="S605" s="38">
        <v>3.4500000000000003E-2</v>
      </c>
      <c r="T605" s="38">
        <v>0.1762</v>
      </c>
      <c r="U605" s="38"/>
      <c r="V605" s="38"/>
      <c r="W605" s="38">
        <v>0.14849999999999999</v>
      </c>
      <c r="X605" s="38">
        <v>0.2079</v>
      </c>
      <c r="Y605" s="38">
        <v>6.1999999999999998E-3</v>
      </c>
      <c r="Z605" s="5"/>
      <c r="AA605" s="5"/>
      <c r="AB605" s="5"/>
      <c r="AC605" s="67"/>
      <c r="AD605" s="55"/>
    </row>
    <row r="606" spans="1:30" s="52" customFormat="1">
      <c r="A606" s="100"/>
      <c r="B606" s="60"/>
      <c r="C606" s="211"/>
      <c r="D606" s="39">
        <f t="shared" ref="D606" si="1077">$C605*D605</f>
        <v>57264.557733000001</v>
      </c>
      <c r="E606" s="39">
        <f t="shared" ref="E606" si="1078">$C605*E605</f>
        <v>0</v>
      </c>
      <c r="F606" s="39">
        <f t="shared" ref="F606:AB606" si="1079">$C605*F605</f>
        <v>0</v>
      </c>
      <c r="G606" s="39">
        <f t="shared" si="1079"/>
        <v>0</v>
      </c>
      <c r="H606" s="39">
        <f t="shared" si="1079"/>
        <v>13869.318601999999</v>
      </c>
      <c r="I606" s="39">
        <f t="shared" si="1079"/>
        <v>0</v>
      </c>
      <c r="J606" s="39">
        <f t="shared" si="1079"/>
        <v>0</v>
      </c>
      <c r="K606" s="39">
        <f t="shared" si="1079"/>
        <v>0</v>
      </c>
      <c r="L606" s="39">
        <f t="shared" si="1079"/>
        <v>0</v>
      </c>
      <c r="M606" s="39">
        <f t="shared" si="1079"/>
        <v>92867.24156699999</v>
      </c>
      <c r="N606" s="39">
        <f t="shared" si="1079"/>
        <v>0</v>
      </c>
      <c r="O606" s="39">
        <f t="shared" si="1079"/>
        <v>0</v>
      </c>
      <c r="P606" s="39">
        <f t="shared" si="1079"/>
        <v>0</v>
      </c>
      <c r="Q606" s="39">
        <f t="shared" si="1079"/>
        <v>99015.496205000003</v>
      </c>
      <c r="R606" s="39">
        <f t="shared" si="1079"/>
        <v>42036.903803999994</v>
      </c>
      <c r="S606" s="39">
        <f t="shared" si="1079"/>
        <v>24664.509884999999</v>
      </c>
      <c r="T606" s="39">
        <f t="shared" si="1079"/>
        <v>125967.72874599999</v>
      </c>
      <c r="U606" s="39">
        <f t="shared" si="1079"/>
        <v>0</v>
      </c>
      <c r="V606" s="39">
        <f t="shared" si="1079"/>
        <v>0</v>
      </c>
      <c r="W606" s="39">
        <f t="shared" si="1079"/>
        <v>106164.62950499999</v>
      </c>
      <c r="X606" s="39">
        <f t="shared" si="1079"/>
        <v>148630.48130699998</v>
      </c>
      <c r="Y606" s="39">
        <f t="shared" si="1079"/>
        <v>4432.4626459999999</v>
      </c>
      <c r="Z606" s="39">
        <f t="shared" si="1079"/>
        <v>0</v>
      </c>
      <c r="AA606" s="39">
        <f t="shared" si="1079"/>
        <v>0</v>
      </c>
      <c r="AB606" s="39">
        <f t="shared" si="1079"/>
        <v>0</v>
      </c>
      <c r="AC606" s="67"/>
      <c r="AD606" s="55"/>
    </row>
    <row r="607" spans="1:30" s="52" customFormat="1">
      <c r="A607" s="106" t="s">
        <v>506</v>
      </c>
      <c r="B607" s="181">
        <v>10424350</v>
      </c>
      <c r="C607" s="211">
        <f t="shared" si="1070"/>
        <v>868695.83</v>
      </c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170">
        <v>0.40970000000000001</v>
      </c>
      <c r="R607" s="38"/>
      <c r="S607" s="170">
        <v>3.5799999999999998E-2</v>
      </c>
      <c r="T607" s="38"/>
      <c r="U607" s="38"/>
      <c r="V607" s="38"/>
      <c r="W607" s="38"/>
      <c r="X607" s="170">
        <v>0.53300000000000003</v>
      </c>
      <c r="Y607" s="170">
        <v>2.1499999999999998E-2</v>
      </c>
      <c r="Z607" s="5"/>
      <c r="AA607" s="5"/>
      <c r="AB607" s="5"/>
      <c r="AC607" s="67"/>
      <c r="AD607" s="55"/>
    </row>
    <row r="608" spans="1:30" s="52" customFormat="1">
      <c r="A608" s="100"/>
      <c r="B608" s="60"/>
      <c r="C608" s="211"/>
      <c r="D608" s="39">
        <f t="shared" ref="D608" si="1080">$C607*D607</f>
        <v>0</v>
      </c>
      <c r="E608" s="39">
        <f t="shared" ref="E608" si="1081">$C607*E607</f>
        <v>0</v>
      </c>
      <c r="F608" s="39">
        <f t="shared" ref="F608:AB608" si="1082">$C607*F607</f>
        <v>0</v>
      </c>
      <c r="G608" s="39">
        <f t="shared" si="1082"/>
        <v>0</v>
      </c>
      <c r="H608" s="39">
        <f t="shared" si="1082"/>
        <v>0</v>
      </c>
      <c r="I608" s="39">
        <f t="shared" si="1082"/>
        <v>0</v>
      </c>
      <c r="J608" s="39">
        <f t="shared" si="1082"/>
        <v>0</v>
      </c>
      <c r="K608" s="39">
        <f t="shared" si="1082"/>
        <v>0</v>
      </c>
      <c r="L608" s="39">
        <f t="shared" si="1082"/>
        <v>0</v>
      </c>
      <c r="M608" s="39">
        <f t="shared" si="1082"/>
        <v>0</v>
      </c>
      <c r="N608" s="39">
        <f t="shared" si="1082"/>
        <v>0</v>
      </c>
      <c r="O608" s="39">
        <f t="shared" si="1082"/>
        <v>0</v>
      </c>
      <c r="P608" s="39">
        <f t="shared" si="1082"/>
        <v>0</v>
      </c>
      <c r="Q608" s="39">
        <f t="shared" si="1082"/>
        <v>355904.68155099999</v>
      </c>
      <c r="R608" s="39">
        <f t="shared" si="1082"/>
        <v>0</v>
      </c>
      <c r="S608" s="39">
        <f t="shared" si="1082"/>
        <v>31099.310713999996</v>
      </c>
      <c r="T608" s="39">
        <f t="shared" si="1082"/>
        <v>0</v>
      </c>
      <c r="U608" s="39">
        <f t="shared" si="1082"/>
        <v>0</v>
      </c>
      <c r="V608" s="39">
        <f t="shared" si="1082"/>
        <v>0</v>
      </c>
      <c r="W608" s="39">
        <f t="shared" si="1082"/>
        <v>0</v>
      </c>
      <c r="X608" s="39">
        <f t="shared" si="1082"/>
        <v>463014.87738999998</v>
      </c>
      <c r="Y608" s="39">
        <f t="shared" si="1082"/>
        <v>18676.960344999996</v>
      </c>
      <c r="Z608" s="39">
        <f t="shared" si="1082"/>
        <v>0</v>
      </c>
      <c r="AA608" s="39">
        <f t="shared" si="1082"/>
        <v>0</v>
      </c>
      <c r="AB608" s="39">
        <f t="shared" si="1082"/>
        <v>0</v>
      </c>
      <c r="AC608" s="67"/>
      <c r="AD608" s="55"/>
    </row>
    <row r="609" spans="1:30" s="52" customFormat="1">
      <c r="A609" s="106" t="s">
        <v>538</v>
      </c>
      <c r="B609" s="181">
        <v>8842872</v>
      </c>
      <c r="C609" s="211">
        <f t="shared" si="1070"/>
        <v>736906</v>
      </c>
      <c r="D609" s="170">
        <v>0.29370000000000002</v>
      </c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170">
        <v>0.48630000000000001</v>
      </c>
      <c r="U609" s="38"/>
      <c r="V609" s="38"/>
      <c r="W609" s="38"/>
      <c r="X609" s="170">
        <v>0.21149999999999999</v>
      </c>
      <c r="Y609" s="170">
        <v>8.5000000000000006E-3</v>
      </c>
      <c r="Z609" s="40"/>
      <c r="AA609" s="40"/>
      <c r="AB609" s="40"/>
      <c r="AC609" s="67"/>
      <c r="AD609" s="55"/>
    </row>
    <row r="610" spans="1:30" s="52" customFormat="1">
      <c r="A610" s="100"/>
      <c r="B610" s="60"/>
      <c r="C610" s="211"/>
      <c r="D610" s="39">
        <f t="shared" ref="D610" si="1083">$C609*D609</f>
        <v>216429.29220000003</v>
      </c>
      <c r="E610" s="39">
        <f t="shared" ref="E610" si="1084">$C609*E609</f>
        <v>0</v>
      </c>
      <c r="F610" s="39">
        <f t="shared" ref="F610:AB610" si="1085">$C609*F609</f>
        <v>0</v>
      </c>
      <c r="G610" s="39">
        <f t="shared" si="1085"/>
        <v>0</v>
      </c>
      <c r="H610" s="39">
        <f t="shared" si="1085"/>
        <v>0</v>
      </c>
      <c r="I610" s="39">
        <f t="shared" si="1085"/>
        <v>0</v>
      </c>
      <c r="J610" s="39">
        <f t="shared" si="1085"/>
        <v>0</v>
      </c>
      <c r="K610" s="39">
        <f t="shared" si="1085"/>
        <v>0</v>
      </c>
      <c r="L610" s="39">
        <f t="shared" si="1085"/>
        <v>0</v>
      </c>
      <c r="M610" s="39">
        <f t="shared" si="1085"/>
        <v>0</v>
      </c>
      <c r="N610" s="39">
        <f t="shared" si="1085"/>
        <v>0</v>
      </c>
      <c r="O610" s="39">
        <f t="shared" si="1085"/>
        <v>0</v>
      </c>
      <c r="P610" s="39">
        <f t="shared" si="1085"/>
        <v>0</v>
      </c>
      <c r="Q610" s="39">
        <f t="shared" si="1085"/>
        <v>0</v>
      </c>
      <c r="R610" s="39">
        <f t="shared" si="1085"/>
        <v>0</v>
      </c>
      <c r="S610" s="39">
        <f t="shared" si="1085"/>
        <v>0</v>
      </c>
      <c r="T610" s="39">
        <f t="shared" si="1085"/>
        <v>358357.38780000003</v>
      </c>
      <c r="U610" s="39">
        <f t="shared" si="1085"/>
        <v>0</v>
      </c>
      <c r="V610" s="39">
        <f t="shared" si="1085"/>
        <v>0</v>
      </c>
      <c r="W610" s="39">
        <f t="shared" si="1085"/>
        <v>0</v>
      </c>
      <c r="X610" s="39">
        <f t="shared" si="1085"/>
        <v>155855.61900000001</v>
      </c>
      <c r="Y610" s="39">
        <f t="shared" si="1085"/>
        <v>6263.701</v>
      </c>
      <c r="Z610" s="39">
        <f t="shared" si="1085"/>
        <v>0</v>
      </c>
      <c r="AA610" s="39">
        <f t="shared" si="1085"/>
        <v>0</v>
      </c>
      <c r="AB610" s="39">
        <f t="shared" si="1085"/>
        <v>0</v>
      </c>
      <c r="AC610" s="67"/>
      <c r="AD610" s="55"/>
    </row>
    <row r="611" spans="1:30" s="52" customFormat="1">
      <c r="A611" s="106" t="s">
        <v>539</v>
      </c>
      <c r="B611" s="181">
        <v>5745560</v>
      </c>
      <c r="C611" s="211">
        <f t="shared" si="1070"/>
        <v>478796.67</v>
      </c>
      <c r="D611" s="170">
        <v>0.25990000000000002</v>
      </c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170">
        <v>0.43020000000000003</v>
      </c>
      <c r="U611" s="38"/>
      <c r="V611" s="38"/>
      <c r="W611" s="38"/>
      <c r="X611" s="170">
        <v>0.2979</v>
      </c>
      <c r="Y611" s="170">
        <v>1.2E-2</v>
      </c>
      <c r="Z611" s="40"/>
      <c r="AA611" s="40"/>
      <c r="AB611" s="40"/>
      <c r="AC611" s="67"/>
      <c r="AD611" s="55"/>
    </row>
    <row r="612" spans="1:30" s="52" customFormat="1">
      <c r="A612" s="100"/>
      <c r="B612" s="60"/>
      <c r="C612" s="211"/>
      <c r="D612" s="39">
        <f t="shared" ref="D612" si="1086">$C611*D611</f>
        <v>124439.254533</v>
      </c>
      <c r="E612" s="39">
        <f t="shared" ref="E612" si="1087">$C611*E611</f>
        <v>0</v>
      </c>
      <c r="F612" s="39">
        <f t="shared" ref="F612:AB612" si="1088">$C611*F611</f>
        <v>0</v>
      </c>
      <c r="G612" s="39">
        <f t="shared" si="1088"/>
        <v>0</v>
      </c>
      <c r="H612" s="39">
        <f t="shared" si="1088"/>
        <v>0</v>
      </c>
      <c r="I612" s="39">
        <f t="shared" si="1088"/>
        <v>0</v>
      </c>
      <c r="J612" s="39">
        <f t="shared" si="1088"/>
        <v>0</v>
      </c>
      <c r="K612" s="39">
        <f t="shared" si="1088"/>
        <v>0</v>
      </c>
      <c r="L612" s="39">
        <f t="shared" si="1088"/>
        <v>0</v>
      </c>
      <c r="M612" s="39">
        <f t="shared" si="1088"/>
        <v>0</v>
      </c>
      <c r="N612" s="39">
        <f t="shared" si="1088"/>
        <v>0</v>
      </c>
      <c r="O612" s="39">
        <f t="shared" si="1088"/>
        <v>0</v>
      </c>
      <c r="P612" s="39">
        <f t="shared" si="1088"/>
        <v>0</v>
      </c>
      <c r="Q612" s="39">
        <f t="shared" si="1088"/>
        <v>0</v>
      </c>
      <c r="R612" s="39">
        <f t="shared" si="1088"/>
        <v>0</v>
      </c>
      <c r="S612" s="39">
        <f t="shared" si="1088"/>
        <v>0</v>
      </c>
      <c r="T612" s="39">
        <f t="shared" si="1088"/>
        <v>205978.32743400001</v>
      </c>
      <c r="U612" s="39">
        <f t="shared" si="1088"/>
        <v>0</v>
      </c>
      <c r="V612" s="39">
        <f t="shared" si="1088"/>
        <v>0</v>
      </c>
      <c r="W612" s="39">
        <f t="shared" si="1088"/>
        <v>0</v>
      </c>
      <c r="X612" s="39">
        <f t="shared" si="1088"/>
        <v>142633.527993</v>
      </c>
      <c r="Y612" s="39">
        <f t="shared" si="1088"/>
        <v>5745.5600400000003</v>
      </c>
      <c r="Z612" s="39">
        <f t="shared" si="1088"/>
        <v>0</v>
      </c>
      <c r="AA612" s="39">
        <f t="shared" si="1088"/>
        <v>0</v>
      </c>
      <c r="AB612" s="39">
        <f t="shared" si="1088"/>
        <v>0</v>
      </c>
      <c r="AC612" s="67"/>
      <c r="AD612" s="55"/>
    </row>
    <row r="613" spans="1:30" s="52" customFormat="1">
      <c r="A613" s="106" t="s">
        <v>540</v>
      </c>
      <c r="B613" s="181">
        <v>1012907</v>
      </c>
      <c r="C613" s="211">
        <f t="shared" si="1070"/>
        <v>84408.92</v>
      </c>
      <c r="D613" s="170">
        <v>0.22789999999999999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170">
        <v>0.37740000000000001</v>
      </c>
      <c r="U613" s="38"/>
      <c r="V613" s="38"/>
      <c r="W613" s="38"/>
      <c r="X613" s="170">
        <v>0.37940000000000002</v>
      </c>
      <c r="Y613" s="170">
        <v>1.5299999999999999E-2</v>
      </c>
      <c r="Z613" s="40"/>
      <c r="AA613" s="40"/>
      <c r="AB613" s="40"/>
      <c r="AC613" s="67"/>
      <c r="AD613" s="55"/>
    </row>
    <row r="614" spans="1:30" s="52" customFormat="1">
      <c r="A614" s="100"/>
      <c r="B614" s="60"/>
      <c r="C614" s="211"/>
      <c r="D614" s="39">
        <f t="shared" ref="D614" si="1089">$C613*D613</f>
        <v>19236.792868</v>
      </c>
      <c r="E614" s="39">
        <f t="shared" ref="E614" si="1090">$C613*E613</f>
        <v>0</v>
      </c>
      <c r="F614" s="39">
        <f t="shared" ref="F614:AB614" si="1091">$C613*F613</f>
        <v>0</v>
      </c>
      <c r="G614" s="39">
        <f t="shared" si="1091"/>
        <v>0</v>
      </c>
      <c r="H614" s="39">
        <f t="shared" si="1091"/>
        <v>0</v>
      </c>
      <c r="I614" s="39">
        <f t="shared" si="1091"/>
        <v>0</v>
      </c>
      <c r="J614" s="39">
        <f t="shared" si="1091"/>
        <v>0</v>
      </c>
      <c r="K614" s="39">
        <f t="shared" si="1091"/>
        <v>0</v>
      </c>
      <c r="L614" s="39">
        <f t="shared" si="1091"/>
        <v>0</v>
      </c>
      <c r="M614" s="39">
        <f t="shared" si="1091"/>
        <v>0</v>
      </c>
      <c r="N614" s="39">
        <f t="shared" si="1091"/>
        <v>0</v>
      </c>
      <c r="O614" s="39">
        <f t="shared" si="1091"/>
        <v>0</v>
      </c>
      <c r="P614" s="39">
        <f t="shared" si="1091"/>
        <v>0</v>
      </c>
      <c r="Q614" s="39">
        <f t="shared" si="1091"/>
        <v>0</v>
      </c>
      <c r="R614" s="39">
        <f t="shared" si="1091"/>
        <v>0</v>
      </c>
      <c r="S614" s="39">
        <f t="shared" si="1091"/>
        <v>0</v>
      </c>
      <c r="T614" s="39">
        <f t="shared" si="1091"/>
        <v>31855.926407999999</v>
      </c>
      <c r="U614" s="39">
        <f t="shared" si="1091"/>
        <v>0</v>
      </c>
      <c r="V614" s="39">
        <f t="shared" si="1091"/>
        <v>0</v>
      </c>
      <c r="W614" s="39">
        <f t="shared" si="1091"/>
        <v>0</v>
      </c>
      <c r="X614" s="39">
        <f t="shared" si="1091"/>
        <v>32024.744247999999</v>
      </c>
      <c r="Y614" s="39">
        <f t="shared" si="1091"/>
        <v>1291.4564759999998</v>
      </c>
      <c r="Z614" s="39">
        <f t="shared" si="1091"/>
        <v>0</v>
      </c>
      <c r="AA614" s="39">
        <f t="shared" si="1091"/>
        <v>0</v>
      </c>
      <c r="AB614" s="39">
        <f t="shared" si="1091"/>
        <v>0</v>
      </c>
      <c r="AC614" s="67"/>
      <c r="AD614" s="55"/>
    </row>
    <row r="615" spans="1:30" s="52" customFormat="1">
      <c r="A615" s="106" t="s">
        <v>541</v>
      </c>
      <c r="B615" s="181">
        <v>8358903</v>
      </c>
      <c r="C615" s="211">
        <f t="shared" si="1070"/>
        <v>696575.25</v>
      </c>
      <c r="D615" s="170">
        <v>6.0999999999999999E-2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170">
        <v>0.124</v>
      </c>
      <c r="T615" s="38"/>
      <c r="U615" s="38"/>
      <c r="V615" s="38"/>
      <c r="W615" s="38"/>
      <c r="X615" s="170">
        <v>0.78339999999999999</v>
      </c>
      <c r="Y615" s="170">
        <v>3.1600000000000003E-2</v>
      </c>
      <c r="Z615" s="40"/>
      <c r="AA615" s="40"/>
      <c r="AB615" s="40"/>
      <c r="AC615" s="67"/>
      <c r="AD615" s="55"/>
    </row>
    <row r="616" spans="1:30" s="52" customFormat="1">
      <c r="A616" s="100"/>
      <c r="B616" s="60"/>
      <c r="C616" s="211"/>
      <c r="D616" s="39">
        <f t="shared" ref="D616" si="1092">$C615*D615</f>
        <v>42491.090250000001</v>
      </c>
      <c r="E616" s="39">
        <f t="shared" ref="E616" si="1093">$C615*E615</f>
        <v>0</v>
      </c>
      <c r="F616" s="39">
        <f t="shared" ref="F616:AB616" si="1094">$C615*F615</f>
        <v>0</v>
      </c>
      <c r="G616" s="39">
        <f t="shared" si="1094"/>
        <v>0</v>
      </c>
      <c r="H616" s="39">
        <f t="shared" si="1094"/>
        <v>0</v>
      </c>
      <c r="I616" s="39">
        <f t="shared" si="1094"/>
        <v>0</v>
      </c>
      <c r="J616" s="39">
        <f t="shared" si="1094"/>
        <v>0</v>
      </c>
      <c r="K616" s="39">
        <f t="shared" si="1094"/>
        <v>0</v>
      </c>
      <c r="L616" s="39">
        <f t="shared" si="1094"/>
        <v>0</v>
      </c>
      <c r="M616" s="39">
        <f t="shared" si="1094"/>
        <v>0</v>
      </c>
      <c r="N616" s="39">
        <f t="shared" si="1094"/>
        <v>0</v>
      </c>
      <c r="O616" s="39">
        <f t="shared" si="1094"/>
        <v>0</v>
      </c>
      <c r="P616" s="39">
        <f t="shared" si="1094"/>
        <v>0</v>
      </c>
      <c r="Q616" s="39">
        <f t="shared" si="1094"/>
        <v>0</v>
      </c>
      <c r="R616" s="39">
        <f t="shared" si="1094"/>
        <v>0</v>
      </c>
      <c r="S616" s="39">
        <f t="shared" si="1094"/>
        <v>86375.331000000006</v>
      </c>
      <c r="T616" s="39">
        <f t="shared" si="1094"/>
        <v>0</v>
      </c>
      <c r="U616" s="39">
        <f t="shared" si="1094"/>
        <v>0</v>
      </c>
      <c r="V616" s="39">
        <f t="shared" si="1094"/>
        <v>0</v>
      </c>
      <c r="W616" s="39">
        <f t="shared" si="1094"/>
        <v>0</v>
      </c>
      <c r="X616" s="39">
        <f t="shared" si="1094"/>
        <v>545697.05085</v>
      </c>
      <c r="Y616" s="39">
        <f t="shared" si="1094"/>
        <v>22011.777900000001</v>
      </c>
      <c r="Z616" s="39">
        <f t="shared" si="1094"/>
        <v>0</v>
      </c>
      <c r="AA616" s="39">
        <f t="shared" si="1094"/>
        <v>0</v>
      </c>
      <c r="AB616" s="39">
        <f t="shared" si="1094"/>
        <v>0</v>
      </c>
      <c r="AC616" s="67"/>
      <c r="AD616" s="55"/>
    </row>
    <row r="617" spans="1:30" s="52" customFormat="1">
      <c r="A617" s="106" t="s">
        <v>542</v>
      </c>
      <c r="B617" s="75"/>
      <c r="C617" s="211">
        <f t="shared" si="1070"/>
        <v>0</v>
      </c>
      <c r="D617" s="170">
        <v>0.29270000000000002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170">
        <v>0.62290000000000001</v>
      </c>
      <c r="T617" s="38"/>
      <c r="U617" s="38"/>
      <c r="V617" s="38"/>
      <c r="W617" s="38"/>
      <c r="X617" s="170">
        <v>8.1100000000000005E-2</v>
      </c>
      <c r="Y617" s="170">
        <v>3.3E-3</v>
      </c>
      <c r="Z617" s="40"/>
      <c r="AA617" s="40"/>
      <c r="AB617" s="40"/>
      <c r="AC617" s="67"/>
      <c r="AD617" s="55"/>
    </row>
    <row r="618" spans="1:30" s="52" customFormat="1">
      <c r="A618" s="100"/>
      <c r="B618" s="60"/>
      <c r="C618" s="211"/>
      <c r="D618" s="39">
        <f t="shared" ref="D618" si="1095">$C617*D617</f>
        <v>0</v>
      </c>
      <c r="E618" s="39">
        <f t="shared" ref="E618" si="1096">$C617*E617</f>
        <v>0</v>
      </c>
      <c r="F618" s="39">
        <f t="shared" ref="F618:AB618" si="1097">$C617*F617</f>
        <v>0</v>
      </c>
      <c r="G618" s="39">
        <f t="shared" si="1097"/>
        <v>0</v>
      </c>
      <c r="H618" s="39">
        <f t="shared" si="1097"/>
        <v>0</v>
      </c>
      <c r="I618" s="39">
        <f t="shared" si="1097"/>
        <v>0</v>
      </c>
      <c r="J618" s="39">
        <f t="shared" si="1097"/>
        <v>0</v>
      </c>
      <c r="K618" s="39">
        <f t="shared" si="1097"/>
        <v>0</v>
      </c>
      <c r="L618" s="39">
        <f t="shared" si="1097"/>
        <v>0</v>
      </c>
      <c r="M618" s="39">
        <f t="shared" si="1097"/>
        <v>0</v>
      </c>
      <c r="N618" s="39">
        <f t="shared" si="1097"/>
        <v>0</v>
      </c>
      <c r="O618" s="39">
        <f t="shared" si="1097"/>
        <v>0</v>
      </c>
      <c r="P618" s="39">
        <f t="shared" si="1097"/>
        <v>0</v>
      </c>
      <c r="Q618" s="39">
        <f t="shared" si="1097"/>
        <v>0</v>
      </c>
      <c r="R618" s="39">
        <f t="shared" si="1097"/>
        <v>0</v>
      </c>
      <c r="S618" s="39">
        <f t="shared" si="1097"/>
        <v>0</v>
      </c>
      <c r="T618" s="39">
        <f t="shared" si="1097"/>
        <v>0</v>
      </c>
      <c r="U618" s="39">
        <f t="shared" si="1097"/>
        <v>0</v>
      </c>
      <c r="V618" s="39">
        <f t="shared" si="1097"/>
        <v>0</v>
      </c>
      <c r="W618" s="39">
        <f t="shared" si="1097"/>
        <v>0</v>
      </c>
      <c r="X618" s="39">
        <f t="shared" si="1097"/>
        <v>0</v>
      </c>
      <c r="Y618" s="39">
        <f t="shared" si="1097"/>
        <v>0</v>
      </c>
      <c r="Z618" s="39">
        <f t="shared" si="1097"/>
        <v>0</v>
      </c>
      <c r="AA618" s="39">
        <f t="shared" si="1097"/>
        <v>0</v>
      </c>
      <c r="AB618" s="39">
        <f t="shared" si="1097"/>
        <v>0</v>
      </c>
      <c r="AC618" s="67"/>
      <c r="AD618" s="55"/>
    </row>
    <row r="619" spans="1:30" s="52" customFormat="1">
      <c r="A619" s="106" t="s">
        <v>543</v>
      </c>
      <c r="B619" s="75"/>
      <c r="C619" s="211">
        <f t="shared" si="1070"/>
        <v>0</v>
      </c>
      <c r="D619" s="170">
        <v>0.1895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170">
        <v>0.31030000000000002</v>
      </c>
      <c r="T619" s="38"/>
      <c r="U619" s="38"/>
      <c r="V619" s="38"/>
      <c r="W619" s="38"/>
      <c r="X619" s="170">
        <v>0.48080000000000001</v>
      </c>
      <c r="Y619" s="170">
        <v>1.9400000000000001E-2</v>
      </c>
      <c r="Z619" s="40"/>
      <c r="AA619" s="40"/>
      <c r="AB619" s="40"/>
      <c r="AC619" s="67"/>
      <c r="AD619" s="55"/>
    </row>
    <row r="620" spans="1:30" s="52" customFormat="1">
      <c r="A620" s="100"/>
      <c r="B620" s="60"/>
      <c r="C620" s="211"/>
      <c r="D620" s="39">
        <f t="shared" ref="D620" si="1098">$C619*D619</f>
        <v>0</v>
      </c>
      <c r="E620" s="39">
        <f t="shared" ref="E620" si="1099">$C619*E619</f>
        <v>0</v>
      </c>
      <c r="F620" s="39">
        <f t="shared" ref="F620:AB620" si="1100">$C619*F619</f>
        <v>0</v>
      </c>
      <c r="G620" s="39">
        <f t="shared" si="1100"/>
        <v>0</v>
      </c>
      <c r="H620" s="39">
        <f t="shared" si="1100"/>
        <v>0</v>
      </c>
      <c r="I620" s="39">
        <f t="shared" si="1100"/>
        <v>0</v>
      </c>
      <c r="J620" s="39">
        <f t="shared" si="1100"/>
        <v>0</v>
      </c>
      <c r="K620" s="39">
        <f t="shared" si="1100"/>
        <v>0</v>
      </c>
      <c r="L620" s="39">
        <f t="shared" si="1100"/>
        <v>0</v>
      </c>
      <c r="M620" s="39">
        <f t="shared" si="1100"/>
        <v>0</v>
      </c>
      <c r="N620" s="39">
        <f t="shared" si="1100"/>
        <v>0</v>
      </c>
      <c r="O620" s="39">
        <f t="shared" si="1100"/>
        <v>0</v>
      </c>
      <c r="P620" s="39">
        <f t="shared" si="1100"/>
        <v>0</v>
      </c>
      <c r="Q620" s="39">
        <f t="shared" si="1100"/>
        <v>0</v>
      </c>
      <c r="R620" s="39">
        <f t="shared" si="1100"/>
        <v>0</v>
      </c>
      <c r="S620" s="39">
        <f t="shared" si="1100"/>
        <v>0</v>
      </c>
      <c r="T620" s="39">
        <f t="shared" si="1100"/>
        <v>0</v>
      </c>
      <c r="U620" s="39">
        <f t="shared" si="1100"/>
        <v>0</v>
      </c>
      <c r="V620" s="39">
        <f t="shared" si="1100"/>
        <v>0</v>
      </c>
      <c r="W620" s="39">
        <f t="shared" si="1100"/>
        <v>0</v>
      </c>
      <c r="X620" s="39">
        <f t="shared" si="1100"/>
        <v>0</v>
      </c>
      <c r="Y620" s="39">
        <f t="shared" si="1100"/>
        <v>0</v>
      </c>
      <c r="Z620" s="39">
        <f t="shared" si="1100"/>
        <v>0</v>
      </c>
      <c r="AA620" s="39">
        <f t="shared" si="1100"/>
        <v>0</v>
      </c>
      <c r="AB620" s="39">
        <f t="shared" si="1100"/>
        <v>0</v>
      </c>
      <c r="AC620" s="67"/>
      <c r="AD620" s="55"/>
    </row>
    <row r="621" spans="1:30" s="52" customFormat="1">
      <c r="A621" s="106" t="s">
        <v>544</v>
      </c>
      <c r="B621" s="181">
        <v>4114428</v>
      </c>
      <c r="C621" s="211">
        <f t="shared" si="1070"/>
        <v>342869</v>
      </c>
      <c r="D621" s="170">
        <v>1.6299999999999999E-2</v>
      </c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170">
        <v>0.1207</v>
      </c>
      <c r="T621" s="38"/>
      <c r="U621" s="38"/>
      <c r="V621" s="38"/>
      <c r="W621" s="38"/>
      <c r="X621" s="170">
        <v>0.82950000000000002</v>
      </c>
      <c r="Y621" s="170">
        <v>3.3500000000000002E-2</v>
      </c>
      <c r="Z621" s="40"/>
      <c r="AA621" s="40"/>
      <c r="AB621" s="40"/>
      <c r="AC621" s="67"/>
      <c r="AD621" s="55"/>
    </row>
    <row r="622" spans="1:30" s="52" customFormat="1">
      <c r="A622" s="100"/>
      <c r="B622" s="60"/>
      <c r="C622" s="211"/>
      <c r="D622" s="39">
        <f t="shared" ref="D622" si="1101">$C621*D621</f>
        <v>5588.7646999999997</v>
      </c>
      <c r="E622" s="39">
        <f t="shared" ref="E622" si="1102">$C621*E621</f>
        <v>0</v>
      </c>
      <c r="F622" s="39">
        <f t="shared" ref="F622:AB622" si="1103">$C621*F621</f>
        <v>0</v>
      </c>
      <c r="G622" s="39">
        <f t="shared" si="1103"/>
        <v>0</v>
      </c>
      <c r="H622" s="39">
        <f t="shared" si="1103"/>
        <v>0</v>
      </c>
      <c r="I622" s="39">
        <f t="shared" si="1103"/>
        <v>0</v>
      </c>
      <c r="J622" s="39">
        <f t="shared" si="1103"/>
        <v>0</v>
      </c>
      <c r="K622" s="39">
        <f t="shared" si="1103"/>
        <v>0</v>
      </c>
      <c r="L622" s="39">
        <f t="shared" si="1103"/>
        <v>0</v>
      </c>
      <c r="M622" s="39">
        <f t="shared" si="1103"/>
        <v>0</v>
      </c>
      <c r="N622" s="39">
        <f t="shared" si="1103"/>
        <v>0</v>
      </c>
      <c r="O622" s="39">
        <f t="shared" si="1103"/>
        <v>0</v>
      </c>
      <c r="P622" s="39">
        <f t="shared" si="1103"/>
        <v>0</v>
      </c>
      <c r="Q622" s="39">
        <f t="shared" si="1103"/>
        <v>0</v>
      </c>
      <c r="R622" s="39">
        <f t="shared" si="1103"/>
        <v>0</v>
      </c>
      <c r="S622" s="39">
        <f t="shared" si="1103"/>
        <v>41384.2883</v>
      </c>
      <c r="T622" s="39">
        <f t="shared" si="1103"/>
        <v>0</v>
      </c>
      <c r="U622" s="39">
        <f t="shared" si="1103"/>
        <v>0</v>
      </c>
      <c r="V622" s="39">
        <f t="shared" si="1103"/>
        <v>0</v>
      </c>
      <c r="W622" s="39">
        <f t="shared" si="1103"/>
        <v>0</v>
      </c>
      <c r="X622" s="39">
        <f t="shared" si="1103"/>
        <v>284409.83549999999</v>
      </c>
      <c r="Y622" s="39">
        <f t="shared" si="1103"/>
        <v>11486.111500000001</v>
      </c>
      <c r="Z622" s="39">
        <f t="shared" si="1103"/>
        <v>0</v>
      </c>
      <c r="AA622" s="39">
        <f t="shared" si="1103"/>
        <v>0</v>
      </c>
      <c r="AB622" s="39">
        <f t="shared" si="1103"/>
        <v>0</v>
      </c>
      <c r="AC622" s="67"/>
      <c r="AD622" s="55"/>
    </row>
    <row r="623" spans="1:30" s="52" customFormat="1">
      <c r="A623" s="106" t="s">
        <v>545</v>
      </c>
      <c r="B623" s="181">
        <v>1393449</v>
      </c>
      <c r="C623" s="211">
        <f t="shared" si="1070"/>
        <v>116120.75</v>
      </c>
      <c r="D623" s="170">
        <v>5.3E-3</v>
      </c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170">
        <v>9.7299999999999998E-2</v>
      </c>
      <c r="T623" s="38"/>
      <c r="U623" s="38"/>
      <c r="V623" s="38"/>
      <c r="W623" s="38"/>
      <c r="X623" s="170">
        <v>0.86260000000000003</v>
      </c>
      <c r="Y623" s="170">
        <v>3.4799999999999998E-2</v>
      </c>
      <c r="Z623" s="40"/>
      <c r="AA623" s="40"/>
      <c r="AB623" s="40"/>
      <c r="AC623" s="67"/>
      <c r="AD623" s="55"/>
    </row>
    <row r="624" spans="1:30" s="52" customFormat="1">
      <c r="A624" s="100"/>
      <c r="B624" s="60"/>
      <c r="C624" s="211"/>
      <c r="D624" s="39">
        <f t="shared" ref="D624" si="1104">$C623*D623</f>
        <v>615.439975</v>
      </c>
      <c r="E624" s="39">
        <f t="shared" ref="E624" si="1105">$C623*E623</f>
        <v>0</v>
      </c>
      <c r="F624" s="39">
        <f t="shared" ref="F624:AB624" si="1106">$C623*F623</f>
        <v>0</v>
      </c>
      <c r="G624" s="39">
        <f t="shared" si="1106"/>
        <v>0</v>
      </c>
      <c r="H624" s="39">
        <f t="shared" si="1106"/>
        <v>0</v>
      </c>
      <c r="I624" s="39">
        <f t="shared" si="1106"/>
        <v>0</v>
      </c>
      <c r="J624" s="39">
        <f t="shared" si="1106"/>
        <v>0</v>
      </c>
      <c r="K624" s="39">
        <f t="shared" si="1106"/>
        <v>0</v>
      </c>
      <c r="L624" s="39">
        <f t="shared" si="1106"/>
        <v>0</v>
      </c>
      <c r="M624" s="39">
        <f t="shared" si="1106"/>
        <v>0</v>
      </c>
      <c r="N624" s="39">
        <f t="shared" si="1106"/>
        <v>0</v>
      </c>
      <c r="O624" s="39">
        <f t="shared" si="1106"/>
        <v>0</v>
      </c>
      <c r="P624" s="39">
        <f t="shared" si="1106"/>
        <v>0</v>
      </c>
      <c r="Q624" s="39">
        <f t="shared" si="1106"/>
        <v>0</v>
      </c>
      <c r="R624" s="39">
        <f t="shared" si="1106"/>
        <v>0</v>
      </c>
      <c r="S624" s="39">
        <f t="shared" si="1106"/>
        <v>11298.548975</v>
      </c>
      <c r="T624" s="39">
        <f t="shared" si="1106"/>
        <v>0</v>
      </c>
      <c r="U624" s="39">
        <f t="shared" si="1106"/>
        <v>0</v>
      </c>
      <c r="V624" s="39">
        <f t="shared" si="1106"/>
        <v>0</v>
      </c>
      <c r="W624" s="39">
        <f t="shared" si="1106"/>
        <v>0</v>
      </c>
      <c r="X624" s="39">
        <f t="shared" si="1106"/>
        <v>100165.75895</v>
      </c>
      <c r="Y624" s="39">
        <f t="shared" si="1106"/>
        <v>4041.0020999999997</v>
      </c>
      <c r="Z624" s="39">
        <f t="shared" si="1106"/>
        <v>0</v>
      </c>
      <c r="AA624" s="39">
        <f t="shared" si="1106"/>
        <v>0</v>
      </c>
      <c r="AB624" s="39">
        <f t="shared" si="1106"/>
        <v>0</v>
      </c>
      <c r="AC624" s="67"/>
      <c r="AD624" s="55"/>
    </row>
    <row r="625" spans="1:30" s="52" customFormat="1">
      <c r="A625" s="106" t="s">
        <v>546</v>
      </c>
      <c r="B625" s="181">
        <v>1067061</v>
      </c>
      <c r="C625" s="211">
        <f t="shared" si="1070"/>
        <v>88921.75</v>
      </c>
      <c r="D625" s="170">
        <v>3.5999999999999999E-3</v>
      </c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170">
        <v>9.06E-2</v>
      </c>
      <c r="T625" s="38"/>
      <c r="U625" s="38"/>
      <c r="V625" s="38"/>
      <c r="W625" s="38"/>
      <c r="X625" s="170">
        <v>0.87070000000000003</v>
      </c>
      <c r="Y625" s="170">
        <v>3.5099999999999999E-2</v>
      </c>
      <c r="Z625" s="40"/>
      <c r="AA625" s="40"/>
      <c r="AB625" s="40"/>
      <c r="AC625" s="67"/>
      <c r="AD625" s="55"/>
    </row>
    <row r="626" spans="1:30" s="52" customFormat="1">
      <c r="A626" s="100"/>
      <c r="B626" s="60"/>
      <c r="C626" s="211"/>
      <c r="D626" s="39">
        <f t="shared" ref="D626" si="1107">$C625*D625</f>
        <v>320.11829999999998</v>
      </c>
      <c r="E626" s="39">
        <f t="shared" ref="E626" si="1108">$C625*E625</f>
        <v>0</v>
      </c>
      <c r="F626" s="39">
        <f t="shared" ref="F626:AB626" si="1109">$C625*F625</f>
        <v>0</v>
      </c>
      <c r="G626" s="39">
        <f t="shared" si="1109"/>
        <v>0</v>
      </c>
      <c r="H626" s="39">
        <f t="shared" si="1109"/>
        <v>0</v>
      </c>
      <c r="I626" s="39">
        <f t="shared" si="1109"/>
        <v>0</v>
      </c>
      <c r="J626" s="39">
        <f t="shared" si="1109"/>
        <v>0</v>
      </c>
      <c r="K626" s="39">
        <f t="shared" si="1109"/>
        <v>0</v>
      </c>
      <c r="L626" s="39">
        <f t="shared" si="1109"/>
        <v>0</v>
      </c>
      <c r="M626" s="39">
        <f t="shared" si="1109"/>
        <v>0</v>
      </c>
      <c r="N626" s="39">
        <f t="shared" si="1109"/>
        <v>0</v>
      </c>
      <c r="O626" s="39">
        <f t="shared" si="1109"/>
        <v>0</v>
      </c>
      <c r="P626" s="39">
        <f t="shared" si="1109"/>
        <v>0</v>
      </c>
      <c r="Q626" s="39">
        <f t="shared" si="1109"/>
        <v>0</v>
      </c>
      <c r="R626" s="39">
        <f t="shared" si="1109"/>
        <v>0</v>
      </c>
      <c r="S626" s="39">
        <f t="shared" si="1109"/>
        <v>8056.3105500000001</v>
      </c>
      <c r="T626" s="39">
        <f t="shared" si="1109"/>
        <v>0</v>
      </c>
      <c r="U626" s="39">
        <f t="shared" si="1109"/>
        <v>0</v>
      </c>
      <c r="V626" s="39">
        <f t="shared" si="1109"/>
        <v>0</v>
      </c>
      <c r="W626" s="39">
        <f t="shared" si="1109"/>
        <v>0</v>
      </c>
      <c r="X626" s="39">
        <f t="shared" si="1109"/>
        <v>77424.167725000007</v>
      </c>
      <c r="Y626" s="39">
        <f t="shared" si="1109"/>
        <v>3121.153425</v>
      </c>
      <c r="Z626" s="39">
        <f t="shared" si="1109"/>
        <v>0</v>
      </c>
      <c r="AA626" s="39">
        <f t="shared" si="1109"/>
        <v>0</v>
      </c>
      <c r="AB626" s="39">
        <f t="shared" si="1109"/>
        <v>0</v>
      </c>
      <c r="AC626" s="67"/>
      <c r="AD626" s="55"/>
    </row>
    <row r="627" spans="1:30" s="52" customFormat="1">
      <c r="A627" s="106" t="s">
        <v>547</v>
      </c>
      <c r="B627" s="181">
        <v>4164601</v>
      </c>
      <c r="C627" s="211">
        <f t="shared" si="1070"/>
        <v>347050.08</v>
      </c>
      <c r="D627" s="170">
        <v>8.0000000000000004E-4</v>
      </c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170">
        <v>7.7700000000000005E-2</v>
      </c>
      <c r="T627" s="38"/>
      <c r="U627" s="38"/>
      <c r="V627" s="38"/>
      <c r="W627" s="38"/>
      <c r="X627" s="170">
        <v>0.88580000000000003</v>
      </c>
      <c r="Y627" s="170">
        <v>3.5700000000000003E-2</v>
      </c>
      <c r="Z627" s="40"/>
      <c r="AA627" s="40"/>
      <c r="AB627" s="40"/>
      <c r="AC627" s="67"/>
      <c r="AD627" s="55"/>
    </row>
    <row r="628" spans="1:30" s="52" customFormat="1">
      <c r="A628" s="100"/>
      <c r="B628" s="60"/>
      <c r="C628" s="211"/>
      <c r="D628" s="39">
        <f t="shared" ref="D628" si="1110">$C627*D627</f>
        <v>277.64006400000005</v>
      </c>
      <c r="E628" s="39">
        <f t="shared" ref="E628" si="1111">$C627*E627</f>
        <v>0</v>
      </c>
      <c r="F628" s="39">
        <f t="shared" ref="F628:AB628" si="1112">$C627*F627</f>
        <v>0</v>
      </c>
      <c r="G628" s="39">
        <f t="shared" si="1112"/>
        <v>0</v>
      </c>
      <c r="H628" s="39">
        <f t="shared" si="1112"/>
        <v>0</v>
      </c>
      <c r="I628" s="39">
        <f t="shared" si="1112"/>
        <v>0</v>
      </c>
      <c r="J628" s="39">
        <f t="shared" si="1112"/>
        <v>0</v>
      </c>
      <c r="K628" s="39">
        <f t="shared" si="1112"/>
        <v>0</v>
      </c>
      <c r="L628" s="39">
        <f t="shared" si="1112"/>
        <v>0</v>
      </c>
      <c r="M628" s="39">
        <f t="shared" si="1112"/>
        <v>0</v>
      </c>
      <c r="N628" s="39">
        <f t="shared" si="1112"/>
        <v>0</v>
      </c>
      <c r="O628" s="39">
        <f t="shared" si="1112"/>
        <v>0</v>
      </c>
      <c r="P628" s="39">
        <f t="shared" si="1112"/>
        <v>0</v>
      </c>
      <c r="Q628" s="39">
        <f t="shared" si="1112"/>
        <v>0</v>
      </c>
      <c r="R628" s="39">
        <f t="shared" si="1112"/>
        <v>0</v>
      </c>
      <c r="S628" s="39">
        <f t="shared" si="1112"/>
        <v>26965.791216000001</v>
      </c>
      <c r="T628" s="39">
        <f t="shared" si="1112"/>
        <v>0</v>
      </c>
      <c r="U628" s="39">
        <f t="shared" si="1112"/>
        <v>0</v>
      </c>
      <c r="V628" s="39">
        <f t="shared" si="1112"/>
        <v>0</v>
      </c>
      <c r="W628" s="39">
        <f t="shared" si="1112"/>
        <v>0</v>
      </c>
      <c r="X628" s="39">
        <f t="shared" si="1112"/>
        <v>307416.96086400002</v>
      </c>
      <c r="Y628" s="39">
        <f t="shared" si="1112"/>
        <v>12389.687856000002</v>
      </c>
      <c r="Z628" s="39">
        <f t="shared" si="1112"/>
        <v>0</v>
      </c>
      <c r="AA628" s="39">
        <f t="shared" si="1112"/>
        <v>0</v>
      </c>
      <c r="AB628" s="39">
        <f t="shared" si="1112"/>
        <v>0</v>
      </c>
      <c r="AC628" s="67"/>
      <c r="AD628" s="55"/>
    </row>
    <row r="629" spans="1:30" s="52" customFormat="1">
      <c r="A629" s="106" t="s">
        <v>548</v>
      </c>
      <c r="B629" s="181">
        <v>4411168</v>
      </c>
      <c r="C629" s="211">
        <f t="shared" si="1070"/>
        <v>367597.33</v>
      </c>
      <c r="D629" s="170">
        <v>1E-4</v>
      </c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170">
        <v>6.4500000000000002E-2</v>
      </c>
      <c r="T629" s="38"/>
      <c r="U629" s="38"/>
      <c r="V629" s="38"/>
      <c r="W629" s="38"/>
      <c r="X629" s="170">
        <v>0.89910000000000001</v>
      </c>
      <c r="Y629" s="170">
        <v>3.6299999999999999E-2</v>
      </c>
      <c r="Z629" s="40"/>
      <c r="AA629" s="40"/>
      <c r="AB629" s="40"/>
      <c r="AC629" s="67"/>
      <c r="AD629" s="55"/>
    </row>
    <row r="630" spans="1:30" s="52" customFormat="1">
      <c r="A630" s="100"/>
      <c r="B630" s="60"/>
      <c r="C630" s="211"/>
      <c r="D630" s="39">
        <f t="shared" ref="D630" si="1113">$C629*D629</f>
        <v>36.759733000000004</v>
      </c>
      <c r="E630" s="39">
        <f t="shared" ref="E630" si="1114">$C629*E629</f>
        <v>0</v>
      </c>
      <c r="F630" s="39">
        <f t="shared" ref="F630:AB630" si="1115">$C629*F629</f>
        <v>0</v>
      </c>
      <c r="G630" s="39">
        <f t="shared" si="1115"/>
        <v>0</v>
      </c>
      <c r="H630" s="39">
        <f t="shared" si="1115"/>
        <v>0</v>
      </c>
      <c r="I630" s="39">
        <f t="shared" si="1115"/>
        <v>0</v>
      </c>
      <c r="J630" s="39">
        <f t="shared" si="1115"/>
        <v>0</v>
      </c>
      <c r="K630" s="39">
        <f t="shared" si="1115"/>
        <v>0</v>
      </c>
      <c r="L630" s="39">
        <f t="shared" si="1115"/>
        <v>0</v>
      </c>
      <c r="M630" s="39">
        <f t="shared" si="1115"/>
        <v>0</v>
      </c>
      <c r="N630" s="39">
        <f t="shared" si="1115"/>
        <v>0</v>
      </c>
      <c r="O630" s="39">
        <f t="shared" si="1115"/>
        <v>0</v>
      </c>
      <c r="P630" s="39">
        <f t="shared" si="1115"/>
        <v>0</v>
      </c>
      <c r="Q630" s="39">
        <f t="shared" si="1115"/>
        <v>0</v>
      </c>
      <c r="R630" s="39">
        <f t="shared" si="1115"/>
        <v>0</v>
      </c>
      <c r="S630" s="39">
        <f t="shared" si="1115"/>
        <v>23710.027785000002</v>
      </c>
      <c r="T630" s="39">
        <f t="shared" si="1115"/>
        <v>0</v>
      </c>
      <c r="U630" s="39">
        <f t="shared" si="1115"/>
        <v>0</v>
      </c>
      <c r="V630" s="39">
        <f t="shared" si="1115"/>
        <v>0</v>
      </c>
      <c r="W630" s="39">
        <f t="shared" si="1115"/>
        <v>0</v>
      </c>
      <c r="X630" s="39">
        <f t="shared" si="1115"/>
        <v>330506.759403</v>
      </c>
      <c r="Y630" s="39">
        <f t="shared" si="1115"/>
        <v>13343.783079000001</v>
      </c>
      <c r="Z630" s="39">
        <f t="shared" si="1115"/>
        <v>0</v>
      </c>
      <c r="AA630" s="39">
        <f t="shared" si="1115"/>
        <v>0</v>
      </c>
      <c r="AB630" s="39">
        <f t="shared" si="1115"/>
        <v>0</v>
      </c>
      <c r="AC630" s="67"/>
      <c r="AD630" s="55"/>
    </row>
    <row r="631" spans="1:30" s="52" customFormat="1">
      <c r="A631" s="106" t="s">
        <v>549</v>
      </c>
      <c r="B631" s="181">
        <v>4209725</v>
      </c>
      <c r="C631" s="211">
        <f t="shared" si="1070"/>
        <v>350810.42</v>
      </c>
      <c r="D631" s="170">
        <v>2.3900000000000001E-2</v>
      </c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170">
        <v>0.14080000000000001</v>
      </c>
      <c r="T631" s="38"/>
      <c r="U631" s="38"/>
      <c r="V631" s="38"/>
      <c r="W631" s="38"/>
      <c r="X631" s="170">
        <v>0.80289999999999995</v>
      </c>
      <c r="Y631" s="170">
        <v>3.2399999999999998E-2</v>
      </c>
      <c r="Z631" s="40"/>
      <c r="AA631" s="40"/>
      <c r="AB631" s="40"/>
      <c r="AC631" s="67"/>
      <c r="AD631" s="55"/>
    </row>
    <row r="632" spans="1:30" s="52" customFormat="1">
      <c r="A632" s="100"/>
      <c r="B632" s="60"/>
      <c r="C632" s="211"/>
      <c r="D632" s="39">
        <f t="shared" ref="D632" si="1116">$C631*D631</f>
        <v>8384.3690380000007</v>
      </c>
      <c r="E632" s="39">
        <f t="shared" ref="E632" si="1117">$C631*E631</f>
        <v>0</v>
      </c>
      <c r="F632" s="39">
        <f t="shared" ref="F632:AB632" si="1118">$C631*F631</f>
        <v>0</v>
      </c>
      <c r="G632" s="39">
        <f t="shared" si="1118"/>
        <v>0</v>
      </c>
      <c r="H632" s="39">
        <f t="shared" si="1118"/>
        <v>0</v>
      </c>
      <c r="I632" s="39">
        <f t="shared" si="1118"/>
        <v>0</v>
      </c>
      <c r="J632" s="39">
        <f t="shared" si="1118"/>
        <v>0</v>
      </c>
      <c r="K632" s="39">
        <f t="shared" si="1118"/>
        <v>0</v>
      </c>
      <c r="L632" s="39">
        <f t="shared" si="1118"/>
        <v>0</v>
      </c>
      <c r="M632" s="39">
        <f t="shared" si="1118"/>
        <v>0</v>
      </c>
      <c r="N632" s="39">
        <f t="shared" si="1118"/>
        <v>0</v>
      </c>
      <c r="O632" s="39">
        <f t="shared" si="1118"/>
        <v>0</v>
      </c>
      <c r="P632" s="39">
        <f t="shared" si="1118"/>
        <v>0</v>
      </c>
      <c r="Q632" s="39">
        <f t="shared" si="1118"/>
        <v>0</v>
      </c>
      <c r="R632" s="39">
        <f t="shared" si="1118"/>
        <v>0</v>
      </c>
      <c r="S632" s="39">
        <f t="shared" si="1118"/>
        <v>49394.107135999999</v>
      </c>
      <c r="T632" s="39">
        <f t="shared" si="1118"/>
        <v>0</v>
      </c>
      <c r="U632" s="39">
        <f t="shared" si="1118"/>
        <v>0</v>
      </c>
      <c r="V632" s="39">
        <f t="shared" si="1118"/>
        <v>0</v>
      </c>
      <c r="W632" s="39">
        <f t="shared" si="1118"/>
        <v>0</v>
      </c>
      <c r="X632" s="39">
        <f t="shared" si="1118"/>
        <v>281665.68621799996</v>
      </c>
      <c r="Y632" s="39">
        <f t="shared" si="1118"/>
        <v>11366.257607999998</v>
      </c>
      <c r="Z632" s="39">
        <f t="shared" si="1118"/>
        <v>0</v>
      </c>
      <c r="AA632" s="39">
        <f t="shared" si="1118"/>
        <v>0</v>
      </c>
      <c r="AB632" s="39">
        <f t="shared" si="1118"/>
        <v>0</v>
      </c>
      <c r="AC632" s="67"/>
      <c r="AD632" s="55"/>
    </row>
    <row r="633" spans="1:30" s="52" customFormat="1">
      <c r="A633" s="106" t="s">
        <v>550</v>
      </c>
      <c r="B633" s="181">
        <v>1461838</v>
      </c>
      <c r="C633" s="211">
        <f t="shared" si="1070"/>
        <v>121819.83</v>
      </c>
      <c r="D633" s="170">
        <v>7.9000000000000008E-3</v>
      </c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170">
        <v>0.1084</v>
      </c>
      <c r="T633" s="38"/>
      <c r="U633" s="38"/>
      <c r="V633" s="38"/>
      <c r="W633" s="38"/>
      <c r="X633" s="170">
        <v>0.84940000000000004</v>
      </c>
      <c r="Y633" s="170">
        <v>3.4299999999999997E-2</v>
      </c>
      <c r="Z633" s="40"/>
      <c r="AA633" s="40"/>
      <c r="AB633" s="40"/>
      <c r="AC633" s="67"/>
      <c r="AD633" s="55"/>
    </row>
    <row r="634" spans="1:30" s="52" customFormat="1">
      <c r="A634" s="100"/>
      <c r="B634" s="60"/>
      <c r="C634" s="211"/>
      <c r="D634" s="39">
        <f t="shared" ref="D634" si="1119">$C633*D633</f>
        <v>962.37665700000014</v>
      </c>
      <c r="E634" s="39">
        <f t="shared" ref="E634" si="1120">$C633*E633</f>
        <v>0</v>
      </c>
      <c r="F634" s="39">
        <f t="shared" ref="F634:AB634" si="1121">$C633*F633</f>
        <v>0</v>
      </c>
      <c r="G634" s="39">
        <f t="shared" si="1121"/>
        <v>0</v>
      </c>
      <c r="H634" s="39">
        <f t="shared" si="1121"/>
        <v>0</v>
      </c>
      <c r="I634" s="39">
        <f t="shared" si="1121"/>
        <v>0</v>
      </c>
      <c r="J634" s="39">
        <f t="shared" si="1121"/>
        <v>0</v>
      </c>
      <c r="K634" s="39">
        <f t="shared" si="1121"/>
        <v>0</v>
      </c>
      <c r="L634" s="39">
        <f t="shared" si="1121"/>
        <v>0</v>
      </c>
      <c r="M634" s="39">
        <f t="shared" si="1121"/>
        <v>0</v>
      </c>
      <c r="N634" s="39">
        <f t="shared" si="1121"/>
        <v>0</v>
      </c>
      <c r="O634" s="39">
        <f t="shared" si="1121"/>
        <v>0</v>
      </c>
      <c r="P634" s="39">
        <f t="shared" si="1121"/>
        <v>0</v>
      </c>
      <c r="Q634" s="39">
        <f t="shared" si="1121"/>
        <v>0</v>
      </c>
      <c r="R634" s="39">
        <f t="shared" si="1121"/>
        <v>0</v>
      </c>
      <c r="S634" s="39">
        <f t="shared" si="1121"/>
        <v>13205.269571999999</v>
      </c>
      <c r="T634" s="39">
        <f t="shared" si="1121"/>
        <v>0</v>
      </c>
      <c r="U634" s="39">
        <f t="shared" si="1121"/>
        <v>0</v>
      </c>
      <c r="V634" s="39">
        <f t="shared" si="1121"/>
        <v>0</v>
      </c>
      <c r="W634" s="39">
        <f t="shared" si="1121"/>
        <v>0</v>
      </c>
      <c r="X634" s="39">
        <f t="shared" si="1121"/>
        <v>103473.76360200001</v>
      </c>
      <c r="Y634" s="39">
        <f t="shared" si="1121"/>
        <v>4178.420169</v>
      </c>
      <c r="Z634" s="39">
        <f t="shared" si="1121"/>
        <v>0</v>
      </c>
      <c r="AA634" s="39">
        <f t="shared" si="1121"/>
        <v>0</v>
      </c>
      <c r="AB634" s="39">
        <f t="shared" si="1121"/>
        <v>0</v>
      </c>
      <c r="AC634" s="67"/>
      <c r="AD634" s="55"/>
    </row>
    <row r="635" spans="1:30" s="52" customFormat="1">
      <c r="A635" s="106" t="s">
        <v>551</v>
      </c>
      <c r="B635" s="181">
        <v>1067061</v>
      </c>
      <c r="C635" s="211">
        <f t="shared" si="1070"/>
        <v>88921.75</v>
      </c>
      <c r="D635" s="170">
        <v>7.9000000000000008E-3</v>
      </c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170">
        <v>0.1084</v>
      </c>
      <c r="T635" s="38"/>
      <c r="U635" s="38"/>
      <c r="V635" s="38"/>
      <c r="W635" s="38"/>
      <c r="X635" s="170">
        <v>0.84940000000000004</v>
      </c>
      <c r="Y635" s="170">
        <v>3.4299999999999997E-2</v>
      </c>
      <c r="Z635" s="40"/>
      <c r="AA635" s="40"/>
      <c r="AB635" s="40"/>
      <c r="AC635" s="67"/>
      <c r="AD635" s="55"/>
    </row>
    <row r="636" spans="1:30" s="52" customFormat="1">
      <c r="A636" s="100"/>
      <c r="B636" s="60"/>
      <c r="C636" s="211"/>
      <c r="D636" s="39">
        <f t="shared" ref="D636" si="1122">$C635*D635</f>
        <v>702.48182500000007</v>
      </c>
      <c r="E636" s="39">
        <f t="shared" ref="E636" si="1123">$C635*E635</f>
        <v>0</v>
      </c>
      <c r="F636" s="39">
        <f t="shared" ref="F636:AB636" si="1124">$C635*F635</f>
        <v>0</v>
      </c>
      <c r="G636" s="39">
        <f t="shared" si="1124"/>
        <v>0</v>
      </c>
      <c r="H636" s="39">
        <f t="shared" si="1124"/>
        <v>0</v>
      </c>
      <c r="I636" s="39">
        <f t="shared" si="1124"/>
        <v>0</v>
      </c>
      <c r="J636" s="39">
        <f t="shared" si="1124"/>
        <v>0</v>
      </c>
      <c r="K636" s="39">
        <f t="shared" si="1124"/>
        <v>0</v>
      </c>
      <c r="L636" s="39">
        <f t="shared" si="1124"/>
        <v>0</v>
      </c>
      <c r="M636" s="39">
        <f t="shared" si="1124"/>
        <v>0</v>
      </c>
      <c r="N636" s="39">
        <f t="shared" si="1124"/>
        <v>0</v>
      </c>
      <c r="O636" s="39">
        <f t="shared" si="1124"/>
        <v>0</v>
      </c>
      <c r="P636" s="39">
        <f t="shared" si="1124"/>
        <v>0</v>
      </c>
      <c r="Q636" s="39">
        <f t="shared" si="1124"/>
        <v>0</v>
      </c>
      <c r="R636" s="39">
        <f t="shared" si="1124"/>
        <v>0</v>
      </c>
      <c r="S636" s="39">
        <f t="shared" si="1124"/>
        <v>9639.1176999999989</v>
      </c>
      <c r="T636" s="39">
        <f t="shared" si="1124"/>
        <v>0</v>
      </c>
      <c r="U636" s="39">
        <f t="shared" si="1124"/>
        <v>0</v>
      </c>
      <c r="V636" s="39">
        <f t="shared" si="1124"/>
        <v>0</v>
      </c>
      <c r="W636" s="39">
        <f t="shared" si="1124"/>
        <v>0</v>
      </c>
      <c r="X636" s="39">
        <f t="shared" si="1124"/>
        <v>75530.134449999998</v>
      </c>
      <c r="Y636" s="39">
        <f t="shared" si="1124"/>
        <v>3050.0160249999999</v>
      </c>
      <c r="Z636" s="39">
        <f t="shared" si="1124"/>
        <v>0</v>
      </c>
      <c r="AA636" s="39">
        <f t="shared" si="1124"/>
        <v>0</v>
      </c>
      <c r="AB636" s="39">
        <f t="shared" si="1124"/>
        <v>0</v>
      </c>
      <c r="AC636" s="67"/>
      <c r="AD636" s="55"/>
    </row>
    <row r="637" spans="1:30" s="52" customFormat="1">
      <c r="A637" s="106" t="s">
        <v>552</v>
      </c>
      <c r="B637" s="181">
        <v>371932</v>
      </c>
      <c r="C637" s="211">
        <f t="shared" si="1070"/>
        <v>30994.33</v>
      </c>
      <c r="D637" s="170">
        <v>1.9E-3</v>
      </c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170">
        <v>8.7499999999999994E-2</v>
      </c>
      <c r="T637" s="38"/>
      <c r="U637" s="38"/>
      <c r="V637" s="38"/>
      <c r="W637" s="38"/>
      <c r="X637" s="170">
        <v>0.87529999999999997</v>
      </c>
      <c r="Y637" s="170">
        <v>3.5299999999999998E-2</v>
      </c>
      <c r="Z637" s="40"/>
      <c r="AA637" s="40"/>
      <c r="AB637" s="40"/>
      <c r="AC637" s="67"/>
      <c r="AD637" s="55"/>
    </row>
    <row r="638" spans="1:30" s="52" customFormat="1">
      <c r="A638" s="100"/>
      <c r="B638" s="60"/>
      <c r="C638" s="211"/>
      <c r="D638" s="39">
        <f t="shared" ref="D638" si="1125">$C637*D637</f>
        <v>58.889227000000005</v>
      </c>
      <c r="E638" s="39">
        <f t="shared" ref="E638" si="1126">$C637*E637</f>
        <v>0</v>
      </c>
      <c r="F638" s="39">
        <f t="shared" ref="F638:AB638" si="1127">$C637*F637</f>
        <v>0</v>
      </c>
      <c r="G638" s="39">
        <f t="shared" si="1127"/>
        <v>0</v>
      </c>
      <c r="H638" s="39">
        <f t="shared" si="1127"/>
        <v>0</v>
      </c>
      <c r="I638" s="39">
        <f t="shared" si="1127"/>
        <v>0</v>
      </c>
      <c r="J638" s="39">
        <f t="shared" si="1127"/>
        <v>0</v>
      </c>
      <c r="K638" s="39">
        <f t="shared" si="1127"/>
        <v>0</v>
      </c>
      <c r="L638" s="39">
        <f t="shared" si="1127"/>
        <v>0</v>
      </c>
      <c r="M638" s="39">
        <f t="shared" si="1127"/>
        <v>0</v>
      </c>
      <c r="N638" s="39">
        <f t="shared" si="1127"/>
        <v>0</v>
      </c>
      <c r="O638" s="39">
        <f t="shared" si="1127"/>
        <v>0</v>
      </c>
      <c r="P638" s="39">
        <f t="shared" si="1127"/>
        <v>0</v>
      </c>
      <c r="Q638" s="39">
        <f t="shared" si="1127"/>
        <v>0</v>
      </c>
      <c r="R638" s="39">
        <f t="shared" si="1127"/>
        <v>0</v>
      </c>
      <c r="S638" s="39">
        <f t="shared" si="1127"/>
        <v>2712.0038749999999</v>
      </c>
      <c r="T638" s="39">
        <f t="shared" si="1127"/>
        <v>0</v>
      </c>
      <c r="U638" s="39">
        <f t="shared" si="1127"/>
        <v>0</v>
      </c>
      <c r="V638" s="39">
        <f t="shared" si="1127"/>
        <v>0</v>
      </c>
      <c r="W638" s="39">
        <f t="shared" si="1127"/>
        <v>0</v>
      </c>
      <c r="X638" s="39">
        <f t="shared" si="1127"/>
        <v>27129.337049000002</v>
      </c>
      <c r="Y638" s="39">
        <f t="shared" si="1127"/>
        <v>1094.0998489999999</v>
      </c>
      <c r="Z638" s="39">
        <f t="shared" si="1127"/>
        <v>0</v>
      </c>
      <c r="AA638" s="39">
        <f t="shared" si="1127"/>
        <v>0</v>
      </c>
      <c r="AB638" s="39">
        <f t="shared" si="1127"/>
        <v>0</v>
      </c>
      <c r="AC638" s="67"/>
      <c r="AD638" s="55"/>
    </row>
    <row r="639" spans="1:30" s="52" customFormat="1">
      <c r="A639" s="106" t="s">
        <v>553</v>
      </c>
      <c r="B639" s="181">
        <v>3801128</v>
      </c>
      <c r="C639" s="211">
        <f t="shared" si="1070"/>
        <v>316760.67</v>
      </c>
      <c r="D639" s="170">
        <v>8.9999999999999998E-4</v>
      </c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170">
        <v>7.8200000000000006E-2</v>
      </c>
      <c r="T639" s="38"/>
      <c r="U639" s="38"/>
      <c r="V639" s="38"/>
      <c r="W639" s="38"/>
      <c r="X639" s="170">
        <v>0.88519999999999999</v>
      </c>
      <c r="Y639" s="170">
        <v>3.5700000000000003E-2</v>
      </c>
      <c r="Z639" s="40"/>
      <c r="AA639" s="40"/>
      <c r="AB639" s="40"/>
      <c r="AC639" s="67"/>
      <c r="AD639" s="55"/>
    </row>
    <row r="640" spans="1:30" s="52" customFormat="1">
      <c r="A640" s="100"/>
      <c r="B640" s="60"/>
      <c r="C640" s="211"/>
      <c r="D640" s="39">
        <f t="shared" ref="D640" si="1128">$C639*D639</f>
        <v>285.08460299999996</v>
      </c>
      <c r="E640" s="39">
        <f t="shared" ref="E640" si="1129">$C639*E639</f>
        <v>0</v>
      </c>
      <c r="F640" s="39">
        <f t="shared" ref="F640:AB640" si="1130">$C639*F639</f>
        <v>0</v>
      </c>
      <c r="G640" s="39">
        <f t="shared" si="1130"/>
        <v>0</v>
      </c>
      <c r="H640" s="39">
        <f t="shared" si="1130"/>
        <v>0</v>
      </c>
      <c r="I640" s="39">
        <f t="shared" si="1130"/>
        <v>0</v>
      </c>
      <c r="J640" s="39">
        <f t="shared" si="1130"/>
        <v>0</v>
      </c>
      <c r="K640" s="39">
        <f t="shared" si="1130"/>
        <v>0</v>
      </c>
      <c r="L640" s="39">
        <f t="shared" si="1130"/>
        <v>0</v>
      </c>
      <c r="M640" s="39">
        <f t="shared" si="1130"/>
        <v>0</v>
      </c>
      <c r="N640" s="39">
        <f t="shared" si="1130"/>
        <v>0</v>
      </c>
      <c r="O640" s="39">
        <f t="shared" si="1130"/>
        <v>0</v>
      </c>
      <c r="P640" s="39">
        <f t="shared" si="1130"/>
        <v>0</v>
      </c>
      <c r="Q640" s="39">
        <f t="shared" si="1130"/>
        <v>0</v>
      </c>
      <c r="R640" s="39">
        <f t="shared" si="1130"/>
        <v>0</v>
      </c>
      <c r="S640" s="39">
        <f t="shared" si="1130"/>
        <v>24770.684394</v>
      </c>
      <c r="T640" s="39">
        <f t="shared" si="1130"/>
        <v>0</v>
      </c>
      <c r="U640" s="39">
        <f t="shared" si="1130"/>
        <v>0</v>
      </c>
      <c r="V640" s="39">
        <f t="shared" si="1130"/>
        <v>0</v>
      </c>
      <c r="W640" s="39">
        <f t="shared" si="1130"/>
        <v>0</v>
      </c>
      <c r="X640" s="39">
        <f t="shared" si="1130"/>
        <v>280396.54508399998</v>
      </c>
      <c r="Y640" s="39">
        <f t="shared" si="1130"/>
        <v>11308.355919</v>
      </c>
      <c r="Z640" s="39">
        <f t="shared" si="1130"/>
        <v>0</v>
      </c>
      <c r="AA640" s="39">
        <f t="shared" si="1130"/>
        <v>0</v>
      </c>
      <c r="AB640" s="39">
        <f t="shared" si="1130"/>
        <v>0</v>
      </c>
      <c r="AC640" s="67"/>
      <c r="AD640" s="55"/>
    </row>
    <row r="641" spans="1:30" s="52" customFormat="1">
      <c r="A641" s="106" t="s">
        <v>554</v>
      </c>
      <c r="B641" s="181">
        <v>4309027</v>
      </c>
      <c r="C641" s="211">
        <f t="shared" si="1070"/>
        <v>359085.58</v>
      </c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170">
        <v>6.08E-2</v>
      </c>
      <c r="T641" s="38"/>
      <c r="U641" s="38"/>
      <c r="V641" s="38"/>
      <c r="W641" s="38"/>
      <c r="X641" s="170">
        <v>0.90280000000000005</v>
      </c>
      <c r="Y641" s="170">
        <v>3.6400000000000002E-2</v>
      </c>
      <c r="Z641" s="40"/>
      <c r="AA641" s="40"/>
      <c r="AB641" s="40"/>
      <c r="AC641" s="67"/>
      <c r="AD641" s="55"/>
    </row>
    <row r="642" spans="1:30" s="52" customFormat="1">
      <c r="A642" s="100"/>
      <c r="B642" s="60"/>
      <c r="C642" s="211"/>
      <c r="D642" s="39">
        <f t="shared" ref="D642" si="1131">$C641*D641</f>
        <v>0</v>
      </c>
      <c r="E642" s="39">
        <f t="shared" ref="E642" si="1132">$C641*E641</f>
        <v>0</v>
      </c>
      <c r="F642" s="39">
        <f t="shared" ref="F642:AB642" si="1133">$C641*F641</f>
        <v>0</v>
      </c>
      <c r="G642" s="39">
        <f t="shared" si="1133"/>
        <v>0</v>
      </c>
      <c r="H642" s="39">
        <f t="shared" si="1133"/>
        <v>0</v>
      </c>
      <c r="I642" s="39">
        <f t="shared" si="1133"/>
        <v>0</v>
      </c>
      <c r="J642" s="39">
        <f t="shared" si="1133"/>
        <v>0</v>
      </c>
      <c r="K642" s="39">
        <f t="shared" si="1133"/>
        <v>0</v>
      </c>
      <c r="L642" s="39">
        <f t="shared" si="1133"/>
        <v>0</v>
      </c>
      <c r="M642" s="39">
        <f t="shared" si="1133"/>
        <v>0</v>
      </c>
      <c r="N642" s="39">
        <f t="shared" si="1133"/>
        <v>0</v>
      </c>
      <c r="O642" s="39">
        <f t="shared" si="1133"/>
        <v>0</v>
      </c>
      <c r="P642" s="39">
        <f t="shared" si="1133"/>
        <v>0</v>
      </c>
      <c r="Q642" s="39">
        <f t="shared" si="1133"/>
        <v>0</v>
      </c>
      <c r="R642" s="39">
        <f t="shared" si="1133"/>
        <v>0</v>
      </c>
      <c r="S642" s="39">
        <f t="shared" si="1133"/>
        <v>21832.403264</v>
      </c>
      <c r="T642" s="39">
        <f t="shared" si="1133"/>
        <v>0</v>
      </c>
      <c r="U642" s="39">
        <f t="shared" si="1133"/>
        <v>0</v>
      </c>
      <c r="V642" s="39">
        <f t="shared" si="1133"/>
        <v>0</v>
      </c>
      <c r="W642" s="39">
        <f t="shared" si="1133"/>
        <v>0</v>
      </c>
      <c r="X642" s="39">
        <f t="shared" si="1133"/>
        <v>324182.46162400005</v>
      </c>
      <c r="Y642" s="39">
        <f t="shared" si="1133"/>
        <v>13070.715112000002</v>
      </c>
      <c r="Z642" s="39">
        <f t="shared" si="1133"/>
        <v>0</v>
      </c>
      <c r="AA642" s="39">
        <f t="shared" si="1133"/>
        <v>0</v>
      </c>
      <c r="AB642" s="39">
        <f t="shared" si="1133"/>
        <v>0</v>
      </c>
      <c r="AC642" s="67"/>
      <c r="AD642" s="55"/>
    </row>
    <row r="643" spans="1:30" s="52" customFormat="1">
      <c r="A643" s="106" t="s">
        <v>555</v>
      </c>
      <c r="B643" s="181">
        <v>1745185</v>
      </c>
      <c r="C643" s="211">
        <f t="shared" si="1070"/>
        <v>145432.07999999999</v>
      </c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>
        <v>0.9677</v>
      </c>
      <c r="Y643" s="38"/>
      <c r="Z643" s="40">
        <v>3.2300000000000002E-2</v>
      </c>
      <c r="AA643" s="40"/>
      <c r="AB643" s="40"/>
      <c r="AC643" s="67"/>
      <c r="AD643" s="55"/>
    </row>
    <row r="644" spans="1:30" s="52" customFormat="1">
      <c r="A644" s="100"/>
      <c r="B644" s="60"/>
      <c r="C644" s="211"/>
      <c r="D644" s="39">
        <f t="shared" ref="D644" si="1134">$C643*D643</f>
        <v>0</v>
      </c>
      <c r="E644" s="39">
        <f t="shared" ref="E644" si="1135">$C643*E643</f>
        <v>0</v>
      </c>
      <c r="F644" s="39">
        <f t="shared" ref="F644:AB644" si="1136">$C643*F643</f>
        <v>0</v>
      </c>
      <c r="G644" s="39">
        <f t="shared" si="1136"/>
        <v>0</v>
      </c>
      <c r="H644" s="39">
        <f t="shared" si="1136"/>
        <v>0</v>
      </c>
      <c r="I644" s="39">
        <f t="shared" si="1136"/>
        <v>0</v>
      </c>
      <c r="J644" s="39">
        <f t="shared" si="1136"/>
        <v>0</v>
      </c>
      <c r="K644" s="39">
        <f t="shared" si="1136"/>
        <v>0</v>
      </c>
      <c r="L644" s="39">
        <f t="shared" si="1136"/>
        <v>0</v>
      </c>
      <c r="M644" s="39">
        <f t="shared" si="1136"/>
        <v>0</v>
      </c>
      <c r="N644" s="39">
        <f t="shared" si="1136"/>
        <v>0</v>
      </c>
      <c r="O644" s="39">
        <f t="shared" si="1136"/>
        <v>0</v>
      </c>
      <c r="P644" s="39">
        <f t="shared" si="1136"/>
        <v>0</v>
      </c>
      <c r="Q644" s="39">
        <f t="shared" si="1136"/>
        <v>0</v>
      </c>
      <c r="R644" s="39">
        <f t="shared" si="1136"/>
        <v>0</v>
      </c>
      <c r="S644" s="39">
        <f t="shared" si="1136"/>
        <v>0</v>
      </c>
      <c r="T644" s="39">
        <f t="shared" si="1136"/>
        <v>0</v>
      </c>
      <c r="U644" s="39">
        <f t="shared" si="1136"/>
        <v>0</v>
      </c>
      <c r="V644" s="39">
        <f t="shared" si="1136"/>
        <v>0</v>
      </c>
      <c r="W644" s="39">
        <f t="shared" si="1136"/>
        <v>0</v>
      </c>
      <c r="X644" s="39">
        <f t="shared" si="1136"/>
        <v>140734.62381599998</v>
      </c>
      <c r="Y644" s="39">
        <f t="shared" si="1136"/>
        <v>0</v>
      </c>
      <c r="Z644" s="39">
        <f t="shared" si="1136"/>
        <v>4697.4561839999997</v>
      </c>
      <c r="AA644" s="39">
        <f t="shared" si="1136"/>
        <v>0</v>
      </c>
      <c r="AB644" s="39">
        <f t="shared" si="1136"/>
        <v>0</v>
      </c>
      <c r="AC644" s="67"/>
      <c r="AD644" s="55"/>
    </row>
    <row r="645" spans="1:30" s="52" customFormat="1">
      <c r="A645" s="106" t="s">
        <v>569</v>
      </c>
      <c r="B645" s="181">
        <v>16183176</v>
      </c>
      <c r="C645" s="211">
        <f t="shared" si="1070"/>
        <v>1348598</v>
      </c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170">
        <v>0.96120000000000005</v>
      </c>
      <c r="Y645" s="170">
        <v>3.8800000000000001E-2</v>
      </c>
      <c r="Z645" s="40"/>
      <c r="AA645" s="40"/>
      <c r="AB645" s="40"/>
      <c r="AC645" s="67"/>
      <c r="AD645" s="55"/>
    </row>
    <row r="646" spans="1:30" s="52" customFormat="1">
      <c r="A646" s="100"/>
      <c r="B646" s="60"/>
      <c r="C646" s="211"/>
      <c r="D646" s="39">
        <f t="shared" ref="D646" si="1137">$C645*D645</f>
        <v>0</v>
      </c>
      <c r="E646" s="39">
        <f t="shared" ref="E646" si="1138">$C645*E645</f>
        <v>0</v>
      </c>
      <c r="F646" s="39">
        <f t="shared" ref="F646:AB646" si="1139">$C645*F645</f>
        <v>0</v>
      </c>
      <c r="G646" s="39">
        <f t="shared" si="1139"/>
        <v>0</v>
      </c>
      <c r="H646" s="39">
        <f t="shared" si="1139"/>
        <v>0</v>
      </c>
      <c r="I646" s="39">
        <f t="shared" si="1139"/>
        <v>0</v>
      </c>
      <c r="J646" s="39">
        <f t="shared" si="1139"/>
        <v>0</v>
      </c>
      <c r="K646" s="39">
        <f t="shared" si="1139"/>
        <v>0</v>
      </c>
      <c r="L646" s="39">
        <f t="shared" si="1139"/>
        <v>0</v>
      </c>
      <c r="M646" s="39">
        <f t="shared" si="1139"/>
        <v>0</v>
      </c>
      <c r="N646" s="39">
        <f t="shared" si="1139"/>
        <v>0</v>
      </c>
      <c r="O646" s="39">
        <f t="shared" si="1139"/>
        <v>0</v>
      </c>
      <c r="P646" s="39">
        <f t="shared" si="1139"/>
        <v>0</v>
      </c>
      <c r="Q646" s="39">
        <f t="shared" si="1139"/>
        <v>0</v>
      </c>
      <c r="R646" s="39">
        <f t="shared" si="1139"/>
        <v>0</v>
      </c>
      <c r="S646" s="39">
        <f t="shared" si="1139"/>
        <v>0</v>
      </c>
      <c r="T646" s="39">
        <f t="shared" si="1139"/>
        <v>0</v>
      </c>
      <c r="U646" s="39">
        <f t="shared" si="1139"/>
        <v>0</v>
      </c>
      <c r="V646" s="39">
        <f t="shared" si="1139"/>
        <v>0</v>
      </c>
      <c r="W646" s="39">
        <f t="shared" si="1139"/>
        <v>0</v>
      </c>
      <c r="X646" s="39">
        <f t="shared" si="1139"/>
        <v>1296272.3976</v>
      </c>
      <c r="Y646" s="39">
        <f t="shared" si="1139"/>
        <v>52325.602400000003</v>
      </c>
      <c r="Z646" s="39">
        <f t="shared" si="1139"/>
        <v>0</v>
      </c>
      <c r="AA646" s="39">
        <f t="shared" si="1139"/>
        <v>0</v>
      </c>
      <c r="AB646" s="39">
        <f t="shared" si="1139"/>
        <v>0</v>
      </c>
      <c r="AC646" s="67"/>
      <c r="AD646" s="55"/>
    </row>
    <row r="647" spans="1:30" s="52" customFormat="1">
      <c r="A647" s="106" t="s">
        <v>570</v>
      </c>
      <c r="B647" s="181">
        <v>12963376</v>
      </c>
      <c r="C647" s="211">
        <f t="shared" si="1070"/>
        <v>1080281.33</v>
      </c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170">
        <v>0.96120000000000005</v>
      </c>
      <c r="Y647" s="170">
        <v>3.8800000000000001E-2</v>
      </c>
      <c r="Z647" s="40"/>
      <c r="AA647" s="40"/>
      <c r="AB647" s="40"/>
      <c r="AC647" s="67"/>
      <c r="AD647" s="55"/>
    </row>
    <row r="648" spans="1:30" s="52" customFormat="1">
      <c r="A648" s="100"/>
      <c r="B648" s="60"/>
      <c r="C648" s="211"/>
      <c r="D648" s="39">
        <f t="shared" ref="D648" si="1140">$C647*D647</f>
        <v>0</v>
      </c>
      <c r="E648" s="39">
        <f t="shared" ref="E648" si="1141">$C647*E647</f>
        <v>0</v>
      </c>
      <c r="F648" s="39">
        <f t="shared" ref="F648:AB648" si="1142">$C647*F647</f>
        <v>0</v>
      </c>
      <c r="G648" s="39">
        <f t="shared" si="1142"/>
        <v>0</v>
      </c>
      <c r="H648" s="39">
        <f t="shared" si="1142"/>
        <v>0</v>
      </c>
      <c r="I648" s="39">
        <f t="shared" si="1142"/>
        <v>0</v>
      </c>
      <c r="J648" s="39">
        <f t="shared" si="1142"/>
        <v>0</v>
      </c>
      <c r="K648" s="39">
        <f t="shared" si="1142"/>
        <v>0</v>
      </c>
      <c r="L648" s="39">
        <f t="shared" si="1142"/>
        <v>0</v>
      </c>
      <c r="M648" s="39">
        <f t="shared" si="1142"/>
        <v>0</v>
      </c>
      <c r="N648" s="39">
        <f t="shared" si="1142"/>
        <v>0</v>
      </c>
      <c r="O648" s="39">
        <f t="shared" si="1142"/>
        <v>0</v>
      </c>
      <c r="P648" s="39">
        <f t="shared" si="1142"/>
        <v>0</v>
      </c>
      <c r="Q648" s="39">
        <f t="shared" si="1142"/>
        <v>0</v>
      </c>
      <c r="R648" s="39">
        <f t="shared" si="1142"/>
        <v>0</v>
      </c>
      <c r="S648" s="39">
        <f t="shared" si="1142"/>
        <v>0</v>
      </c>
      <c r="T648" s="39">
        <f t="shared" si="1142"/>
        <v>0</v>
      </c>
      <c r="U648" s="39">
        <f t="shared" si="1142"/>
        <v>0</v>
      </c>
      <c r="V648" s="39">
        <f t="shared" si="1142"/>
        <v>0</v>
      </c>
      <c r="W648" s="39">
        <f t="shared" si="1142"/>
        <v>0</v>
      </c>
      <c r="X648" s="39">
        <f t="shared" si="1142"/>
        <v>1038366.4143960001</v>
      </c>
      <c r="Y648" s="39">
        <f t="shared" si="1142"/>
        <v>41914.915604000002</v>
      </c>
      <c r="Z648" s="39">
        <f t="shared" si="1142"/>
        <v>0</v>
      </c>
      <c r="AA648" s="39">
        <f t="shared" si="1142"/>
        <v>0</v>
      </c>
      <c r="AB648" s="39">
        <f t="shared" si="1142"/>
        <v>0</v>
      </c>
      <c r="AC648" s="67"/>
      <c r="AD648" s="55"/>
    </row>
    <row r="649" spans="1:30" s="52" customFormat="1">
      <c r="A649" s="106" t="s">
        <v>571</v>
      </c>
      <c r="B649" s="181">
        <v>4372844</v>
      </c>
      <c r="C649" s="211">
        <f t="shared" si="1070"/>
        <v>364403.67</v>
      </c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170">
        <v>0.96120000000000005</v>
      </c>
      <c r="Y649" s="170">
        <v>3.8800000000000001E-2</v>
      </c>
      <c r="Z649" s="40"/>
      <c r="AA649" s="40"/>
      <c r="AB649" s="40"/>
      <c r="AC649" s="67"/>
      <c r="AD649" s="55"/>
    </row>
    <row r="650" spans="1:30" s="52" customFormat="1">
      <c r="A650" s="100"/>
      <c r="B650" s="60"/>
      <c r="C650" s="211"/>
      <c r="D650" s="39">
        <f t="shared" ref="D650" si="1143">$C649*D649</f>
        <v>0</v>
      </c>
      <c r="E650" s="39">
        <f t="shared" ref="E650" si="1144">$C649*E649</f>
        <v>0</v>
      </c>
      <c r="F650" s="39">
        <f t="shared" ref="F650:AB650" si="1145">$C649*F649</f>
        <v>0</v>
      </c>
      <c r="G650" s="39">
        <f t="shared" si="1145"/>
        <v>0</v>
      </c>
      <c r="H650" s="39">
        <f t="shared" si="1145"/>
        <v>0</v>
      </c>
      <c r="I650" s="39">
        <f t="shared" si="1145"/>
        <v>0</v>
      </c>
      <c r="J650" s="39">
        <f t="shared" si="1145"/>
        <v>0</v>
      </c>
      <c r="K650" s="39">
        <f t="shared" si="1145"/>
        <v>0</v>
      </c>
      <c r="L650" s="39">
        <f t="shared" si="1145"/>
        <v>0</v>
      </c>
      <c r="M650" s="39">
        <f t="shared" si="1145"/>
        <v>0</v>
      </c>
      <c r="N650" s="39">
        <f t="shared" si="1145"/>
        <v>0</v>
      </c>
      <c r="O650" s="39">
        <f t="shared" si="1145"/>
        <v>0</v>
      </c>
      <c r="P650" s="39">
        <f t="shared" si="1145"/>
        <v>0</v>
      </c>
      <c r="Q650" s="39">
        <f t="shared" si="1145"/>
        <v>0</v>
      </c>
      <c r="R650" s="39">
        <f t="shared" si="1145"/>
        <v>0</v>
      </c>
      <c r="S650" s="39">
        <f t="shared" si="1145"/>
        <v>0</v>
      </c>
      <c r="T650" s="39">
        <f t="shared" si="1145"/>
        <v>0</v>
      </c>
      <c r="U650" s="39">
        <f t="shared" si="1145"/>
        <v>0</v>
      </c>
      <c r="V650" s="39">
        <f t="shared" si="1145"/>
        <v>0</v>
      </c>
      <c r="W650" s="39">
        <f t="shared" si="1145"/>
        <v>0</v>
      </c>
      <c r="X650" s="39">
        <f t="shared" si="1145"/>
        <v>350264.80760400003</v>
      </c>
      <c r="Y650" s="39">
        <f t="shared" si="1145"/>
        <v>14138.862396</v>
      </c>
      <c r="Z650" s="39">
        <f t="shared" si="1145"/>
        <v>0</v>
      </c>
      <c r="AA650" s="39">
        <f t="shared" si="1145"/>
        <v>0</v>
      </c>
      <c r="AB650" s="39">
        <f t="shared" si="1145"/>
        <v>0</v>
      </c>
      <c r="AC650" s="67"/>
      <c r="AD650" s="55"/>
    </row>
    <row r="651" spans="1:30" s="52" customFormat="1">
      <c r="A651" s="106" t="s">
        <v>572</v>
      </c>
      <c r="B651" s="181">
        <v>3396305</v>
      </c>
      <c r="C651" s="211">
        <f t="shared" si="1070"/>
        <v>283025.42</v>
      </c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170">
        <v>0.69930000000000003</v>
      </c>
      <c r="R651" s="38"/>
      <c r="S651" s="38"/>
      <c r="T651" s="38"/>
      <c r="U651" s="38"/>
      <c r="V651" s="38"/>
      <c r="W651" s="38"/>
      <c r="X651" s="170">
        <v>0.28899999999999998</v>
      </c>
      <c r="Y651" s="170">
        <v>1.17E-2</v>
      </c>
      <c r="Z651" s="40"/>
      <c r="AA651" s="40"/>
      <c r="AB651" s="40"/>
      <c r="AC651" s="67"/>
      <c r="AD651" s="55"/>
    </row>
    <row r="652" spans="1:30" s="52" customFormat="1">
      <c r="A652" s="100"/>
      <c r="B652" s="60"/>
      <c r="C652" s="211"/>
      <c r="D652" s="39">
        <f t="shared" ref="D652" si="1146">$C651*D651</f>
        <v>0</v>
      </c>
      <c r="E652" s="39">
        <f t="shared" ref="E652" si="1147">$C651*E651</f>
        <v>0</v>
      </c>
      <c r="F652" s="39">
        <f t="shared" ref="F652:AB652" si="1148">$C651*F651</f>
        <v>0</v>
      </c>
      <c r="G652" s="39">
        <f t="shared" si="1148"/>
        <v>0</v>
      </c>
      <c r="H652" s="39">
        <f t="shared" si="1148"/>
        <v>0</v>
      </c>
      <c r="I652" s="39">
        <f t="shared" si="1148"/>
        <v>0</v>
      </c>
      <c r="J652" s="39">
        <f t="shared" si="1148"/>
        <v>0</v>
      </c>
      <c r="K652" s="39">
        <f t="shared" si="1148"/>
        <v>0</v>
      </c>
      <c r="L652" s="39">
        <f t="shared" si="1148"/>
        <v>0</v>
      </c>
      <c r="M652" s="39">
        <f t="shared" si="1148"/>
        <v>0</v>
      </c>
      <c r="N652" s="39">
        <f t="shared" si="1148"/>
        <v>0</v>
      </c>
      <c r="O652" s="39">
        <f t="shared" si="1148"/>
        <v>0</v>
      </c>
      <c r="P652" s="39">
        <f t="shared" si="1148"/>
        <v>0</v>
      </c>
      <c r="Q652" s="39">
        <f t="shared" si="1148"/>
        <v>197919.676206</v>
      </c>
      <c r="R652" s="39">
        <f t="shared" si="1148"/>
        <v>0</v>
      </c>
      <c r="S652" s="39">
        <f t="shared" si="1148"/>
        <v>0</v>
      </c>
      <c r="T652" s="39">
        <f t="shared" si="1148"/>
        <v>0</v>
      </c>
      <c r="U652" s="39">
        <f t="shared" si="1148"/>
        <v>0</v>
      </c>
      <c r="V652" s="39">
        <f t="shared" si="1148"/>
        <v>0</v>
      </c>
      <c r="W652" s="39">
        <f t="shared" si="1148"/>
        <v>0</v>
      </c>
      <c r="X652" s="39">
        <f t="shared" si="1148"/>
        <v>81794.346379999988</v>
      </c>
      <c r="Y652" s="39">
        <f t="shared" si="1148"/>
        <v>3311.397414</v>
      </c>
      <c r="Z652" s="39">
        <f t="shared" si="1148"/>
        <v>0</v>
      </c>
      <c r="AA652" s="39">
        <f t="shared" si="1148"/>
        <v>0</v>
      </c>
      <c r="AB652" s="39">
        <f t="shared" si="1148"/>
        <v>0</v>
      </c>
      <c r="AC652" s="67"/>
      <c r="AD652" s="55"/>
    </row>
    <row r="653" spans="1:30" s="52" customFormat="1">
      <c r="A653" s="106" t="s">
        <v>573</v>
      </c>
      <c r="B653" s="181">
        <v>6272218</v>
      </c>
      <c r="C653" s="211">
        <f t="shared" si="1070"/>
        <v>522684.83</v>
      </c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170">
        <v>1.1000000000000001E-3</v>
      </c>
      <c r="T653" s="170">
        <v>0.99750000000000005</v>
      </c>
      <c r="U653" s="38"/>
      <c r="V653" s="38"/>
      <c r="W653" s="38"/>
      <c r="X653" s="170">
        <v>1.2999999999999999E-3</v>
      </c>
      <c r="Y653" s="170">
        <v>1E-4</v>
      </c>
      <c r="Z653" s="40"/>
      <c r="AA653" s="40"/>
      <c r="AB653" s="40"/>
      <c r="AC653" s="67"/>
      <c r="AD653" s="55"/>
    </row>
    <row r="654" spans="1:30" s="52" customFormat="1">
      <c r="A654" s="100"/>
      <c r="B654" s="60"/>
      <c r="C654" s="211"/>
      <c r="D654" s="39">
        <f t="shared" ref="D654" si="1149">$C653*D653</f>
        <v>0</v>
      </c>
      <c r="E654" s="39">
        <f t="shared" ref="E654" si="1150">$C653*E653</f>
        <v>0</v>
      </c>
      <c r="F654" s="39">
        <f t="shared" ref="F654:AB654" si="1151">$C653*F653</f>
        <v>0</v>
      </c>
      <c r="G654" s="39">
        <f t="shared" si="1151"/>
        <v>0</v>
      </c>
      <c r="H654" s="39">
        <f t="shared" si="1151"/>
        <v>0</v>
      </c>
      <c r="I654" s="39">
        <f t="shared" si="1151"/>
        <v>0</v>
      </c>
      <c r="J654" s="39">
        <f t="shared" si="1151"/>
        <v>0</v>
      </c>
      <c r="K654" s="39">
        <f t="shared" si="1151"/>
        <v>0</v>
      </c>
      <c r="L654" s="39">
        <f t="shared" si="1151"/>
        <v>0</v>
      </c>
      <c r="M654" s="39">
        <f t="shared" si="1151"/>
        <v>0</v>
      </c>
      <c r="N654" s="39">
        <f t="shared" si="1151"/>
        <v>0</v>
      </c>
      <c r="O654" s="39">
        <f t="shared" si="1151"/>
        <v>0</v>
      </c>
      <c r="P654" s="39">
        <f t="shared" si="1151"/>
        <v>0</v>
      </c>
      <c r="Q654" s="39">
        <f t="shared" si="1151"/>
        <v>0</v>
      </c>
      <c r="R654" s="39">
        <f t="shared" si="1151"/>
        <v>0</v>
      </c>
      <c r="S654" s="39">
        <f t="shared" si="1151"/>
        <v>574.95331300000009</v>
      </c>
      <c r="T654" s="39">
        <f t="shared" si="1151"/>
        <v>521378.11792500003</v>
      </c>
      <c r="U654" s="39">
        <f t="shared" si="1151"/>
        <v>0</v>
      </c>
      <c r="V654" s="39">
        <f t="shared" si="1151"/>
        <v>0</v>
      </c>
      <c r="W654" s="39">
        <f t="shared" si="1151"/>
        <v>0</v>
      </c>
      <c r="X654" s="39">
        <f t="shared" si="1151"/>
        <v>679.49027899999999</v>
      </c>
      <c r="Y654" s="39">
        <f t="shared" si="1151"/>
        <v>52.268483000000003</v>
      </c>
      <c r="Z654" s="39">
        <f t="shared" si="1151"/>
        <v>0</v>
      </c>
      <c r="AA654" s="39">
        <f t="shared" si="1151"/>
        <v>0</v>
      </c>
      <c r="AB654" s="39">
        <f t="shared" si="1151"/>
        <v>0</v>
      </c>
      <c r="AC654" s="67"/>
      <c r="AD654" s="55"/>
    </row>
    <row r="655" spans="1:30" s="52" customFormat="1">
      <c r="A655" s="106" t="s">
        <v>613</v>
      </c>
      <c r="B655" s="181">
        <v>10749551</v>
      </c>
      <c r="C655" s="211">
        <f t="shared" si="1070"/>
        <v>895795.92</v>
      </c>
      <c r="D655" s="170">
        <v>0.1482</v>
      </c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170">
        <v>4.5100000000000001E-2</v>
      </c>
      <c r="T655" s="170">
        <v>0.76919999999999999</v>
      </c>
      <c r="U655" s="38"/>
      <c r="V655" s="38"/>
      <c r="W655" s="38"/>
      <c r="X655" s="170">
        <v>3.5999999999999997E-2</v>
      </c>
      <c r="Y655" s="170">
        <v>1.5E-3</v>
      </c>
      <c r="Z655" s="40"/>
      <c r="AA655" s="40"/>
      <c r="AB655" s="40"/>
      <c r="AC655" s="67"/>
      <c r="AD655" s="55"/>
    </row>
    <row r="656" spans="1:30" s="52" customFormat="1">
      <c r="A656" s="100"/>
      <c r="B656" s="60"/>
      <c r="C656" s="211"/>
      <c r="D656" s="39">
        <f t="shared" ref="D656" si="1152">$C655*D655</f>
        <v>132756.95534400002</v>
      </c>
      <c r="E656" s="39">
        <f t="shared" ref="E656:AB656" si="1153">$C655*E655</f>
        <v>0</v>
      </c>
      <c r="F656" s="39">
        <f t="shared" si="1153"/>
        <v>0</v>
      </c>
      <c r="G656" s="39">
        <f t="shared" si="1153"/>
        <v>0</v>
      </c>
      <c r="H656" s="39">
        <f t="shared" si="1153"/>
        <v>0</v>
      </c>
      <c r="I656" s="39">
        <f t="shared" si="1153"/>
        <v>0</v>
      </c>
      <c r="J656" s="39">
        <f t="shared" si="1153"/>
        <v>0</v>
      </c>
      <c r="K656" s="39">
        <f t="shared" si="1153"/>
        <v>0</v>
      </c>
      <c r="L656" s="39">
        <f t="shared" si="1153"/>
        <v>0</v>
      </c>
      <c r="M656" s="39">
        <f t="shared" si="1153"/>
        <v>0</v>
      </c>
      <c r="N656" s="39">
        <f t="shared" si="1153"/>
        <v>0</v>
      </c>
      <c r="O656" s="39">
        <f t="shared" si="1153"/>
        <v>0</v>
      </c>
      <c r="P656" s="39">
        <f t="shared" si="1153"/>
        <v>0</v>
      </c>
      <c r="Q656" s="39">
        <f t="shared" si="1153"/>
        <v>0</v>
      </c>
      <c r="R656" s="39">
        <f t="shared" si="1153"/>
        <v>0</v>
      </c>
      <c r="S656" s="39">
        <f t="shared" si="1153"/>
        <v>40400.395992000005</v>
      </c>
      <c r="T656" s="39">
        <f t="shared" si="1153"/>
        <v>689046.22166400007</v>
      </c>
      <c r="U656" s="39">
        <f t="shared" si="1153"/>
        <v>0</v>
      </c>
      <c r="V656" s="39">
        <f t="shared" si="1153"/>
        <v>0</v>
      </c>
      <c r="W656" s="39">
        <f t="shared" si="1153"/>
        <v>0</v>
      </c>
      <c r="X656" s="39">
        <f t="shared" si="1153"/>
        <v>32248.653119999999</v>
      </c>
      <c r="Y656" s="39">
        <f t="shared" si="1153"/>
        <v>1343.69388</v>
      </c>
      <c r="Z656" s="39">
        <f t="shared" si="1153"/>
        <v>0</v>
      </c>
      <c r="AA656" s="39">
        <f t="shared" si="1153"/>
        <v>0</v>
      </c>
      <c r="AB656" s="39">
        <f t="shared" si="1153"/>
        <v>0</v>
      </c>
      <c r="AC656" s="67"/>
      <c r="AD656" s="55"/>
    </row>
    <row r="657" spans="1:30" s="52" customFormat="1" ht="12.6" customHeight="1">
      <c r="A657" s="106" t="s">
        <v>614</v>
      </c>
      <c r="B657" s="181">
        <v>15346945</v>
      </c>
      <c r="C657" s="211">
        <f t="shared" si="1070"/>
        <v>1278912.08</v>
      </c>
      <c r="D657" s="170">
        <v>0.4642</v>
      </c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170">
        <v>0.51500000000000001</v>
      </c>
      <c r="Y657" s="170">
        <v>2.0799999999999999E-2</v>
      </c>
      <c r="Z657" s="40"/>
      <c r="AA657" s="40"/>
      <c r="AB657" s="40"/>
      <c r="AC657" s="67"/>
      <c r="AD657" s="55"/>
    </row>
    <row r="658" spans="1:30" s="52" customFormat="1">
      <c r="A658" s="100"/>
      <c r="B658" s="60"/>
      <c r="C658" s="242"/>
      <c r="D658" s="39">
        <f t="shared" ref="D658:S662" si="1154">$C657*D657</f>
        <v>593670.98753600009</v>
      </c>
      <c r="E658" s="39">
        <f t="shared" ref="E658:AB658" si="1155">$C657*E657</f>
        <v>0</v>
      </c>
      <c r="F658" s="39">
        <f t="shared" si="1155"/>
        <v>0</v>
      </c>
      <c r="G658" s="39">
        <f t="shared" si="1155"/>
        <v>0</v>
      </c>
      <c r="H658" s="39">
        <f t="shared" si="1155"/>
        <v>0</v>
      </c>
      <c r="I658" s="39">
        <f t="shared" si="1155"/>
        <v>0</v>
      </c>
      <c r="J658" s="39">
        <f t="shared" si="1155"/>
        <v>0</v>
      </c>
      <c r="K658" s="39">
        <f t="shared" si="1155"/>
        <v>0</v>
      </c>
      <c r="L658" s="39">
        <f t="shared" si="1155"/>
        <v>0</v>
      </c>
      <c r="M658" s="39">
        <f t="shared" si="1155"/>
        <v>0</v>
      </c>
      <c r="N658" s="39">
        <f t="shared" si="1155"/>
        <v>0</v>
      </c>
      <c r="O658" s="39">
        <f t="shared" si="1155"/>
        <v>0</v>
      </c>
      <c r="P658" s="39">
        <f t="shared" si="1155"/>
        <v>0</v>
      </c>
      <c r="Q658" s="39">
        <f t="shared" si="1155"/>
        <v>0</v>
      </c>
      <c r="R658" s="39">
        <f t="shared" si="1155"/>
        <v>0</v>
      </c>
      <c r="S658" s="39">
        <f t="shared" si="1155"/>
        <v>0</v>
      </c>
      <c r="T658" s="39">
        <f t="shared" si="1155"/>
        <v>0</v>
      </c>
      <c r="U658" s="39">
        <f t="shared" si="1155"/>
        <v>0</v>
      </c>
      <c r="V658" s="39">
        <f t="shared" si="1155"/>
        <v>0</v>
      </c>
      <c r="W658" s="39">
        <f t="shared" si="1155"/>
        <v>0</v>
      </c>
      <c r="X658" s="39">
        <f t="shared" si="1155"/>
        <v>658639.72120000003</v>
      </c>
      <c r="Y658" s="39">
        <f t="shared" si="1155"/>
        <v>26601.371264000001</v>
      </c>
      <c r="Z658" s="39">
        <f t="shared" si="1155"/>
        <v>0</v>
      </c>
      <c r="AA658" s="39">
        <f t="shared" si="1155"/>
        <v>0</v>
      </c>
      <c r="AB658" s="39">
        <f t="shared" si="1155"/>
        <v>0</v>
      </c>
      <c r="AC658" s="67"/>
      <c r="AD658" s="55"/>
    </row>
    <row r="659" spans="1:30" s="52" customFormat="1" ht="12.6" customHeight="1">
      <c r="A659" s="197" t="s">
        <v>629</v>
      </c>
      <c r="B659" s="184">
        <v>2291966</v>
      </c>
      <c r="C659" s="214">
        <f t="shared" ref="C659" si="1156">ROUND(B659/12,2)</f>
        <v>190997.17</v>
      </c>
      <c r="D659" s="185"/>
      <c r="E659" s="190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85">
        <v>0.31569999999999998</v>
      </c>
      <c r="R659" s="185"/>
      <c r="S659" s="185">
        <v>5.9400000000000001E-2</v>
      </c>
      <c r="T659" s="185">
        <v>7.1999999999999998E-3</v>
      </c>
      <c r="U659" s="190"/>
      <c r="V659" s="190"/>
      <c r="W659" s="190"/>
      <c r="X659" s="185">
        <v>0.59370000000000001</v>
      </c>
      <c r="Y659" s="185">
        <v>2.4E-2</v>
      </c>
      <c r="Z659" s="198"/>
      <c r="AA659" s="198"/>
      <c r="AB659" s="198"/>
      <c r="AC659" s="67"/>
      <c r="AD659" s="55"/>
    </row>
    <row r="660" spans="1:30" s="52" customFormat="1">
      <c r="A660" s="199"/>
      <c r="B660" s="200"/>
      <c r="C660" s="215"/>
      <c r="D660" s="201">
        <f t="shared" ref="D660:AB660" si="1157">$C659*D659</f>
        <v>0</v>
      </c>
      <c r="E660" s="201">
        <f t="shared" si="1157"/>
        <v>0</v>
      </c>
      <c r="F660" s="201">
        <f t="shared" si="1157"/>
        <v>0</v>
      </c>
      <c r="G660" s="201">
        <f t="shared" si="1157"/>
        <v>0</v>
      </c>
      <c r="H660" s="201">
        <f t="shared" si="1157"/>
        <v>0</v>
      </c>
      <c r="I660" s="201">
        <f t="shared" si="1157"/>
        <v>0</v>
      </c>
      <c r="J660" s="201">
        <f t="shared" si="1157"/>
        <v>0</v>
      </c>
      <c r="K660" s="201">
        <f t="shared" si="1157"/>
        <v>0</v>
      </c>
      <c r="L660" s="201">
        <f t="shared" si="1157"/>
        <v>0</v>
      </c>
      <c r="M660" s="201">
        <f t="shared" si="1157"/>
        <v>0</v>
      </c>
      <c r="N660" s="201">
        <f t="shared" si="1157"/>
        <v>0</v>
      </c>
      <c r="O660" s="201">
        <f t="shared" si="1157"/>
        <v>0</v>
      </c>
      <c r="P660" s="201">
        <f t="shared" si="1157"/>
        <v>0</v>
      </c>
      <c r="Q660" s="201">
        <f t="shared" si="1157"/>
        <v>60297.806569</v>
      </c>
      <c r="R660" s="201">
        <f t="shared" si="1157"/>
        <v>0</v>
      </c>
      <c r="S660" s="201">
        <f t="shared" si="1157"/>
        <v>11345.231898000002</v>
      </c>
      <c r="T660" s="201">
        <f t="shared" si="1157"/>
        <v>1375.1796240000001</v>
      </c>
      <c r="U660" s="201">
        <f t="shared" si="1157"/>
        <v>0</v>
      </c>
      <c r="V660" s="201">
        <f t="shared" si="1157"/>
        <v>0</v>
      </c>
      <c r="W660" s="201">
        <f t="shared" si="1157"/>
        <v>0</v>
      </c>
      <c r="X660" s="201">
        <f t="shared" si="1157"/>
        <v>113395.01982900001</v>
      </c>
      <c r="Y660" s="201">
        <f t="shared" si="1157"/>
        <v>4583.9320800000005</v>
      </c>
      <c r="Z660" s="201">
        <f t="shared" si="1157"/>
        <v>0</v>
      </c>
      <c r="AA660" s="201">
        <f t="shared" si="1157"/>
        <v>0</v>
      </c>
      <c r="AB660" s="201">
        <f t="shared" si="1157"/>
        <v>0</v>
      </c>
      <c r="AC660" s="67"/>
      <c r="AD660" s="55"/>
    </row>
    <row r="661" spans="1:30" s="52" customFormat="1">
      <c r="A661" s="197" t="s">
        <v>630</v>
      </c>
      <c r="B661" s="184">
        <v>697731</v>
      </c>
      <c r="C661" s="214">
        <f t="shared" ref="C661" si="1158">ROUND(B661/12,2)</f>
        <v>58144.25</v>
      </c>
      <c r="D661" s="185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85">
        <v>0.38240000000000002</v>
      </c>
      <c r="R661" s="185"/>
      <c r="S661" s="185">
        <v>5.2400000000000002E-2</v>
      </c>
      <c r="T661" s="185">
        <v>4.8999999999999998E-3</v>
      </c>
      <c r="U661" s="185"/>
      <c r="V661" s="185"/>
      <c r="W661" s="185"/>
      <c r="X661" s="185">
        <v>0.53859999999999997</v>
      </c>
      <c r="Y661" s="185">
        <v>2.1700000000000001E-2</v>
      </c>
      <c r="Z661" s="198"/>
      <c r="AA661" s="198"/>
      <c r="AB661" s="198"/>
      <c r="AC661" s="67"/>
      <c r="AD661" s="55"/>
    </row>
    <row r="662" spans="1:30" s="52" customFormat="1">
      <c r="A662" s="199"/>
      <c r="B662" s="200"/>
      <c r="C662" s="215"/>
      <c r="D662" s="201">
        <f t="shared" si="1154"/>
        <v>0</v>
      </c>
      <c r="E662" s="201">
        <f t="shared" si="1154"/>
        <v>0</v>
      </c>
      <c r="F662" s="201">
        <f t="shared" si="1154"/>
        <v>0</v>
      </c>
      <c r="G662" s="201">
        <f t="shared" si="1154"/>
        <v>0</v>
      </c>
      <c r="H662" s="201">
        <f t="shared" si="1154"/>
        <v>0</v>
      </c>
      <c r="I662" s="201">
        <f t="shared" si="1154"/>
        <v>0</v>
      </c>
      <c r="J662" s="201">
        <f t="shared" si="1154"/>
        <v>0</v>
      </c>
      <c r="K662" s="201">
        <f t="shared" si="1154"/>
        <v>0</v>
      </c>
      <c r="L662" s="201">
        <f t="shared" si="1154"/>
        <v>0</v>
      </c>
      <c r="M662" s="201">
        <f t="shared" si="1154"/>
        <v>0</v>
      </c>
      <c r="N662" s="201">
        <f t="shared" si="1154"/>
        <v>0</v>
      </c>
      <c r="O662" s="201">
        <f t="shared" si="1154"/>
        <v>0</v>
      </c>
      <c r="P662" s="201">
        <f t="shared" si="1154"/>
        <v>0</v>
      </c>
      <c r="Q662" s="201">
        <f t="shared" si="1154"/>
        <v>22234.361199999999</v>
      </c>
      <c r="R662" s="201">
        <f t="shared" si="1154"/>
        <v>0</v>
      </c>
      <c r="S662" s="201">
        <f t="shared" si="1154"/>
        <v>3046.7587000000003</v>
      </c>
      <c r="T662" s="201">
        <f t="shared" ref="T662:AB662" si="1159">$C661*T661</f>
        <v>284.90682499999997</v>
      </c>
      <c r="U662" s="201">
        <f t="shared" si="1159"/>
        <v>0</v>
      </c>
      <c r="V662" s="201">
        <f t="shared" si="1159"/>
        <v>0</v>
      </c>
      <c r="W662" s="201">
        <f t="shared" si="1159"/>
        <v>0</v>
      </c>
      <c r="X662" s="201">
        <f t="shared" si="1159"/>
        <v>31316.493049999997</v>
      </c>
      <c r="Y662" s="201">
        <f t="shared" si="1159"/>
        <v>1261.730225</v>
      </c>
      <c r="Z662" s="201">
        <f t="shared" si="1159"/>
        <v>0</v>
      </c>
      <c r="AA662" s="201">
        <f t="shared" si="1159"/>
        <v>0</v>
      </c>
      <c r="AB662" s="201">
        <f t="shared" si="1159"/>
        <v>0</v>
      </c>
      <c r="AC662" s="67"/>
      <c r="AD662" s="55"/>
    </row>
    <row r="663" spans="1:30" s="52" customFormat="1">
      <c r="A663" s="16" t="s">
        <v>50</v>
      </c>
      <c r="B663" s="9">
        <f>SUM(B471:B661)</f>
        <v>544640159</v>
      </c>
      <c r="C663" s="237">
        <f>SUM(C471:C661)</f>
        <v>45386679.899999991</v>
      </c>
      <c r="D663" s="45">
        <f>D472+D474+D476+D478+D480+D482+D484+D486+D488+D490+D492+D494+D496+D498+D500+D502+D504+D506+D508+D510+D512+D514+D516+D518+D520+D522+D524+D526+D528+D530+D532+D534+D536+D538+D540+D542+D544+D546+D548+D550+D552+D554+D556+D558+D560+D562+D564+D566+D568+D570+D572+D574+D576+D578+D580+D582+D584+D586+D588+D590+D592+D594+D596+D598+D600+D602+D604+D606+D608+D610+D612+D614+D616+D618+D620+D622+D624+D626+D628+D630+D632+D634+D636+D638+D640+D642+D644+D646+D648+D650+D652+D654+D656+D658+D660+D662</f>
        <v>1471409.2240310004</v>
      </c>
      <c r="E663" s="45">
        <f>E472+E474+E476+E478+E480+E482+E484+E486+E488+E490+E492+E494+E496+E498+E500+E502+E504+E506+E508+E510+E512+E514+E516+E518+E520+E522+E524+E526+E528+E530+E532+E534+E536+E538+E540+E542+E544+E546+E548+E550+E552+E554+E556+E558+E560+E562+E564+E566+E568+E570+E572+E574+E576+E578+E580+E582+E584+E586+E588+E590+E592+E594+E596+E598+E600+E602+E604+E606+E608+E610+E612+E614+E616+E618+E620+E622+E624+E626+E628+E630+E632+E634+E636+E638+E640+E642+E644+E646+E648+E650+E652+E654+E656+E658+E660+E662</f>
        <v>836247.82672800007</v>
      </c>
      <c r="F663" s="45">
        <f>F472+F474+F476+F478+F480+F482+F484+F486+F488+F490+F492+F494+F496+F498+F500+F502+F504+F506+F508+F510+F512+F514+F516+F518+F520+F522+F524+F526+F528+F530+F532+F534+F536+F538+F540+F542+F544+F546+F548+F550+F552+F554+F556+F558+F560+F562+F564+F566+F568+F570+F572+F574+F576+F578+F580+F582+F584+F586+F588+F590+F592+F594+F596+F598+F600+F602+F604+F606+F608+F610+F612+F614+F616+F618+F620+F622+F624+F626+F628+F630+F632+F634+F636+F638+F640+F642+F644+F646+F648+F650+F652+F654+F656+F658+F660+F662</f>
        <v>352104.34809600003</v>
      </c>
      <c r="G663" s="45">
        <f>G472+G474+G476+G478+G480+G482+G484+G486+G488+G490+G492+G494+G496+G498+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+G616+G618+G620+G622+G624+G626+G628+G630+G632+G634+G636+G638+G640+G642+G644+G646+G648+G650+G652+G654+G656+G658+G660+G662</f>
        <v>506544.832284</v>
      </c>
      <c r="H663" s="45">
        <f t="shared" ref="H663:AB663" si="1160">H472+H474+H476+H478+H480+H482+H484+H486+H488+H490+H492+H494+H496+H498+H500+H502+H504+H506+H508+H510+H512+H514+H516+H518+H520+H522+H524+H526+H528+H530+H532+H534+H536+H538+H540+H542+H544+H546+H548+H550+H552+H554+H556+H558+H560+H562+H564+H566+H568+H570+H572+H574+H576+H578+H580+H582+H584+H586+H588+H590+H592+H594+H596+H598+H600+H602+H604+H606+H608+H610+H612+H614+H616+H618+H620+H622+H624+H626+H628+H630+H632+H634+H636+H638+H640+H642+H644+H646+H648+H650+H652+H654+H656+H658+H660+H662</f>
        <v>324036.52633800003</v>
      </c>
      <c r="I663" s="45">
        <f t="shared" si="1160"/>
        <v>937291.66650100006</v>
      </c>
      <c r="J663" s="45">
        <f t="shared" si="1160"/>
        <v>136295.11437600001</v>
      </c>
      <c r="K663" s="45">
        <f t="shared" si="1160"/>
        <v>198669.988075</v>
      </c>
      <c r="L663" s="45">
        <f t="shared" si="1160"/>
        <v>104530.97834100001</v>
      </c>
      <c r="M663" s="45">
        <f t="shared" si="1160"/>
        <v>291648.99893499998</v>
      </c>
      <c r="N663" s="45">
        <f t="shared" si="1160"/>
        <v>814241.30497200007</v>
      </c>
      <c r="O663" s="45">
        <f>O472+O474+O476+O478+O480+O482+O484+O486+O488+O490+O492+O494+O496+O498+O500+O502+O504+O506+O508+O510+O512+O514+O516+O518+O520+O522+O524+O526+O528+O530+O532+O534+O536+O538+O540+O542+O544+O546+O548+O550+O552+O554+O556+O558+O560+O562+O564+O566+O568+O570+O572+O574+O576+O578+O580+O582+O584+O586+O588+O590+O592+O594+O596+O598+O600+O602+O604+O606+O608+O610+O612+O614+O616+O618+O620+O622+O624+O626+O628+O630+O632+O634+O636+O638+O640+O642+O644+O646+O648+O650+O652+O654+O656+O658+O660+O662</f>
        <v>115534.23921900002</v>
      </c>
      <c r="P663" s="45">
        <f t="shared" si="1160"/>
        <v>882204.48044399999</v>
      </c>
      <c r="Q663" s="45">
        <f t="shared" si="1160"/>
        <v>3853022.4615889997</v>
      </c>
      <c r="R663" s="45">
        <f t="shared" si="1160"/>
        <v>174975.77416999999</v>
      </c>
      <c r="S663" s="45">
        <f t="shared" si="1160"/>
        <v>753158.23243200011</v>
      </c>
      <c r="T663" s="45">
        <f t="shared" si="1160"/>
        <v>4383108.3830880011</v>
      </c>
      <c r="U663" s="45">
        <f t="shared" si="1160"/>
        <v>301643.172036</v>
      </c>
      <c r="V663" s="45">
        <f>V472+V474+V476+V478+V480+V482+V484+V486+V488+V490+V492+V494+V496+V498+V500+V502+V504+V506+V508+V510+V512+V514+V516+V518+V520+V522+V524+V526+V528+V530+V532+V534+V536+V538+V540+V542+V544+V546+V548+V550+V552+V554+V556+V558+V560+V562+V564+V566+V568+V570+V572+V574+V576+V578+V580+V582+V584+V586+V588+V590+V592+V594+V596+V598+V600+V602+V604+V606+V608+V610+V612+V614+V616+V618+V620+V622+V624+V626+V628+V630+V632+V634+V636+V638+V640+V642+V644+V646+V648+V650+V652+V654+V656+V658+V660+V662</f>
        <v>299583.842282</v>
      </c>
      <c r="W663" s="45">
        <f t="shared" si="1160"/>
        <v>435729.90158499999</v>
      </c>
      <c r="X663" s="45">
        <f t="shared" si="1160"/>
        <v>26985583.855076998</v>
      </c>
      <c r="Y663" s="45">
        <f t="shared" si="1160"/>
        <v>1070520.7296119998</v>
      </c>
      <c r="Z663" s="45">
        <f t="shared" si="1160"/>
        <v>153703.681621</v>
      </c>
      <c r="AA663" s="45">
        <f>AA472+AA474+AA476+AA478+AA480+AA482+AA484+AA486+AA488+AA490+AA492+AA494+AA496+AA498+AA500+AA502+AA504+AA506+AA508+AA510+AA512+AA514+AA516+AA518+AA520+AA522+AA524+AA526+AA528+AA530+AA532+AA534+AA536+AA538+AA540+AA542+AA544+AA546+AA548+AA550+AA552+AA554+AA556+AA558+AA560+AA562+AA564+AA566+AA568+AA570+AA572+AA574+AA576+AA578+AA580+AA582+AA584+AA586+AA588+AA590+AA592+AA594+AA596+AA598+AA600+AA602+AA604+AA606+AA608+AA610+AA612+AA614+AA616+AA618+AA620+AA622+AA624+AA626+AA628+AA630+AA632+AA634+AA636+AA638+AA640+AA642+AA644+AA646+AA648+AA650+AA652+AA654+AA656+AA658+AA660+AA662</f>
        <v>4890.3381679999993</v>
      </c>
      <c r="AB663" s="45">
        <f t="shared" si="1160"/>
        <v>0</v>
      </c>
      <c r="AC663" s="67"/>
      <c r="AD663" s="55"/>
    </row>
    <row r="664" spans="1:30" s="52" customFormat="1">
      <c r="A664" s="34"/>
      <c r="B664" s="22"/>
      <c r="C664" s="238"/>
      <c r="D664" s="41"/>
      <c r="E664" s="22"/>
      <c r="F664" s="22"/>
      <c r="G664" s="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67"/>
      <c r="AD664" s="55"/>
    </row>
    <row r="665" spans="1:30" s="52" customFormat="1">
      <c r="A665" s="34"/>
      <c r="B665" s="22"/>
      <c r="C665" s="238"/>
      <c r="D665" s="22"/>
      <c r="E665" s="22"/>
      <c r="F665" s="22"/>
      <c r="G665" s="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67"/>
      <c r="AD665" s="55"/>
    </row>
    <row r="666" spans="1:30" s="52" customFormat="1" ht="13.8" thickBot="1">
      <c r="A666" s="80" t="s">
        <v>117</v>
      </c>
      <c r="B666" s="127"/>
      <c r="C666" s="234"/>
      <c r="D666" s="127"/>
      <c r="E666" s="1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67"/>
      <c r="AD666" s="55"/>
    </row>
    <row r="667" spans="1:30" s="52" customFormat="1" ht="13.8" thickBot="1">
      <c r="A667" s="113" t="s">
        <v>1</v>
      </c>
      <c r="B667" s="114" t="s">
        <v>2</v>
      </c>
      <c r="C667" s="239" t="s">
        <v>3</v>
      </c>
      <c r="D667" s="263" t="s">
        <v>4</v>
      </c>
      <c r="E667" s="264"/>
      <c r="F667" s="264"/>
      <c r="G667" s="264"/>
      <c r="H667" s="264"/>
      <c r="I667" s="264"/>
      <c r="J667" s="264"/>
      <c r="K667" s="264"/>
      <c r="L667" s="264"/>
      <c r="M667" s="264"/>
      <c r="N667" s="264"/>
      <c r="O667" s="264"/>
      <c r="P667" s="264"/>
      <c r="Q667" s="264"/>
      <c r="R667" s="264"/>
      <c r="S667" s="264"/>
      <c r="T667" s="264"/>
      <c r="U667" s="264"/>
      <c r="V667" s="264"/>
      <c r="W667" s="264"/>
      <c r="X667" s="264"/>
      <c r="Y667" s="264"/>
      <c r="Z667" s="123"/>
      <c r="AA667" s="123"/>
      <c r="AB667" s="123"/>
      <c r="AC667" s="67"/>
      <c r="AD667" s="55"/>
    </row>
    <row r="668" spans="1:30" s="52" customFormat="1">
      <c r="A668" s="115" t="s">
        <v>5</v>
      </c>
      <c r="B668" s="116" t="s">
        <v>6</v>
      </c>
      <c r="C668" s="240" t="s">
        <v>6</v>
      </c>
      <c r="D668" s="11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9"/>
      <c r="Z668" s="116" t="s">
        <v>7</v>
      </c>
      <c r="AA668" s="116"/>
      <c r="AB668" s="116"/>
      <c r="AC668" s="67"/>
      <c r="AD668" s="55"/>
    </row>
    <row r="669" spans="1:30" s="52" customFormat="1">
      <c r="A669" s="115" t="s">
        <v>8</v>
      </c>
      <c r="B669" s="116" t="s">
        <v>9</v>
      </c>
      <c r="C669" s="240" t="s">
        <v>9</v>
      </c>
      <c r="D669" s="120" t="s">
        <v>10</v>
      </c>
      <c r="E669" s="116" t="s">
        <v>11</v>
      </c>
      <c r="F669" s="116" t="s">
        <v>12</v>
      </c>
      <c r="G669" s="116" t="s">
        <v>13</v>
      </c>
      <c r="H669" s="116" t="s">
        <v>14</v>
      </c>
      <c r="I669" s="116" t="s">
        <v>15</v>
      </c>
      <c r="J669" s="116" t="s">
        <v>16</v>
      </c>
      <c r="K669" s="116" t="s">
        <v>17</v>
      </c>
      <c r="L669" s="116" t="s">
        <v>18</v>
      </c>
      <c r="M669" s="116" t="s">
        <v>19</v>
      </c>
      <c r="N669" s="116" t="s">
        <v>20</v>
      </c>
      <c r="O669" s="116" t="s">
        <v>175</v>
      </c>
      <c r="P669" s="116" t="s">
        <v>21</v>
      </c>
      <c r="Q669" s="116" t="s">
        <v>22</v>
      </c>
      <c r="R669" s="116" t="s">
        <v>23</v>
      </c>
      <c r="S669" s="116" t="s">
        <v>24</v>
      </c>
      <c r="T669" s="116" t="s">
        <v>25</v>
      </c>
      <c r="U669" s="116" t="s">
        <v>26</v>
      </c>
      <c r="V669" s="116" t="s">
        <v>27</v>
      </c>
      <c r="W669" s="116" t="s">
        <v>28</v>
      </c>
      <c r="X669" s="116" t="s">
        <v>29</v>
      </c>
      <c r="Y669" s="116" t="s">
        <v>30</v>
      </c>
      <c r="Z669" s="116" t="s">
        <v>31</v>
      </c>
      <c r="AA669" s="116" t="s">
        <v>493</v>
      </c>
      <c r="AB669" s="116" t="s">
        <v>476</v>
      </c>
      <c r="AC669" s="67"/>
      <c r="AD669" s="55"/>
    </row>
    <row r="670" spans="1:30" s="52" customFormat="1">
      <c r="A670" s="115"/>
      <c r="B670" s="116"/>
      <c r="C670" s="240" t="s">
        <v>617</v>
      </c>
      <c r="D670" s="121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67"/>
      <c r="AD670" s="55"/>
    </row>
    <row r="671" spans="1:30" s="53" customFormat="1" ht="13.35" customHeight="1">
      <c r="A671" s="96" t="s">
        <v>118</v>
      </c>
      <c r="B671" s="18">
        <f>62507433/2</f>
        <v>31253716.5</v>
      </c>
      <c r="C671" s="242">
        <f>ROUND(B671/12,2)</f>
        <v>2604476.38</v>
      </c>
      <c r="D671" s="170">
        <v>1.6500000000000001E-2</v>
      </c>
      <c r="E671" s="170">
        <v>0.1368</v>
      </c>
      <c r="F671" s="170">
        <v>5.7599999999999998E-2</v>
      </c>
      <c r="G671" s="170">
        <v>8.0399999999999999E-2</v>
      </c>
      <c r="H671" s="170">
        <v>4.1099999999999998E-2</v>
      </c>
      <c r="I671" s="170">
        <v>0.13389999999999999</v>
      </c>
      <c r="J671" s="170">
        <v>2.12E-2</v>
      </c>
      <c r="K671" s="170">
        <v>3.2500000000000001E-2</v>
      </c>
      <c r="L671" s="170">
        <v>1.7100000000000001E-2</v>
      </c>
      <c r="M671" s="170">
        <v>2.5999999999999999E-2</v>
      </c>
      <c r="N671" s="170">
        <v>0.13320000000000001</v>
      </c>
      <c r="O671" s="170">
        <v>1.89E-2</v>
      </c>
      <c r="P671" s="170">
        <v>0</v>
      </c>
      <c r="Q671" s="170">
        <v>3.8600000000000002E-2</v>
      </c>
      <c r="R671" s="170">
        <v>1.9E-2</v>
      </c>
      <c r="S671" s="170">
        <v>4.1999999999999997E-3</v>
      </c>
      <c r="T671" s="170">
        <v>5.3999999999999999E-2</v>
      </c>
      <c r="U671" s="170">
        <v>1.78E-2</v>
      </c>
      <c r="V671" s="170">
        <v>3.6700000000000003E-2</v>
      </c>
      <c r="W671" s="170">
        <v>4.7199999999999999E-2</v>
      </c>
      <c r="X671" s="170">
        <v>6.3899999999999998E-2</v>
      </c>
      <c r="Y671" s="170">
        <v>2.5999999999999999E-3</v>
      </c>
      <c r="Z671" s="171">
        <v>0</v>
      </c>
      <c r="AA671" s="171">
        <v>8.0000000000000004E-4</v>
      </c>
      <c r="AB671" s="171">
        <v>0</v>
      </c>
      <c r="AC671" s="67"/>
      <c r="AD671" s="55"/>
    </row>
    <row r="672" spans="1:30" s="53" customFormat="1" ht="13.35" customHeight="1">
      <c r="A672" s="97"/>
      <c r="B672" s="30"/>
      <c r="C672" s="242"/>
      <c r="D672" s="6">
        <f t="shared" ref="D672" si="1161">$C671*D671</f>
        <v>42973.860269999997</v>
      </c>
      <c r="E672" s="6">
        <f t="shared" ref="E672" si="1162">$C671*E671</f>
        <v>356292.36878399999</v>
      </c>
      <c r="F672" s="6">
        <f t="shared" ref="F672:O672" si="1163">$C671*F671</f>
        <v>150017.839488</v>
      </c>
      <c r="G672" s="6">
        <f t="shared" si="1163"/>
        <v>209399.900952</v>
      </c>
      <c r="H672" s="6">
        <f t="shared" si="1163"/>
        <v>107043.97921799999</v>
      </c>
      <c r="I672" s="6">
        <f t="shared" si="1163"/>
        <v>348739.38728199998</v>
      </c>
      <c r="J672" s="6">
        <f t="shared" si="1163"/>
        <v>55214.899255999997</v>
      </c>
      <c r="K672" s="6">
        <f t="shared" si="1163"/>
        <v>84645.482350000006</v>
      </c>
      <c r="L672" s="6">
        <f t="shared" si="1163"/>
        <v>44536.546097999999</v>
      </c>
      <c r="M672" s="6">
        <f t="shared" si="1163"/>
        <v>67716.385879999987</v>
      </c>
      <c r="N672" s="6">
        <f t="shared" si="1163"/>
        <v>346916.25381600001</v>
      </c>
      <c r="O672" s="6">
        <f t="shared" si="1163"/>
        <v>49224.603581999996</v>
      </c>
      <c r="P672" s="6">
        <f t="shared" ref="P672" si="1164">$C671*P671</f>
        <v>0</v>
      </c>
      <c r="Q672" s="6">
        <f t="shared" ref="Q672" si="1165">$C671*Q671</f>
        <v>100532.788268</v>
      </c>
      <c r="R672" s="6">
        <f t="shared" ref="R672:AB672" si="1166">$C671*R671</f>
        <v>49485.051219999994</v>
      </c>
      <c r="S672" s="6">
        <f t="shared" si="1166"/>
        <v>10938.800796</v>
      </c>
      <c r="T672" s="6">
        <f t="shared" si="1166"/>
        <v>140641.72451999999</v>
      </c>
      <c r="U672" s="6">
        <f t="shared" si="1166"/>
        <v>46359.679563999998</v>
      </c>
      <c r="V672" s="6">
        <f t="shared" si="1166"/>
        <v>95584.283146000002</v>
      </c>
      <c r="W672" s="6">
        <f t="shared" si="1166"/>
        <v>122931.28513599999</v>
      </c>
      <c r="X672" s="6">
        <f t="shared" si="1166"/>
        <v>166426.04068199999</v>
      </c>
      <c r="Y672" s="6">
        <f t="shared" si="1166"/>
        <v>6771.6385879999998</v>
      </c>
      <c r="Z672" s="6">
        <f t="shared" si="1166"/>
        <v>0</v>
      </c>
      <c r="AA672" s="6">
        <f t="shared" si="1166"/>
        <v>2083.5811039999999</v>
      </c>
      <c r="AB672" s="6">
        <f t="shared" si="1166"/>
        <v>0</v>
      </c>
      <c r="AC672" s="67"/>
      <c r="AD672" s="55"/>
    </row>
    <row r="673" spans="1:30" s="52" customFormat="1">
      <c r="A673" s="96" t="s">
        <v>440</v>
      </c>
      <c r="B673" s="18">
        <f>62507433/2</f>
        <v>31253716.5</v>
      </c>
      <c r="C673" s="242">
        <f t="shared" ref="C673:C711" si="1167">ROUND(B673/12,2)</f>
        <v>2604476.38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171">
        <v>0.32319999999999999</v>
      </c>
      <c r="R673" s="5"/>
      <c r="S673" s="171">
        <v>4.3999999999999997E-2</v>
      </c>
      <c r="T673" s="5"/>
      <c r="U673" s="5"/>
      <c r="V673" s="5"/>
      <c r="W673" s="171">
        <v>1E-4</v>
      </c>
      <c r="X673" s="171">
        <v>0.60819999999999996</v>
      </c>
      <c r="Y673" s="171">
        <v>2.4500000000000001E-2</v>
      </c>
      <c r="Z673" s="5"/>
      <c r="AA673" s="5"/>
      <c r="AB673" s="5"/>
      <c r="AC673" s="67"/>
      <c r="AD673" s="55"/>
    </row>
    <row r="674" spans="1:30" s="52" customFormat="1">
      <c r="A674" s="97"/>
      <c r="B674" s="12"/>
      <c r="C674" s="242"/>
      <c r="D674" s="6">
        <f t="shared" ref="D674" si="1168">$C673*D673</f>
        <v>0</v>
      </c>
      <c r="E674" s="6">
        <f t="shared" ref="E674" si="1169">$C673*E673</f>
        <v>0</v>
      </c>
      <c r="F674" s="6">
        <f t="shared" ref="F674:O674" si="1170">$C673*F673</f>
        <v>0</v>
      </c>
      <c r="G674" s="6">
        <f t="shared" si="1170"/>
        <v>0</v>
      </c>
      <c r="H674" s="6">
        <f t="shared" si="1170"/>
        <v>0</v>
      </c>
      <c r="I674" s="6">
        <f t="shared" si="1170"/>
        <v>0</v>
      </c>
      <c r="J674" s="6">
        <f t="shared" si="1170"/>
        <v>0</v>
      </c>
      <c r="K674" s="6">
        <f t="shared" si="1170"/>
        <v>0</v>
      </c>
      <c r="L674" s="6">
        <f t="shared" si="1170"/>
        <v>0</v>
      </c>
      <c r="M674" s="6">
        <f t="shared" si="1170"/>
        <v>0</v>
      </c>
      <c r="N674" s="6">
        <f t="shared" si="1170"/>
        <v>0</v>
      </c>
      <c r="O674" s="6">
        <f t="shared" si="1170"/>
        <v>0</v>
      </c>
      <c r="P674" s="6">
        <f t="shared" ref="P674" si="1171">$C673*P673</f>
        <v>0</v>
      </c>
      <c r="Q674" s="6">
        <f t="shared" ref="Q674" si="1172">$C673*Q673</f>
        <v>841766.76601599995</v>
      </c>
      <c r="R674" s="6">
        <f t="shared" ref="R674:AB674" si="1173">$C673*R673</f>
        <v>0</v>
      </c>
      <c r="S674" s="6">
        <f t="shared" si="1173"/>
        <v>114596.96071999999</v>
      </c>
      <c r="T674" s="6">
        <f t="shared" si="1173"/>
        <v>0</v>
      </c>
      <c r="U674" s="6">
        <f t="shared" si="1173"/>
        <v>0</v>
      </c>
      <c r="V674" s="6">
        <f t="shared" si="1173"/>
        <v>0</v>
      </c>
      <c r="W674" s="6">
        <f t="shared" si="1173"/>
        <v>260.44763799999998</v>
      </c>
      <c r="X674" s="6">
        <f t="shared" si="1173"/>
        <v>1584042.5343159998</v>
      </c>
      <c r="Y674" s="6">
        <f t="shared" si="1173"/>
        <v>63809.671309999998</v>
      </c>
      <c r="Z674" s="6">
        <f t="shared" si="1173"/>
        <v>0</v>
      </c>
      <c r="AA674" s="6">
        <f t="shared" si="1173"/>
        <v>0</v>
      </c>
      <c r="AB674" s="6">
        <f t="shared" si="1173"/>
        <v>0</v>
      </c>
      <c r="AC674" s="67"/>
      <c r="AD674" s="55"/>
    </row>
    <row r="675" spans="1:30" s="53" customFormat="1" ht="13.35" customHeight="1">
      <c r="A675" s="96" t="s">
        <v>119</v>
      </c>
      <c r="B675" s="29">
        <f>6974/2</f>
        <v>3487</v>
      </c>
      <c r="C675" s="242">
        <f t="shared" si="1167"/>
        <v>290.58</v>
      </c>
      <c r="D675" s="170">
        <v>1.6500000000000001E-2</v>
      </c>
      <c r="E675" s="170">
        <v>0.1368</v>
      </c>
      <c r="F675" s="170">
        <v>5.7599999999999998E-2</v>
      </c>
      <c r="G675" s="170">
        <v>8.0399999999999999E-2</v>
      </c>
      <c r="H675" s="170">
        <v>4.1099999999999998E-2</v>
      </c>
      <c r="I675" s="170">
        <v>0.13389999999999999</v>
      </c>
      <c r="J675" s="170">
        <v>2.12E-2</v>
      </c>
      <c r="K675" s="170">
        <v>3.2500000000000001E-2</v>
      </c>
      <c r="L675" s="170">
        <v>1.7100000000000001E-2</v>
      </c>
      <c r="M675" s="170">
        <v>2.5999999999999999E-2</v>
      </c>
      <c r="N675" s="170">
        <v>0.13320000000000001</v>
      </c>
      <c r="O675" s="170">
        <v>1.89E-2</v>
      </c>
      <c r="P675" s="170">
        <v>0</v>
      </c>
      <c r="Q675" s="170">
        <v>3.8600000000000002E-2</v>
      </c>
      <c r="R675" s="170">
        <v>1.9E-2</v>
      </c>
      <c r="S675" s="170">
        <v>4.1999999999999997E-3</v>
      </c>
      <c r="T675" s="170">
        <v>5.3999999999999999E-2</v>
      </c>
      <c r="U675" s="170">
        <v>1.78E-2</v>
      </c>
      <c r="V675" s="170">
        <v>3.6700000000000003E-2</v>
      </c>
      <c r="W675" s="170">
        <v>4.7199999999999999E-2</v>
      </c>
      <c r="X675" s="170">
        <v>6.3899999999999998E-2</v>
      </c>
      <c r="Y675" s="170">
        <v>2.5999999999999999E-3</v>
      </c>
      <c r="Z675" s="171">
        <v>0</v>
      </c>
      <c r="AA675" s="171">
        <v>8.0000000000000004E-4</v>
      </c>
      <c r="AB675" s="171">
        <v>0</v>
      </c>
      <c r="AC675" s="67"/>
      <c r="AD675" s="55"/>
    </row>
    <row r="676" spans="1:30" s="53" customFormat="1" ht="13.35" customHeight="1">
      <c r="A676" s="97"/>
      <c r="B676" s="30"/>
      <c r="C676" s="242"/>
      <c r="D676" s="6">
        <f t="shared" ref="D676" si="1174">$C675*D675</f>
        <v>4.7945700000000002</v>
      </c>
      <c r="E676" s="6">
        <f t="shared" ref="E676" si="1175">$C675*E675</f>
        <v>39.751343999999996</v>
      </c>
      <c r="F676" s="6">
        <f t="shared" ref="F676:O676" si="1176">$C675*F675</f>
        <v>16.737407999999999</v>
      </c>
      <c r="G676" s="6">
        <f t="shared" si="1176"/>
        <v>23.362631999999998</v>
      </c>
      <c r="H676" s="6">
        <f t="shared" si="1176"/>
        <v>11.942837999999998</v>
      </c>
      <c r="I676" s="6">
        <f t="shared" si="1176"/>
        <v>38.908661999999993</v>
      </c>
      <c r="J676" s="6">
        <f t="shared" si="1176"/>
        <v>6.1602959999999998</v>
      </c>
      <c r="K676" s="6">
        <f t="shared" si="1176"/>
        <v>9.4438499999999994</v>
      </c>
      <c r="L676" s="6">
        <f t="shared" si="1176"/>
        <v>4.9689179999999995</v>
      </c>
      <c r="M676" s="6">
        <f t="shared" si="1176"/>
        <v>7.5550799999999994</v>
      </c>
      <c r="N676" s="6">
        <f t="shared" si="1176"/>
        <v>38.705255999999999</v>
      </c>
      <c r="O676" s="6">
        <f t="shared" si="1176"/>
        <v>5.491962</v>
      </c>
      <c r="P676" s="6">
        <f t="shared" ref="P676" si="1177">$C675*P675</f>
        <v>0</v>
      </c>
      <c r="Q676" s="6">
        <f t="shared" ref="Q676" si="1178">$C675*Q675</f>
        <v>11.216388</v>
      </c>
      <c r="R676" s="6">
        <f t="shared" ref="R676:AB676" si="1179">$C675*R675</f>
        <v>5.5210199999999992</v>
      </c>
      <c r="S676" s="6">
        <f t="shared" si="1179"/>
        <v>1.2204359999999999</v>
      </c>
      <c r="T676" s="6">
        <f t="shared" si="1179"/>
        <v>15.691319999999999</v>
      </c>
      <c r="U676" s="6">
        <f t="shared" si="1179"/>
        <v>5.1723239999999997</v>
      </c>
      <c r="V676" s="6">
        <f t="shared" si="1179"/>
        <v>10.664286000000001</v>
      </c>
      <c r="W676" s="6">
        <f t="shared" si="1179"/>
        <v>13.715375999999999</v>
      </c>
      <c r="X676" s="6">
        <f t="shared" si="1179"/>
        <v>18.568061999999998</v>
      </c>
      <c r="Y676" s="6">
        <f t="shared" si="1179"/>
        <v>0.75550799999999996</v>
      </c>
      <c r="Z676" s="6">
        <f t="shared" si="1179"/>
        <v>0</v>
      </c>
      <c r="AA676" s="6">
        <f t="shared" si="1179"/>
        <v>0.232464</v>
      </c>
      <c r="AB676" s="6">
        <f t="shared" si="1179"/>
        <v>0</v>
      </c>
      <c r="AC676" s="67"/>
      <c r="AD676" s="55"/>
    </row>
    <row r="677" spans="1:30" s="52" customFormat="1">
      <c r="A677" s="96" t="s">
        <v>441</v>
      </c>
      <c r="B677" s="29">
        <f>6974/2</f>
        <v>3487</v>
      </c>
      <c r="C677" s="242">
        <f t="shared" si="1167"/>
        <v>290.58</v>
      </c>
      <c r="D677" s="171">
        <v>5.6399999999999999E-2</v>
      </c>
      <c r="E677" s="5"/>
      <c r="F677" s="5"/>
      <c r="G677" s="5"/>
      <c r="H677" s="5"/>
      <c r="I677" s="5"/>
      <c r="J677" s="5"/>
      <c r="K677" s="5"/>
      <c r="L677" s="5"/>
      <c r="M677" s="171">
        <v>6.5299999999999997E-2</v>
      </c>
      <c r="N677" s="5"/>
      <c r="O677" s="5"/>
      <c r="P677" s="5"/>
      <c r="Q677" s="171">
        <v>0.13150000000000001</v>
      </c>
      <c r="R677" s="5"/>
      <c r="S677" s="171">
        <v>3.2000000000000002E-3</v>
      </c>
      <c r="T677" s="171">
        <v>0.45929999999999999</v>
      </c>
      <c r="U677" s="5"/>
      <c r="V677" s="5"/>
      <c r="W677" s="171">
        <v>3.1300000000000001E-2</v>
      </c>
      <c r="X677" s="171">
        <v>0.2432</v>
      </c>
      <c r="Y677" s="171">
        <v>9.7999999999999997E-3</v>
      </c>
      <c r="Z677" s="5"/>
      <c r="AA677" s="5"/>
      <c r="AB677" s="5"/>
      <c r="AC677" s="67"/>
      <c r="AD677" s="55"/>
    </row>
    <row r="678" spans="1:30" s="52" customFormat="1">
      <c r="A678" s="97"/>
      <c r="B678" s="12"/>
      <c r="C678" s="242"/>
      <c r="D678" s="6">
        <f t="shared" ref="D678" si="1180">$C677*D677</f>
        <v>16.388711999999998</v>
      </c>
      <c r="E678" s="6">
        <f t="shared" ref="E678" si="1181">$C677*E677</f>
        <v>0</v>
      </c>
      <c r="F678" s="6">
        <f t="shared" ref="F678:O678" si="1182">$C677*F677</f>
        <v>0</v>
      </c>
      <c r="G678" s="6">
        <f t="shared" si="1182"/>
        <v>0</v>
      </c>
      <c r="H678" s="6">
        <f t="shared" si="1182"/>
        <v>0</v>
      </c>
      <c r="I678" s="6">
        <f t="shared" si="1182"/>
        <v>0</v>
      </c>
      <c r="J678" s="6">
        <f t="shared" si="1182"/>
        <v>0</v>
      </c>
      <c r="K678" s="6">
        <f t="shared" si="1182"/>
        <v>0</v>
      </c>
      <c r="L678" s="6">
        <f t="shared" si="1182"/>
        <v>0</v>
      </c>
      <c r="M678" s="6">
        <f t="shared" si="1182"/>
        <v>18.974874</v>
      </c>
      <c r="N678" s="6">
        <f t="shared" si="1182"/>
        <v>0</v>
      </c>
      <c r="O678" s="6">
        <f t="shared" si="1182"/>
        <v>0</v>
      </c>
      <c r="P678" s="6">
        <f t="shared" ref="P678" si="1183">$C677*P677</f>
        <v>0</v>
      </c>
      <c r="Q678" s="6">
        <f t="shared" ref="Q678" si="1184">$C677*Q677</f>
        <v>38.211269999999999</v>
      </c>
      <c r="R678" s="6">
        <f t="shared" ref="R678:AB678" si="1185">$C677*R677</f>
        <v>0</v>
      </c>
      <c r="S678" s="6">
        <f t="shared" si="1185"/>
        <v>0.92985600000000002</v>
      </c>
      <c r="T678" s="6">
        <f t="shared" si="1185"/>
        <v>133.46339399999999</v>
      </c>
      <c r="U678" s="6">
        <f t="shared" si="1185"/>
        <v>0</v>
      </c>
      <c r="V678" s="6">
        <f t="shared" si="1185"/>
        <v>0</v>
      </c>
      <c r="W678" s="6">
        <f t="shared" si="1185"/>
        <v>9.0951539999999991</v>
      </c>
      <c r="X678" s="6">
        <f t="shared" si="1185"/>
        <v>70.669055999999998</v>
      </c>
      <c r="Y678" s="6">
        <f t="shared" si="1185"/>
        <v>2.8476839999999997</v>
      </c>
      <c r="Z678" s="6">
        <f t="shared" si="1185"/>
        <v>0</v>
      </c>
      <c r="AA678" s="6">
        <f t="shared" si="1185"/>
        <v>0</v>
      </c>
      <c r="AB678" s="6">
        <f t="shared" si="1185"/>
        <v>0</v>
      </c>
      <c r="AC678" s="67"/>
      <c r="AD678" s="55"/>
    </row>
    <row r="679" spans="1:30" s="53" customFormat="1" ht="13.35" customHeight="1">
      <c r="A679" s="96" t="s">
        <v>120</v>
      </c>
      <c r="B679" s="29">
        <f>5001/2</f>
        <v>2500.5</v>
      </c>
      <c r="C679" s="242">
        <f t="shared" si="1167"/>
        <v>208.38</v>
      </c>
      <c r="D679" s="170">
        <v>1.6500000000000001E-2</v>
      </c>
      <c r="E679" s="170">
        <v>0.1368</v>
      </c>
      <c r="F679" s="170">
        <v>5.7599999999999998E-2</v>
      </c>
      <c r="G679" s="170">
        <v>8.0399999999999999E-2</v>
      </c>
      <c r="H679" s="170">
        <v>4.1099999999999998E-2</v>
      </c>
      <c r="I679" s="170">
        <v>0.13389999999999999</v>
      </c>
      <c r="J679" s="170">
        <v>2.12E-2</v>
      </c>
      <c r="K679" s="170">
        <v>3.2500000000000001E-2</v>
      </c>
      <c r="L679" s="170">
        <v>1.7100000000000001E-2</v>
      </c>
      <c r="M679" s="170">
        <v>2.5999999999999999E-2</v>
      </c>
      <c r="N679" s="170">
        <v>0.13320000000000001</v>
      </c>
      <c r="O679" s="170">
        <v>1.89E-2</v>
      </c>
      <c r="P679" s="170">
        <v>0</v>
      </c>
      <c r="Q679" s="170">
        <v>3.8600000000000002E-2</v>
      </c>
      <c r="R679" s="170">
        <v>1.9E-2</v>
      </c>
      <c r="S679" s="170">
        <v>4.1999999999999997E-3</v>
      </c>
      <c r="T679" s="170">
        <v>5.3999999999999999E-2</v>
      </c>
      <c r="U679" s="170">
        <v>1.78E-2</v>
      </c>
      <c r="V679" s="170">
        <v>3.6700000000000003E-2</v>
      </c>
      <c r="W679" s="170">
        <v>4.7199999999999999E-2</v>
      </c>
      <c r="X679" s="170">
        <v>6.3899999999999998E-2</v>
      </c>
      <c r="Y679" s="170">
        <v>2.5999999999999999E-3</v>
      </c>
      <c r="Z679" s="171">
        <v>0</v>
      </c>
      <c r="AA679" s="171">
        <v>8.0000000000000004E-4</v>
      </c>
      <c r="AB679" s="171">
        <v>0</v>
      </c>
      <c r="AC679" s="67"/>
      <c r="AD679" s="55"/>
    </row>
    <row r="680" spans="1:30" s="53" customFormat="1" ht="13.35" customHeight="1">
      <c r="A680" s="97"/>
      <c r="B680" s="30"/>
      <c r="C680" s="242"/>
      <c r="D680" s="6">
        <f t="shared" ref="D680" si="1186">$C679*D679</f>
        <v>3.4382700000000002</v>
      </c>
      <c r="E680" s="6">
        <f t="shared" ref="E680" si="1187">$C679*E679</f>
        <v>28.506384000000001</v>
      </c>
      <c r="F680" s="6">
        <f t="shared" ref="F680:O680" si="1188">$C679*F679</f>
        <v>12.002687999999999</v>
      </c>
      <c r="G680" s="6">
        <f t="shared" si="1188"/>
        <v>16.753751999999999</v>
      </c>
      <c r="H680" s="6">
        <f t="shared" si="1188"/>
        <v>8.5644179999999999</v>
      </c>
      <c r="I680" s="6">
        <f t="shared" si="1188"/>
        <v>27.902081999999996</v>
      </c>
      <c r="J680" s="6">
        <f t="shared" si="1188"/>
        <v>4.417656</v>
      </c>
      <c r="K680" s="6">
        <f t="shared" si="1188"/>
        <v>6.7723500000000003</v>
      </c>
      <c r="L680" s="6">
        <f t="shared" si="1188"/>
        <v>3.5632980000000001</v>
      </c>
      <c r="M680" s="6">
        <f t="shared" si="1188"/>
        <v>5.4178799999999994</v>
      </c>
      <c r="N680" s="6">
        <f t="shared" si="1188"/>
        <v>27.756216000000002</v>
      </c>
      <c r="O680" s="6">
        <f t="shared" si="1188"/>
        <v>3.9383819999999998</v>
      </c>
      <c r="P680" s="6">
        <f t="shared" ref="P680" si="1189">$C679*P679</f>
        <v>0</v>
      </c>
      <c r="Q680" s="6">
        <f t="shared" ref="Q680" si="1190">$C679*Q679</f>
        <v>8.0434680000000007</v>
      </c>
      <c r="R680" s="6">
        <f t="shared" ref="R680:AB680" si="1191">$C679*R679</f>
        <v>3.9592199999999997</v>
      </c>
      <c r="S680" s="6">
        <f t="shared" si="1191"/>
        <v>0.87519599999999997</v>
      </c>
      <c r="T680" s="6">
        <f t="shared" si="1191"/>
        <v>11.252519999999999</v>
      </c>
      <c r="U680" s="6">
        <f t="shared" si="1191"/>
        <v>3.7091639999999999</v>
      </c>
      <c r="V680" s="6">
        <f t="shared" si="1191"/>
        <v>7.6475460000000002</v>
      </c>
      <c r="W680" s="6">
        <f t="shared" si="1191"/>
        <v>9.8355359999999994</v>
      </c>
      <c r="X680" s="6">
        <f t="shared" si="1191"/>
        <v>13.315481999999999</v>
      </c>
      <c r="Y680" s="6">
        <f t="shared" si="1191"/>
        <v>0.54178799999999994</v>
      </c>
      <c r="Z680" s="6">
        <f t="shared" si="1191"/>
        <v>0</v>
      </c>
      <c r="AA680" s="6">
        <f t="shared" si="1191"/>
        <v>0.16670399999999999</v>
      </c>
      <c r="AB680" s="6">
        <f t="shared" si="1191"/>
        <v>0</v>
      </c>
      <c r="AC680" s="67"/>
      <c r="AD680" s="55"/>
    </row>
    <row r="681" spans="1:30" s="52" customFormat="1">
      <c r="A681" s="96" t="s">
        <v>442</v>
      </c>
      <c r="B681" s="29">
        <f>5001/2</f>
        <v>2500.5</v>
      </c>
      <c r="C681" s="242">
        <f t="shared" si="1167"/>
        <v>208.38</v>
      </c>
      <c r="D681" s="171">
        <v>6.3399999999999998E-2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171">
        <v>0.28539999999999999</v>
      </c>
      <c r="R681" s="5"/>
      <c r="S681" s="171">
        <v>4.9599999999999998E-2</v>
      </c>
      <c r="T681" s="171">
        <v>0.104</v>
      </c>
      <c r="U681" s="5"/>
      <c r="V681" s="5"/>
      <c r="W681" s="5"/>
      <c r="X681" s="171">
        <v>0.4783</v>
      </c>
      <c r="Y681" s="171">
        <v>1.9300000000000001E-2</v>
      </c>
      <c r="Z681" s="5"/>
      <c r="AA681" s="5"/>
      <c r="AB681" s="5"/>
      <c r="AC681" s="67"/>
      <c r="AD681" s="55"/>
    </row>
    <row r="682" spans="1:30" s="52" customFormat="1">
      <c r="A682" s="97"/>
      <c r="B682" s="12"/>
      <c r="C682" s="242"/>
      <c r="D682" s="6">
        <f t="shared" ref="D682" si="1192">$C681*D681</f>
        <v>13.211291999999998</v>
      </c>
      <c r="E682" s="6">
        <f t="shared" ref="E682" si="1193">$C681*E681</f>
        <v>0</v>
      </c>
      <c r="F682" s="6">
        <f t="shared" ref="F682:O682" si="1194">$C681*F681</f>
        <v>0</v>
      </c>
      <c r="G682" s="6">
        <f t="shared" si="1194"/>
        <v>0</v>
      </c>
      <c r="H682" s="6">
        <f t="shared" si="1194"/>
        <v>0</v>
      </c>
      <c r="I682" s="6">
        <f t="shared" si="1194"/>
        <v>0</v>
      </c>
      <c r="J682" s="6">
        <f t="shared" si="1194"/>
        <v>0</v>
      </c>
      <c r="K682" s="6">
        <f t="shared" si="1194"/>
        <v>0</v>
      </c>
      <c r="L682" s="6">
        <f t="shared" si="1194"/>
        <v>0</v>
      </c>
      <c r="M682" s="6">
        <f t="shared" si="1194"/>
        <v>0</v>
      </c>
      <c r="N682" s="6">
        <f t="shared" si="1194"/>
        <v>0</v>
      </c>
      <c r="O682" s="6">
        <f t="shared" si="1194"/>
        <v>0</v>
      </c>
      <c r="P682" s="6">
        <f t="shared" ref="P682" si="1195">$C681*P681</f>
        <v>0</v>
      </c>
      <c r="Q682" s="6">
        <f t="shared" ref="Q682" si="1196">$C681*Q681</f>
        <v>59.471651999999999</v>
      </c>
      <c r="R682" s="6">
        <f t="shared" ref="R682:AB682" si="1197">$C681*R681</f>
        <v>0</v>
      </c>
      <c r="S682" s="6">
        <f t="shared" si="1197"/>
        <v>10.335647999999999</v>
      </c>
      <c r="T682" s="6">
        <f t="shared" si="1197"/>
        <v>21.671519999999997</v>
      </c>
      <c r="U682" s="6">
        <f t="shared" si="1197"/>
        <v>0</v>
      </c>
      <c r="V682" s="6">
        <f t="shared" si="1197"/>
        <v>0</v>
      </c>
      <c r="W682" s="6">
        <f t="shared" si="1197"/>
        <v>0</v>
      </c>
      <c r="X682" s="6">
        <f t="shared" si="1197"/>
        <v>99.668154000000001</v>
      </c>
      <c r="Y682" s="6">
        <f t="shared" si="1197"/>
        <v>4.0217340000000004</v>
      </c>
      <c r="Z682" s="6">
        <f t="shared" si="1197"/>
        <v>0</v>
      </c>
      <c r="AA682" s="6">
        <f t="shared" si="1197"/>
        <v>0</v>
      </c>
      <c r="AB682" s="6">
        <f t="shared" si="1197"/>
        <v>0</v>
      </c>
      <c r="AC682" s="67"/>
      <c r="AD682" s="55"/>
    </row>
    <row r="683" spans="1:30" s="53" customFormat="1" ht="13.35" customHeight="1">
      <c r="A683" s="96" t="s">
        <v>121</v>
      </c>
      <c r="B683" s="29">
        <f>10124/2</f>
        <v>5062</v>
      </c>
      <c r="C683" s="242">
        <f t="shared" si="1167"/>
        <v>421.83</v>
      </c>
      <c r="D683" s="170">
        <v>1.6500000000000001E-2</v>
      </c>
      <c r="E683" s="170">
        <v>0.1368</v>
      </c>
      <c r="F683" s="170">
        <v>5.7599999999999998E-2</v>
      </c>
      <c r="G683" s="170">
        <v>8.0399999999999999E-2</v>
      </c>
      <c r="H683" s="170">
        <v>4.1099999999999998E-2</v>
      </c>
      <c r="I683" s="170">
        <v>0.13389999999999999</v>
      </c>
      <c r="J683" s="170">
        <v>2.12E-2</v>
      </c>
      <c r="K683" s="170">
        <v>3.2500000000000001E-2</v>
      </c>
      <c r="L683" s="170">
        <v>1.7100000000000001E-2</v>
      </c>
      <c r="M683" s="170">
        <v>2.5999999999999999E-2</v>
      </c>
      <c r="N683" s="170">
        <v>0.13320000000000001</v>
      </c>
      <c r="O683" s="170">
        <v>1.89E-2</v>
      </c>
      <c r="P683" s="170">
        <v>0</v>
      </c>
      <c r="Q683" s="170">
        <v>3.8600000000000002E-2</v>
      </c>
      <c r="R683" s="170">
        <v>1.9E-2</v>
      </c>
      <c r="S683" s="170">
        <v>4.1999999999999997E-3</v>
      </c>
      <c r="T683" s="170">
        <v>5.3999999999999999E-2</v>
      </c>
      <c r="U683" s="170">
        <v>1.78E-2</v>
      </c>
      <c r="V683" s="170">
        <v>3.6700000000000003E-2</v>
      </c>
      <c r="W683" s="170">
        <v>4.7199999999999999E-2</v>
      </c>
      <c r="X683" s="170">
        <v>6.3899999999999998E-2</v>
      </c>
      <c r="Y683" s="170">
        <v>2.5999999999999999E-3</v>
      </c>
      <c r="Z683" s="171">
        <v>0</v>
      </c>
      <c r="AA683" s="171">
        <v>8.0000000000000004E-4</v>
      </c>
      <c r="AB683" s="171">
        <v>0</v>
      </c>
      <c r="AC683" s="67"/>
      <c r="AD683" s="55"/>
    </row>
    <row r="684" spans="1:30" s="53" customFormat="1" ht="13.35" customHeight="1">
      <c r="A684" s="97"/>
      <c r="B684" s="30"/>
      <c r="C684" s="242"/>
      <c r="D684" s="6">
        <f t="shared" ref="D684" si="1198">$C683*D683</f>
        <v>6.9601949999999997</v>
      </c>
      <c r="E684" s="6">
        <f t="shared" ref="E684" si="1199">$C683*E683</f>
        <v>57.706344000000001</v>
      </c>
      <c r="F684" s="6">
        <f t="shared" ref="F684:O684" si="1200">$C683*F683</f>
        <v>24.297407999999997</v>
      </c>
      <c r="G684" s="6">
        <f t="shared" si="1200"/>
        <v>33.915132</v>
      </c>
      <c r="H684" s="6">
        <f t="shared" si="1200"/>
        <v>17.337212999999998</v>
      </c>
      <c r="I684" s="6">
        <f t="shared" si="1200"/>
        <v>56.483036999999996</v>
      </c>
      <c r="J684" s="6">
        <f t="shared" si="1200"/>
        <v>8.9427959999999995</v>
      </c>
      <c r="K684" s="6">
        <f t="shared" si="1200"/>
        <v>13.709474999999999</v>
      </c>
      <c r="L684" s="6">
        <f t="shared" si="1200"/>
        <v>7.2132930000000002</v>
      </c>
      <c r="M684" s="6">
        <f t="shared" si="1200"/>
        <v>10.96758</v>
      </c>
      <c r="N684" s="6">
        <f t="shared" si="1200"/>
        <v>56.187756</v>
      </c>
      <c r="O684" s="6">
        <f t="shared" si="1200"/>
        <v>7.9725869999999999</v>
      </c>
      <c r="P684" s="6">
        <f t="shared" ref="P684" si="1201">$C683*P683</f>
        <v>0</v>
      </c>
      <c r="Q684" s="6">
        <f t="shared" ref="Q684" si="1202">$C683*Q683</f>
        <v>16.282637999999999</v>
      </c>
      <c r="R684" s="6">
        <f t="shared" ref="R684:AB684" si="1203">$C683*R683</f>
        <v>8.0147699999999986</v>
      </c>
      <c r="S684" s="6">
        <f t="shared" si="1203"/>
        <v>1.7716859999999999</v>
      </c>
      <c r="T684" s="6">
        <f t="shared" si="1203"/>
        <v>22.77882</v>
      </c>
      <c r="U684" s="6">
        <f t="shared" si="1203"/>
        <v>7.5085739999999994</v>
      </c>
      <c r="V684" s="6">
        <f t="shared" si="1203"/>
        <v>15.481161</v>
      </c>
      <c r="W684" s="6">
        <f t="shared" si="1203"/>
        <v>19.910375999999999</v>
      </c>
      <c r="X684" s="6">
        <f t="shared" si="1203"/>
        <v>26.954936999999997</v>
      </c>
      <c r="Y684" s="6">
        <f t="shared" si="1203"/>
        <v>1.0967579999999999</v>
      </c>
      <c r="Z684" s="6">
        <f t="shared" si="1203"/>
        <v>0</v>
      </c>
      <c r="AA684" s="6">
        <f t="shared" si="1203"/>
        <v>0.33746399999999999</v>
      </c>
      <c r="AB684" s="6">
        <f t="shared" si="1203"/>
        <v>0</v>
      </c>
      <c r="AC684" s="67"/>
      <c r="AD684" s="55"/>
    </row>
    <row r="685" spans="1:30" s="52" customFormat="1">
      <c r="A685" s="96" t="s">
        <v>443</v>
      </c>
      <c r="B685" s="29">
        <f>10124/2</f>
        <v>5062</v>
      </c>
      <c r="C685" s="242">
        <f t="shared" si="1167"/>
        <v>421.83</v>
      </c>
      <c r="D685" s="171">
        <v>0</v>
      </c>
      <c r="E685" s="5"/>
      <c r="F685" s="5"/>
      <c r="G685" s="5"/>
      <c r="H685" s="171">
        <v>0.25040000000000001</v>
      </c>
      <c r="I685" s="5"/>
      <c r="J685" s="5"/>
      <c r="K685" s="5"/>
      <c r="L685" s="5"/>
      <c r="M685" s="5"/>
      <c r="N685" s="5"/>
      <c r="O685" s="5"/>
      <c r="P685" s="5"/>
      <c r="Q685" s="171">
        <v>0.24340000000000001</v>
      </c>
      <c r="R685" s="171">
        <v>0.16009999999999999</v>
      </c>
      <c r="S685" s="171">
        <v>2.7799999999999998E-2</v>
      </c>
      <c r="T685" s="171">
        <v>0</v>
      </c>
      <c r="U685" s="5"/>
      <c r="V685" s="5"/>
      <c r="W685" s="5"/>
      <c r="X685" s="171">
        <v>0.30590000000000001</v>
      </c>
      <c r="Y685" s="171">
        <v>1.24E-2</v>
      </c>
      <c r="Z685" s="5"/>
      <c r="AA685" s="5"/>
      <c r="AB685" s="5"/>
      <c r="AC685" s="67"/>
      <c r="AD685" s="55"/>
    </row>
    <row r="686" spans="1:30" s="52" customFormat="1">
      <c r="A686" s="97"/>
      <c r="B686" s="12"/>
      <c r="C686" s="242"/>
      <c r="D686" s="6">
        <f t="shared" ref="D686" si="1204">$C685*D685</f>
        <v>0</v>
      </c>
      <c r="E686" s="6">
        <f t="shared" ref="E686" si="1205">$C685*E685</f>
        <v>0</v>
      </c>
      <c r="F686" s="6">
        <f t="shared" ref="F686:O686" si="1206">$C685*F685</f>
        <v>0</v>
      </c>
      <c r="G686" s="6">
        <f t="shared" si="1206"/>
        <v>0</v>
      </c>
      <c r="H686" s="6">
        <f t="shared" si="1206"/>
        <v>105.626232</v>
      </c>
      <c r="I686" s="6">
        <f t="shared" si="1206"/>
        <v>0</v>
      </c>
      <c r="J686" s="6">
        <f t="shared" si="1206"/>
        <v>0</v>
      </c>
      <c r="K686" s="6">
        <f t="shared" si="1206"/>
        <v>0</v>
      </c>
      <c r="L686" s="6">
        <f t="shared" si="1206"/>
        <v>0</v>
      </c>
      <c r="M686" s="6">
        <f t="shared" si="1206"/>
        <v>0</v>
      </c>
      <c r="N686" s="6">
        <f t="shared" si="1206"/>
        <v>0</v>
      </c>
      <c r="O686" s="6">
        <f t="shared" si="1206"/>
        <v>0</v>
      </c>
      <c r="P686" s="6">
        <f t="shared" ref="P686" si="1207">$C685*P685</f>
        <v>0</v>
      </c>
      <c r="Q686" s="6">
        <f t="shared" ref="Q686" si="1208">$C685*Q685</f>
        <v>102.673422</v>
      </c>
      <c r="R686" s="6">
        <f t="shared" ref="R686:AB686" si="1209">$C685*R685</f>
        <v>67.534982999999997</v>
      </c>
      <c r="S686" s="6">
        <f t="shared" si="1209"/>
        <v>11.726873999999999</v>
      </c>
      <c r="T686" s="6">
        <f t="shared" si="1209"/>
        <v>0</v>
      </c>
      <c r="U686" s="6">
        <f t="shared" si="1209"/>
        <v>0</v>
      </c>
      <c r="V686" s="6">
        <f t="shared" si="1209"/>
        <v>0</v>
      </c>
      <c r="W686" s="6">
        <f t="shared" si="1209"/>
        <v>0</v>
      </c>
      <c r="X686" s="6">
        <f t="shared" si="1209"/>
        <v>129.03779699999998</v>
      </c>
      <c r="Y686" s="6">
        <f t="shared" si="1209"/>
        <v>5.2306919999999995</v>
      </c>
      <c r="Z686" s="6">
        <f t="shared" si="1209"/>
        <v>0</v>
      </c>
      <c r="AA686" s="6">
        <f t="shared" si="1209"/>
        <v>0</v>
      </c>
      <c r="AB686" s="6">
        <f t="shared" si="1209"/>
        <v>0</v>
      </c>
      <c r="AC686" s="67"/>
      <c r="AD686" s="55"/>
    </row>
    <row r="687" spans="1:30" s="53" customFormat="1" ht="13.35" customHeight="1">
      <c r="A687" s="96" t="s">
        <v>122</v>
      </c>
      <c r="B687" s="18">
        <v>1488654</v>
      </c>
      <c r="C687" s="242">
        <f t="shared" si="1167"/>
        <v>124054.5</v>
      </c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>
        <v>0.16900000000000001</v>
      </c>
      <c r="V687" s="40"/>
      <c r="W687" s="40">
        <v>0.77590000000000003</v>
      </c>
      <c r="X687" s="40">
        <v>5.1299999999999998E-2</v>
      </c>
      <c r="Y687" s="40">
        <v>1.9E-3</v>
      </c>
      <c r="Z687" s="40">
        <v>1.9E-3</v>
      </c>
      <c r="AA687" s="40">
        <v>0</v>
      </c>
      <c r="AB687" s="40">
        <v>0</v>
      </c>
      <c r="AC687" s="67"/>
      <c r="AD687" s="55"/>
    </row>
    <row r="688" spans="1:30" s="53" customFormat="1" ht="13.35" customHeight="1">
      <c r="A688" s="97"/>
      <c r="B688" s="12"/>
      <c r="C688" s="242"/>
      <c r="D688" s="39">
        <f t="shared" ref="D688" si="1210">$C687*D687</f>
        <v>0</v>
      </c>
      <c r="E688" s="39">
        <f t="shared" ref="E688" si="1211">$C687*E687</f>
        <v>0</v>
      </c>
      <c r="F688" s="39">
        <f t="shared" ref="F688:AB688" si="1212">$C687*F687</f>
        <v>0</v>
      </c>
      <c r="G688" s="39">
        <f t="shared" si="1212"/>
        <v>0</v>
      </c>
      <c r="H688" s="39">
        <f t="shared" si="1212"/>
        <v>0</v>
      </c>
      <c r="I688" s="39">
        <f t="shared" si="1212"/>
        <v>0</v>
      </c>
      <c r="J688" s="39">
        <f t="shared" si="1212"/>
        <v>0</v>
      </c>
      <c r="K688" s="39">
        <f t="shared" si="1212"/>
        <v>0</v>
      </c>
      <c r="L688" s="39">
        <f t="shared" si="1212"/>
        <v>0</v>
      </c>
      <c r="M688" s="39">
        <f t="shared" si="1212"/>
        <v>0</v>
      </c>
      <c r="N688" s="39">
        <f t="shared" si="1212"/>
        <v>0</v>
      </c>
      <c r="O688" s="39">
        <f t="shared" si="1212"/>
        <v>0</v>
      </c>
      <c r="P688" s="39">
        <f t="shared" si="1212"/>
        <v>0</v>
      </c>
      <c r="Q688" s="39">
        <f t="shared" si="1212"/>
        <v>0</v>
      </c>
      <c r="R688" s="39">
        <f t="shared" si="1212"/>
        <v>0</v>
      </c>
      <c r="S688" s="39">
        <f t="shared" si="1212"/>
        <v>0</v>
      </c>
      <c r="T688" s="39">
        <f t="shared" si="1212"/>
        <v>0</v>
      </c>
      <c r="U688" s="39">
        <f t="shared" si="1212"/>
        <v>20965.210500000001</v>
      </c>
      <c r="V688" s="39">
        <f t="shared" si="1212"/>
        <v>0</v>
      </c>
      <c r="W688" s="39">
        <f t="shared" si="1212"/>
        <v>96253.88655000001</v>
      </c>
      <c r="X688" s="39">
        <f t="shared" si="1212"/>
        <v>6363.9958500000002</v>
      </c>
      <c r="Y688" s="39">
        <f t="shared" si="1212"/>
        <v>235.70355000000001</v>
      </c>
      <c r="Z688" s="39">
        <f t="shared" si="1212"/>
        <v>235.70355000000001</v>
      </c>
      <c r="AA688" s="39">
        <f t="shared" si="1212"/>
        <v>0</v>
      </c>
      <c r="AB688" s="39">
        <f t="shared" si="1212"/>
        <v>0</v>
      </c>
      <c r="AC688" s="67"/>
      <c r="AD688" s="55"/>
    </row>
    <row r="689" spans="1:30" s="53" customFormat="1" ht="13.35" customHeight="1">
      <c r="A689" s="96" t="s">
        <v>123</v>
      </c>
      <c r="B689" s="167">
        <v>327162</v>
      </c>
      <c r="C689" s="242">
        <f t="shared" si="1167"/>
        <v>27263.5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>
        <v>9.5500000000000002E-2</v>
      </c>
      <c r="V689" s="5"/>
      <c r="W689" s="5">
        <v>0.90449999999999997</v>
      </c>
      <c r="X689" s="5"/>
      <c r="Y689" s="5"/>
      <c r="Z689" s="5"/>
      <c r="AA689" s="5"/>
      <c r="AB689" s="5"/>
      <c r="AC689" s="67"/>
      <c r="AD689" s="55"/>
    </row>
    <row r="690" spans="1:30" s="53" customFormat="1" ht="13.35" customHeight="1">
      <c r="A690" s="97"/>
      <c r="B690" s="12"/>
      <c r="C690" s="242"/>
      <c r="D690" s="6">
        <f t="shared" ref="D690" si="1213">$C689*D689</f>
        <v>0</v>
      </c>
      <c r="E690" s="6">
        <f t="shared" ref="E690" si="1214">$C689*E689</f>
        <v>0</v>
      </c>
      <c r="F690" s="6">
        <f t="shared" ref="F690:AB690" si="1215">$C689*F689</f>
        <v>0</v>
      </c>
      <c r="G690" s="6">
        <f t="shared" si="1215"/>
        <v>0</v>
      </c>
      <c r="H690" s="6">
        <f t="shared" si="1215"/>
        <v>0</v>
      </c>
      <c r="I690" s="6">
        <f t="shared" si="1215"/>
        <v>0</v>
      </c>
      <c r="J690" s="6">
        <f t="shared" si="1215"/>
        <v>0</v>
      </c>
      <c r="K690" s="6">
        <f t="shared" si="1215"/>
        <v>0</v>
      </c>
      <c r="L690" s="6">
        <f t="shared" si="1215"/>
        <v>0</v>
      </c>
      <c r="M690" s="6">
        <f t="shared" si="1215"/>
        <v>0</v>
      </c>
      <c r="N690" s="6">
        <f t="shared" si="1215"/>
        <v>0</v>
      </c>
      <c r="O690" s="6">
        <f t="shared" si="1215"/>
        <v>0</v>
      </c>
      <c r="P690" s="6">
        <f t="shared" si="1215"/>
        <v>0</v>
      </c>
      <c r="Q690" s="6">
        <f t="shared" si="1215"/>
        <v>0</v>
      </c>
      <c r="R690" s="6">
        <f t="shared" si="1215"/>
        <v>0</v>
      </c>
      <c r="S690" s="6">
        <f t="shared" si="1215"/>
        <v>0</v>
      </c>
      <c r="T690" s="6">
        <f t="shared" si="1215"/>
        <v>0</v>
      </c>
      <c r="U690" s="6">
        <f t="shared" si="1215"/>
        <v>2603.6642500000003</v>
      </c>
      <c r="V690" s="6">
        <f t="shared" si="1215"/>
        <v>0</v>
      </c>
      <c r="W690" s="6">
        <f t="shared" si="1215"/>
        <v>24659.835749999998</v>
      </c>
      <c r="X690" s="6">
        <f t="shared" si="1215"/>
        <v>0</v>
      </c>
      <c r="Y690" s="6">
        <f t="shared" si="1215"/>
        <v>0</v>
      </c>
      <c r="Z690" s="6">
        <f t="shared" si="1215"/>
        <v>0</v>
      </c>
      <c r="AA690" s="6">
        <f t="shared" si="1215"/>
        <v>0</v>
      </c>
      <c r="AB690" s="6">
        <f t="shared" si="1215"/>
        <v>0</v>
      </c>
      <c r="AC690" s="67"/>
      <c r="AD690" s="55"/>
    </row>
    <row r="691" spans="1:30" s="53" customFormat="1" ht="13.35" customHeight="1">
      <c r="A691" s="96" t="s">
        <v>124</v>
      </c>
      <c r="B691" s="167">
        <v>2016535</v>
      </c>
      <c r="C691" s="242">
        <f t="shared" si="1167"/>
        <v>168044.58</v>
      </c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>
        <v>4.5499999999999999E-2</v>
      </c>
      <c r="R691" s="40"/>
      <c r="S691" s="40">
        <v>3.7000000000000002E-3</v>
      </c>
      <c r="T691" s="40">
        <v>1.7899999999999999E-2</v>
      </c>
      <c r="U691" s="40">
        <v>3.3E-3</v>
      </c>
      <c r="V691" s="40"/>
      <c r="W691" s="40">
        <v>0.86629999999999996</v>
      </c>
      <c r="X691" s="40">
        <v>5.9299999999999999E-2</v>
      </c>
      <c r="Y691" s="40">
        <v>2.2000000000000001E-3</v>
      </c>
      <c r="Z691" s="40">
        <v>1.8E-3</v>
      </c>
      <c r="AA691" s="40">
        <v>0</v>
      </c>
      <c r="AB691" s="40">
        <v>0</v>
      </c>
      <c r="AC691" s="67"/>
      <c r="AD691" s="55"/>
    </row>
    <row r="692" spans="1:30" s="53" customFormat="1" ht="13.35" customHeight="1">
      <c r="A692" s="97"/>
      <c r="B692" s="12"/>
      <c r="C692" s="242"/>
      <c r="D692" s="39">
        <f t="shared" ref="D692" si="1216">$C691*D691</f>
        <v>0</v>
      </c>
      <c r="E692" s="39">
        <f t="shared" ref="E692" si="1217">$C691*E691</f>
        <v>0</v>
      </c>
      <c r="F692" s="39">
        <f t="shared" ref="F692:AB692" si="1218">$C691*F691</f>
        <v>0</v>
      </c>
      <c r="G692" s="39">
        <f t="shared" si="1218"/>
        <v>0</v>
      </c>
      <c r="H692" s="39">
        <f t="shared" si="1218"/>
        <v>0</v>
      </c>
      <c r="I692" s="39">
        <f t="shared" si="1218"/>
        <v>0</v>
      </c>
      <c r="J692" s="39">
        <f t="shared" si="1218"/>
        <v>0</v>
      </c>
      <c r="K692" s="39">
        <f t="shared" si="1218"/>
        <v>0</v>
      </c>
      <c r="L692" s="39">
        <f t="shared" si="1218"/>
        <v>0</v>
      </c>
      <c r="M692" s="39">
        <f t="shared" si="1218"/>
        <v>0</v>
      </c>
      <c r="N692" s="39">
        <f t="shared" si="1218"/>
        <v>0</v>
      </c>
      <c r="O692" s="39">
        <f t="shared" si="1218"/>
        <v>0</v>
      </c>
      <c r="P692" s="39">
        <f t="shared" si="1218"/>
        <v>0</v>
      </c>
      <c r="Q692" s="39">
        <f t="shared" si="1218"/>
        <v>7646.0283899999995</v>
      </c>
      <c r="R692" s="39">
        <f t="shared" si="1218"/>
        <v>0</v>
      </c>
      <c r="S692" s="39">
        <f t="shared" si="1218"/>
        <v>621.76494600000001</v>
      </c>
      <c r="T692" s="39">
        <f t="shared" si="1218"/>
        <v>3007.9979819999999</v>
      </c>
      <c r="U692" s="39">
        <f t="shared" si="1218"/>
        <v>554.54711399999997</v>
      </c>
      <c r="V692" s="39">
        <f t="shared" si="1218"/>
        <v>0</v>
      </c>
      <c r="W692" s="39">
        <f t="shared" si="1218"/>
        <v>145577.01965399997</v>
      </c>
      <c r="X692" s="39">
        <f t="shared" si="1218"/>
        <v>9965.0435939999988</v>
      </c>
      <c r="Y692" s="39">
        <f t="shared" si="1218"/>
        <v>369.69807600000001</v>
      </c>
      <c r="Z692" s="39">
        <f t="shared" si="1218"/>
        <v>302.48024399999997</v>
      </c>
      <c r="AA692" s="39">
        <f t="shared" si="1218"/>
        <v>0</v>
      </c>
      <c r="AB692" s="39">
        <f t="shared" si="1218"/>
        <v>0</v>
      </c>
      <c r="AC692" s="67"/>
      <c r="AD692" s="55"/>
    </row>
    <row r="693" spans="1:30" s="53" customFormat="1" ht="13.35" customHeight="1">
      <c r="A693" s="96" t="s">
        <v>389</v>
      </c>
      <c r="B693" s="167">
        <v>944183</v>
      </c>
      <c r="C693" s="242">
        <f t="shared" si="1167"/>
        <v>78681.919999999998</v>
      </c>
      <c r="D693" s="40">
        <v>1.0999999999999999E-2</v>
      </c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>
        <v>3.7000000000000002E-3</v>
      </c>
      <c r="Q693" s="40">
        <v>9.6100000000000005E-2</v>
      </c>
      <c r="R693" s="40">
        <v>0.19420000000000001</v>
      </c>
      <c r="S693" s="40">
        <v>7.4999999999999997E-3</v>
      </c>
      <c r="T693" s="40">
        <v>6.0100000000000001E-2</v>
      </c>
      <c r="U693" s="40"/>
      <c r="V693" s="40"/>
      <c r="W693" s="40">
        <v>0.50570000000000004</v>
      </c>
      <c r="X693" s="40">
        <v>0.1135</v>
      </c>
      <c r="Y693" s="40">
        <v>4.4999999999999997E-3</v>
      </c>
      <c r="Z693" s="40">
        <v>3.7000000000000002E-3</v>
      </c>
      <c r="AA693" s="40"/>
      <c r="AB693" s="40"/>
      <c r="AC693" s="67"/>
      <c r="AD693" s="55"/>
    </row>
    <row r="694" spans="1:30" s="53" customFormat="1" ht="13.35" customHeight="1">
      <c r="A694" s="97"/>
      <c r="B694" s="12"/>
      <c r="C694" s="242"/>
      <c r="D694" s="39">
        <f t="shared" ref="D694" si="1219">$C693*D693</f>
        <v>865.5011199999999</v>
      </c>
      <c r="E694" s="39">
        <f t="shared" ref="E694" si="1220">$C693*E693</f>
        <v>0</v>
      </c>
      <c r="F694" s="39">
        <f t="shared" ref="F694:O694" si="1221">$C693*F693</f>
        <v>0</v>
      </c>
      <c r="G694" s="39">
        <f t="shared" si="1221"/>
        <v>0</v>
      </c>
      <c r="H694" s="39">
        <f t="shared" si="1221"/>
        <v>0</v>
      </c>
      <c r="I694" s="39">
        <f t="shared" si="1221"/>
        <v>0</v>
      </c>
      <c r="J694" s="39">
        <f t="shared" si="1221"/>
        <v>0</v>
      </c>
      <c r="K694" s="39">
        <f t="shared" si="1221"/>
        <v>0</v>
      </c>
      <c r="L694" s="39">
        <f t="shared" si="1221"/>
        <v>0</v>
      </c>
      <c r="M694" s="39">
        <f t="shared" si="1221"/>
        <v>0</v>
      </c>
      <c r="N694" s="39">
        <f t="shared" si="1221"/>
        <v>0</v>
      </c>
      <c r="O694" s="39">
        <f t="shared" si="1221"/>
        <v>0</v>
      </c>
      <c r="P694" s="39">
        <f t="shared" ref="P694" si="1222">$C693*P693</f>
        <v>291.12310400000001</v>
      </c>
      <c r="Q694" s="39">
        <f t="shared" ref="Q694" si="1223">$C693*Q693</f>
        <v>7561.332512</v>
      </c>
      <c r="R694" s="39">
        <f t="shared" ref="R694:AB694" si="1224">$C693*R693</f>
        <v>15280.028864</v>
      </c>
      <c r="S694" s="39">
        <f t="shared" si="1224"/>
        <v>590.11439999999993</v>
      </c>
      <c r="T694" s="39">
        <f t="shared" si="1224"/>
        <v>4728.7833920000003</v>
      </c>
      <c r="U694" s="39">
        <f t="shared" si="1224"/>
        <v>0</v>
      </c>
      <c r="V694" s="39">
        <f t="shared" si="1224"/>
        <v>0</v>
      </c>
      <c r="W694" s="39">
        <f t="shared" si="1224"/>
        <v>39789.446944000003</v>
      </c>
      <c r="X694" s="39">
        <f t="shared" si="1224"/>
        <v>8930.3979199999994</v>
      </c>
      <c r="Y694" s="39">
        <f t="shared" si="1224"/>
        <v>354.06863999999996</v>
      </c>
      <c r="Z694" s="39">
        <f t="shared" si="1224"/>
        <v>291.12310400000001</v>
      </c>
      <c r="AA694" s="39">
        <f t="shared" si="1224"/>
        <v>0</v>
      </c>
      <c r="AB694" s="39">
        <f t="shared" si="1224"/>
        <v>0</v>
      </c>
      <c r="AC694" s="67"/>
      <c r="AD694" s="55"/>
    </row>
    <row r="695" spans="1:30" s="53" customFormat="1" ht="13.35" customHeight="1">
      <c r="A695" s="96" t="s">
        <v>390</v>
      </c>
      <c r="B695" s="29">
        <f>3999246/2</f>
        <v>1999623</v>
      </c>
      <c r="C695" s="242">
        <f t="shared" si="1167"/>
        <v>166635.25</v>
      </c>
      <c r="D695" s="170">
        <v>1.6500000000000001E-2</v>
      </c>
      <c r="E695" s="170">
        <v>0.1368</v>
      </c>
      <c r="F695" s="170">
        <v>5.7599999999999998E-2</v>
      </c>
      <c r="G695" s="170">
        <v>8.0399999999999999E-2</v>
      </c>
      <c r="H695" s="170">
        <v>4.1099999999999998E-2</v>
      </c>
      <c r="I695" s="170">
        <v>0.13389999999999999</v>
      </c>
      <c r="J695" s="170">
        <v>2.12E-2</v>
      </c>
      <c r="K695" s="170">
        <v>3.2500000000000001E-2</v>
      </c>
      <c r="L695" s="170">
        <v>1.7100000000000001E-2</v>
      </c>
      <c r="M695" s="170">
        <v>2.5999999999999999E-2</v>
      </c>
      <c r="N695" s="170">
        <v>0.13320000000000001</v>
      </c>
      <c r="O695" s="170">
        <v>1.89E-2</v>
      </c>
      <c r="P695" s="170">
        <v>0</v>
      </c>
      <c r="Q695" s="170">
        <v>3.8600000000000002E-2</v>
      </c>
      <c r="R695" s="170">
        <v>1.9E-2</v>
      </c>
      <c r="S695" s="170">
        <v>4.1999999999999997E-3</v>
      </c>
      <c r="T695" s="170">
        <v>5.3999999999999999E-2</v>
      </c>
      <c r="U695" s="170">
        <v>1.78E-2</v>
      </c>
      <c r="V695" s="170">
        <v>3.6700000000000003E-2</v>
      </c>
      <c r="W695" s="170">
        <v>4.7199999999999999E-2</v>
      </c>
      <c r="X695" s="170">
        <v>6.3899999999999998E-2</v>
      </c>
      <c r="Y695" s="170">
        <v>2.5999999999999999E-3</v>
      </c>
      <c r="Z695" s="171">
        <v>0</v>
      </c>
      <c r="AA695" s="171">
        <v>8.0000000000000004E-4</v>
      </c>
      <c r="AB695" s="171">
        <v>0</v>
      </c>
      <c r="AC695" s="67"/>
      <c r="AD695" s="55"/>
    </row>
    <row r="696" spans="1:30" s="53" customFormat="1" ht="13.35" customHeight="1">
      <c r="A696" s="97"/>
      <c r="B696" s="30"/>
      <c r="C696" s="242"/>
      <c r="D696" s="6">
        <f t="shared" ref="D696" si="1225">$C695*D695</f>
        <v>2749.4816250000003</v>
      </c>
      <c r="E696" s="6">
        <f t="shared" ref="E696" si="1226">$C695*E695</f>
        <v>22795.7022</v>
      </c>
      <c r="F696" s="6">
        <f t="shared" ref="F696:O696" si="1227">$C695*F695</f>
        <v>9598.1903999999995</v>
      </c>
      <c r="G696" s="6">
        <f t="shared" si="1227"/>
        <v>13397.474099999999</v>
      </c>
      <c r="H696" s="6">
        <f t="shared" si="1227"/>
        <v>6848.7087750000001</v>
      </c>
      <c r="I696" s="6">
        <f t="shared" si="1227"/>
        <v>22312.459974999998</v>
      </c>
      <c r="J696" s="6">
        <f t="shared" si="1227"/>
        <v>3532.6673000000001</v>
      </c>
      <c r="K696" s="6">
        <f t="shared" si="1227"/>
        <v>5415.6456250000001</v>
      </c>
      <c r="L696" s="6">
        <f t="shared" si="1227"/>
        <v>2849.462775</v>
      </c>
      <c r="M696" s="6">
        <f t="shared" si="1227"/>
        <v>4332.5164999999997</v>
      </c>
      <c r="N696" s="6">
        <f t="shared" si="1227"/>
        <v>22195.815300000002</v>
      </c>
      <c r="O696" s="6">
        <f t="shared" si="1227"/>
        <v>3149.4062250000002</v>
      </c>
      <c r="P696" s="6">
        <f t="shared" ref="P696" si="1228">$C695*P695</f>
        <v>0</v>
      </c>
      <c r="Q696" s="6">
        <f t="shared" ref="Q696" si="1229">$C695*Q695</f>
        <v>6432.1206500000008</v>
      </c>
      <c r="R696" s="6">
        <f t="shared" ref="R696:AB696" si="1230">$C695*R695</f>
        <v>3166.0697500000001</v>
      </c>
      <c r="S696" s="6">
        <f t="shared" si="1230"/>
        <v>699.86804999999993</v>
      </c>
      <c r="T696" s="6">
        <f t="shared" si="1230"/>
        <v>8998.3035</v>
      </c>
      <c r="U696" s="6">
        <f t="shared" si="1230"/>
        <v>2966.10745</v>
      </c>
      <c r="V696" s="6">
        <f t="shared" si="1230"/>
        <v>6115.5136750000001</v>
      </c>
      <c r="W696" s="6">
        <f t="shared" si="1230"/>
        <v>7865.1837999999998</v>
      </c>
      <c r="X696" s="6">
        <f t="shared" si="1230"/>
        <v>10647.992474999999</v>
      </c>
      <c r="Y696" s="6">
        <f t="shared" si="1230"/>
        <v>433.25164999999998</v>
      </c>
      <c r="Z696" s="6">
        <f t="shared" si="1230"/>
        <v>0</v>
      </c>
      <c r="AA696" s="6">
        <f t="shared" si="1230"/>
        <v>133.3082</v>
      </c>
      <c r="AB696" s="6">
        <f t="shared" si="1230"/>
        <v>0</v>
      </c>
      <c r="AC696" s="67"/>
      <c r="AD696" s="55"/>
    </row>
    <row r="697" spans="1:30" s="52" customFormat="1">
      <c r="A697" s="96" t="s">
        <v>444</v>
      </c>
      <c r="B697" s="29">
        <f>3999246/2</f>
        <v>1999623</v>
      </c>
      <c r="C697" s="242">
        <f t="shared" si="1167"/>
        <v>166635.25</v>
      </c>
      <c r="D697" s="5"/>
      <c r="E697" s="5"/>
      <c r="F697" s="5"/>
      <c r="G697" s="5"/>
      <c r="H697" s="171">
        <v>0.24310000000000001</v>
      </c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171">
        <v>0.75690000000000002</v>
      </c>
      <c r="X697" s="5"/>
      <c r="Y697" s="5"/>
      <c r="Z697" s="5"/>
      <c r="AA697" s="5"/>
      <c r="AB697" s="5"/>
      <c r="AC697" s="67"/>
      <c r="AD697" s="55"/>
    </row>
    <row r="698" spans="1:30" s="52" customFormat="1">
      <c r="A698" s="97"/>
      <c r="B698" s="12"/>
      <c r="C698" s="242"/>
      <c r="D698" s="6">
        <f t="shared" ref="D698" si="1231">$C697*D697</f>
        <v>0</v>
      </c>
      <c r="E698" s="6">
        <f t="shared" ref="E698" si="1232">$C697*E697</f>
        <v>0</v>
      </c>
      <c r="F698" s="6">
        <f t="shared" ref="F698:O698" si="1233">$C697*F697</f>
        <v>0</v>
      </c>
      <c r="G698" s="6">
        <f t="shared" si="1233"/>
        <v>0</v>
      </c>
      <c r="H698" s="6">
        <f t="shared" si="1233"/>
        <v>40509.029275000001</v>
      </c>
      <c r="I698" s="6">
        <f t="shared" si="1233"/>
        <v>0</v>
      </c>
      <c r="J698" s="6">
        <f t="shared" si="1233"/>
        <v>0</v>
      </c>
      <c r="K698" s="6">
        <f t="shared" si="1233"/>
        <v>0</v>
      </c>
      <c r="L698" s="6">
        <f t="shared" si="1233"/>
        <v>0</v>
      </c>
      <c r="M698" s="6">
        <f t="shared" si="1233"/>
        <v>0</v>
      </c>
      <c r="N698" s="6">
        <f t="shared" si="1233"/>
        <v>0</v>
      </c>
      <c r="O698" s="6">
        <f t="shared" si="1233"/>
        <v>0</v>
      </c>
      <c r="P698" s="6">
        <f t="shared" ref="P698" si="1234">$C697*P697</f>
        <v>0</v>
      </c>
      <c r="Q698" s="6">
        <f t="shared" ref="Q698" si="1235">$C697*Q697</f>
        <v>0</v>
      </c>
      <c r="R698" s="6">
        <f t="shared" ref="R698:AB698" si="1236">$C697*R697</f>
        <v>0</v>
      </c>
      <c r="S698" s="6">
        <f t="shared" si="1236"/>
        <v>0</v>
      </c>
      <c r="T698" s="6">
        <f t="shared" si="1236"/>
        <v>0</v>
      </c>
      <c r="U698" s="6">
        <f t="shared" si="1236"/>
        <v>0</v>
      </c>
      <c r="V698" s="6">
        <f t="shared" si="1236"/>
        <v>0</v>
      </c>
      <c r="W698" s="6">
        <f t="shared" si="1236"/>
        <v>126126.22072500001</v>
      </c>
      <c r="X698" s="6">
        <f t="shared" si="1236"/>
        <v>0</v>
      </c>
      <c r="Y698" s="6">
        <f t="shared" si="1236"/>
        <v>0</v>
      </c>
      <c r="Z698" s="6">
        <f t="shared" si="1236"/>
        <v>0</v>
      </c>
      <c r="AA698" s="6">
        <f t="shared" si="1236"/>
        <v>0</v>
      </c>
      <c r="AB698" s="6">
        <f t="shared" si="1236"/>
        <v>0</v>
      </c>
      <c r="AC698" s="67"/>
      <c r="AD698" s="55"/>
    </row>
    <row r="699" spans="1:30" s="53" customFormat="1" ht="13.35" customHeight="1">
      <c r="A699" s="96" t="s">
        <v>391</v>
      </c>
      <c r="B699" s="167">
        <f>1441619/2</f>
        <v>720809.5</v>
      </c>
      <c r="C699" s="242">
        <f t="shared" si="1167"/>
        <v>60067.46</v>
      </c>
      <c r="D699" s="170">
        <v>1.6500000000000001E-2</v>
      </c>
      <c r="E699" s="170">
        <v>0.1368</v>
      </c>
      <c r="F699" s="170">
        <v>5.7599999999999998E-2</v>
      </c>
      <c r="G699" s="170">
        <v>8.0399999999999999E-2</v>
      </c>
      <c r="H699" s="170">
        <v>4.1099999999999998E-2</v>
      </c>
      <c r="I699" s="170">
        <v>0.13389999999999999</v>
      </c>
      <c r="J699" s="170">
        <v>2.12E-2</v>
      </c>
      <c r="K699" s="170">
        <v>3.2500000000000001E-2</v>
      </c>
      <c r="L699" s="170">
        <v>1.7100000000000001E-2</v>
      </c>
      <c r="M699" s="170">
        <v>2.5999999999999999E-2</v>
      </c>
      <c r="N699" s="170">
        <v>0.13320000000000001</v>
      </c>
      <c r="O699" s="170">
        <v>1.89E-2</v>
      </c>
      <c r="P699" s="170">
        <v>0</v>
      </c>
      <c r="Q699" s="170">
        <v>3.8600000000000002E-2</v>
      </c>
      <c r="R699" s="170">
        <v>1.9E-2</v>
      </c>
      <c r="S699" s="170">
        <v>4.1999999999999997E-3</v>
      </c>
      <c r="T699" s="170">
        <v>5.3999999999999999E-2</v>
      </c>
      <c r="U699" s="170">
        <v>1.78E-2</v>
      </c>
      <c r="V699" s="170">
        <v>3.6700000000000003E-2</v>
      </c>
      <c r="W699" s="170">
        <v>4.7199999999999999E-2</v>
      </c>
      <c r="X699" s="170">
        <v>6.3899999999999998E-2</v>
      </c>
      <c r="Y699" s="170">
        <v>2.5999999999999999E-3</v>
      </c>
      <c r="Z699" s="171">
        <v>0</v>
      </c>
      <c r="AA699" s="171">
        <v>8.0000000000000004E-4</v>
      </c>
      <c r="AB699" s="171">
        <v>0</v>
      </c>
      <c r="AC699" s="67"/>
      <c r="AD699" s="55"/>
    </row>
    <row r="700" spans="1:30" s="53" customFormat="1" ht="13.35" customHeight="1">
      <c r="A700" s="97"/>
      <c r="B700" s="12"/>
      <c r="C700" s="242"/>
      <c r="D700" s="6">
        <f t="shared" ref="D700" si="1237">$C699*D699</f>
        <v>991.11309000000006</v>
      </c>
      <c r="E700" s="6">
        <f t="shared" ref="E700" si="1238">$C699*E699</f>
        <v>8217.2285279999996</v>
      </c>
      <c r="F700" s="6">
        <f t="shared" ref="F700:O700" si="1239">$C699*F699</f>
        <v>3459.8856959999998</v>
      </c>
      <c r="G700" s="6">
        <f t="shared" si="1239"/>
        <v>4829.4237839999996</v>
      </c>
      <c r="H700" s="6">
        <f t="shared" si="1239"/>
        <v>2468.772606</v>
      </c>
      <c r="I700" s="6">
        <f t="shared" si="1239"/>
        <v>8043.032893999999</v>
      </c>
      <c r="J700" s="6">
        <f t="shared" si="1239"/>
        <v>1273.4301519999999</v>
      </c>
      <c r="K700" s="6">
        <f t="shared" si="1239"/>
        <v>1952.19245</v>
      </c>
      <c r="L700" s="6">
        <f t="shared" si="1239"/>
        <v>1027.153566</v>
      </c>
      <c r="M700" s="6">
        <f t="shared" si="1239"/>
        <v>1561.75396</v>
      </c>
      <c r="N700" s="6">
        <f t="shared" si="1239"/>
        <v>8000.9856720000007</v>
      </c>
      <c r="O700" s="6">
        <f t="shared" si="1239"/>
        <v>1135.2749939999999</v>
      </c>
      <c r="P700" s="6">
        <f t="shared" ref="P700" si="1240">$C699*P699</f>
        <v>0</v>
      </c>
      <c r="Q700" s="6">
        <f t="shared" ref="Q700" si="1241">$C699*Q699</f>
        <v>2318.6039559999999</v>
      </c>
      <c r="R700" s="6">
        <f t="shared" ref="R700:AB700" si="1242">$C699*R699</f>
        <v>1141.2817399999999</v>
      </c>
      <c r="S700" s="6">
        <f t="shared" si="1242"/>
        <v>252.28333199999997</v>
      </c>
      <c r="T700" s="6">
        <f t="shared" si="1242"/>
        <v>3243.64284</v>
      </c>
      <c r="U700" s="6">
        <f t="shared" si="1242"/>
        <v>1069.2007879999999</v>
      </c>
      <c r="V700" s="6">
        <f t="shared" si="1242"/>
        <v>2204.475782</v>
      </c>
      <c r="W700" s="6">
        <f t="shared" si="1242"/>
        <v>2835.1841119999999</v>
      </c>
      <c r="X700" s="6">
        <f t="shared" si="1242"/>
        <v>3838.3106939999998</v>
      </c>
      <c r="Y700" s="6">
        <f t="shared" si="1242"/>
        <v>156.17539599999998</v>
      </c>
      <c r="Z700" s="6">
        <f t="shared" si="1242"/>
        <v>0</v>
      </c>
      <c r="AA700" s="6">
        <f t="shared" si="1242"/>
        <v>48.053968000000005</v>
      </c>
      <c r="AB700" s="6">
        <f t="shared" si="1242"/>
        <v>0</v>
      </c>
      <c r="AC700" s="67"/>
      <c r="AD700" s="55"/>
    </row>
    <row r="701" spans="1:30" s="53" customFormat="1" ht="13.35" customHeight="1">
      <c r="A701" s="96" t="s">
        <v>396</v>
      </c>
      <c r="B701" s="167">
        <f>1441619/2</f>
        <v>720809.5</v>
      </c>
      <c r="C701" s="242">
        <f t="shared" si="1167"/>
        <v>60067.46</v>
      </c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>
        <v>1</v>
      </c>
      <c r="X701" s="5"/>
      <c r="Y701" s="5"/>
      <c r="Z701" s="5"/>
      <c r="AA701" s="5"/>
      <c r="AB701" s="5"/>
      <c r="AC701" s="67"/>
      <c r="AD701" s="55"/>
    </row>
    <row r="702" spans="1:30" s="53" customFormat="1" ht="13.35" customHeight="1">
      <c r="A702" s="97"/>
      <c r="B702" s="12"/>
      <c r="C702" s="242"/>
      <c r="D702" s="6">
        <f t="shared" ref="D702" si="1243">$C701*D701</f>
        <v>0</v>
      </c>
      <c r="E702" s="6">
        <f t="shared" ref="E702" si="1244">$C701*E701</f>
        <v>0</v>
      </c>
      <c r="F702" s="6">
        <f t="shared" ref="F702:O702" si="1245">$C701*F701</f>
        <v>0</v>
      </c>
      <c r="G702" s="6">
        <f t="shared" si="1245"/>
        <v>0</v>
      </c>
      <c r="H702" s="6">
        <f t="shared" si="1245"/>
        <v>0</v>
      </c>
      <c r="I702" s="6">
        <f t="shared" si="1245"/>
        <v>0</v>
      </c>
      <c r="J702" s="6">
        <f t="shared" si="1245"/>
        <v>0</v>
      </c>
      <c r="K702" s="6">
        <f t="shared" si="1245"/>
        <v>0</v>
      </c>
      <c r="L702" s="6">
        <f t="shared" si="1245"/>
        <v>0</v>
      </c>
      <c r="M702" s="6">
        <f t="shared" si="1245"/>
        <v>0</v>
      </c>
      <c r="N702" s="6">
        <f t="shared" si="1245"/>
        <v>0</v>
      </c>
      <c r="O702" s="6">
        <f t="shared" si="1245"/>
        <v>0</v>
      </c>
      <c r="P702" s="6">
        <f t="shared" ref="P702" si="1246">$C701*P701</f>
        <v>0</v>
      </c>
      <c r="Q702" s="6">
        <f t="shared" ref="Q702" si="1247">$C701*Q701</f>
        <v>0</v>
      </c>
      <c r="R702" s="6">
        <f t="shared" ref="R702:AB702" si="1248">$C701*R701</f>
        <v>0</v>
      </c>
      <c r="S702" s="6">
        <f t="shared" si="1248"/>
        <v>0</v>
      </c>
      <c r="T702" s="6">
        <f t="shared" si="1248"/>
        <v>0</v>
      </c>
      <c r="U702" s="6">
        <f t="shared" si="1248"/>
        <v>0</v>
      </c>
      <c r="V702" s="6">
        <f t="shared" si="1248"/>
        <v>0</v>
      </c>
      <c r="W702" s="6">
        <f t="shared" si="1248"/>
        <v>60067.46</v>
      </c>
      <c r="X702" s="6">
        <f t="shared" si="1248"/>
        <v>0</v>
      </c>
      <c r="Y702" s="6">
        <f t="shared" si="1248"/>
        <v>0</v>
      </c>
      <c r="Z702" s="6">
        <f t="shared" si="1248"/>
        <v>0</v>
      </c>
      <c r="AA702" s="6">
        <f t="shared" si="1248"/>
        <v>0</v>
      </c>
      <c r="AB702" s="6">
        <f t="shared" si="1248"/>
        <v>0</v>
      </c>
      <c r="AC702" s="67"/>
      <c r="AD702" s="55"/>
    </row>
    <row r="703" spans="1:30" s="53" customFormat="1" ht="13.35" customHeight="1">
      <c r="A703" s="96" t="s">
        <v>491</v>
      </c>
      <c r="B703" s="167">
        <f>1361193/2</f>
        <v>680596.5</v>
      </c>
      <c r="C703" s="242">
        <f t="shared" si="1167"/>
        <v>56716.38</v>
      </c>
      <c r="D703" s="170">
        <v>1.6500000000000001E-2</v>
      </c>
      <c r="E703" s="170">
        <v>0.1368</v>
      </c>
      <c r="F703" s="170">
        <v>5.7599999999999998E-2</v>
      </c>
      <c r="G703" s="170">
        <v>8.0399999999999999E-2</v>
      </c>
      <c r="H703" s="170">
        <v>4.1099999999999998E-2</v>
      </c>
      <c r="I703" s="170">
        <v>0.13389999999999999</v>
      </c>
      <c r="J703" s="170">
        <v>2.12E-2</v>
      </c>
      <c r="K703" s="170">
        <v>3.2500000000000001E-2</v>
      </c>
      <c r="L703" s="170">
        <v>1.7100000000000001E-2</v>
      </c>
      <c r="M703" s="170">
        <v>2.5999999999999999E-2</v>
      </c>
      <c r="N703" s="170">
        <v>0.13320000000000001</v>
      </c>
      <c r="O703" s="170">
        <v>1.89E-2</v>
      </c>
      <c r="P703" s="170">
        <v>0</v>
      </c>
      <c r="Q703" s="170">
        <v>3.8600000000000002E-2</v>
      </c>
      <c r="R703" s="170">
        <v>1.9E-2</v>
      </c>
      <c r="S703" s="170">
        <v>4.1999999999999997E-3</v>
      </c>
      <c r="T703" s="170">
        <v>5.3999999999999999E-2</v>
      </c>
      <c r="U703" s="170">
        <v>1.78E-2</v>
      </c>
      <c r="V703" s="170">
        <v>3.6700000000000003E-2</v>
      </c>
      <c r="W703" s="170">
        <v>4.7199999999999999E-2</v>
      </c>
      <c r="X703" s="170">
        <v>6.3899999999999998E-2</v>
      </c>
      <c r="Y703" s="170">
        <v>2.5999999999999999E-3</v>
      </c>
      <c r="Z703" s="171">
        <v>0</v>
      </c>
      <c r="AA703" s="171">
        <v>8.0000000000000004E-4</v>
      </c>
      <c r="AB703" s="171">
        <v>0</v>
      </c>
      <c r="AC703" s="67"/>
      <c r="AD703" s="55"/>
    </row>
    <row r="704" spans="1:30" s="53" customFormat="1" ht="13.35" customHeight="1">
      <c r="A704" s="97"/>
      <c r="B704" s="12"/>
      <c r="C704" s="242"/>
      <c r="D704" s="6">
        <f t="shared" ref="D704" si="1249">$C703*D703</f>
        <v>935.82027000000005</v>
      </c>
      <c r="E704" s="6">
        <f t="shared" ref="E704" si="1250">$C703*E703</f>
        <v>7758.800784</v>
      </c>
      <c r="F704" s="6">
        <f t="shared" ref="F704:O704" si="1251">$C703*F703</f>
        <v>3266.863488</v>
      </c>
      <c r="G704" s="6">
        <f t="shared" si="1251"/>
        <v>4559.9969519999995</v>
      </c>
      <c r="H704" s="6">
        <f t="shared" si="1251"/>
        <v>2331.0432179999998</v>
      </c>
      <c r="I704" s="6">
        <f t="shared" si="1251"/>
        <v>7594.3232819999994</v>
      </c>
      <c r="J704" s="6">
        <f t="shared" si="1251"/>
        <v>1202.387256</v>
      </c>
      <c r="K704" s="6">
        <f t="shared" si="1251"/>
        <v>1843.28235</v>
      </c>
      <c r="L704" s="6">
        <f t="shared" si="1251"/>
        <v>969.850098</v>
      </c>
      <c r="M704" s="6">
        <f t="shared" si="1251"/>
        <v>1474.6258799999998</v>
      </c>
      <c r="N704" s="6">
        <f t="shared" si="1251"/>
        <v>7554.6218160000008</v>
      </c>
      <c r="O704" s="6">
        <f t="shared" si="1251"/>
        <v>1071.939582</v>
      </c>
      <c r="P704" s="6">
        <f t="shared" ref="P704" si="1252">$C703*P703</f>
        <v>0</v>
      </c>
      <c r="Q704" s="6">
        <f t="shared" ref="Q704" si="1253">$C703*Q703</f>
        <v>2189.2522680000002</v>
      </c>
      <c r="R704" s="6">
        <f t="shared" ref="R704:AB704" si="1254">$C703*R703</f>
        <v>1077.61122</v>
      </c>
      <c r="S704" s="6">
        <f t="shared" si="1254"/>
        <v>238.20879599999998</v>
      </c>
      <c r="T704" s="6">
        <f t="shared" si="1254"/>
        <v>3062.6845199999998</v>
      </c>
      <c r="U704" s="6">
        <f t="shared" si="1254"/>
        <v>1009.551564</v>
      </c>
      <c r="V704" s="6">
        <f t="shared" si="1254"/>
        <v>2081.4911460000003</v>
      </c>
      <c r="W704" s="6">
        <f t="shared" si="1254"/>
        <v>2677.013136</v>
      </c>
      <c r="X704" s="6">
        <f t="shared" si="1254"/>
        <v>3624.1766819999998</v>
      </c>
      <c r="Y704" s="6">
        <f t="shared" si="1254"/>
        <v>147.46258799999998</v>
      </c>
      <c r="Z704" s="6">
        <f t="shared" si="1254"/>
        <v>0</v>
      </c>
      <c r="AA704" s="6">
        <f t="shared" si="1254"/>
        <v>45.373103999999998</v>
      </c>
      <c r="AB704" s="6">
        <f t="shared" si="1254"/>
        <v>0</v>
      </c>
      <c r="AC704" s="67"/>
      <c r="AD704" s="55"/>
    </row>
    <row r="705" spans="1:30" s="53" customFormat="1" ht="13.35" customHeight="1">
      <c r="A705" s="96" t="s">
        <v>492</v>
      </c>
      <c r="B705" s="167">
        <f>1361193/2</f>
        <v>680596.5</v>
      </c>
      <c r="C705" s="242">
        <f t="shared" si="1167"/>
        <v>56716.38</v>
      </c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>
        <v>1</v>
      </c>
      <c r="X705" s="5"/>
      <c r="Y705" s="5"/>
      <c r="Z705" s="5"/>
      <c r="AA705" s="5"/>
      <c r="AB705" s="5"/>
      <c r="AC705" s="67"/>
      <c r="AD705" s="55"/>
    </row>
    <row r="706" spans="1:30" s="53" customFormat="1" ht="13.35" customHeight="1">
      <c r="A706" s="97"/>
      <c r="B706" s="12"/>
      <c r="C706" s="242"/>
      <c r="D706" s="6">
        <f t="shared" ref="D706" si="1255">$C705*D705</f>
        <v>0</v>
      </c>
      <c r="E706" s="6">
        <f t="shared" ref="E706" si="1256">$C705*E705</f>
        <v>0</v>
      </c>
      <c r="F706" s="6">
        <f t="shared" ref="F706:O706" si="1257">$C705*F705</f>
        <v>0</v>
      </c>
      <c r="G706" s="6">
        <f t="shared" si="1257"/>
        <v>0</v>
      </c>
      <c r="H706" s="6">
        <f t="shared" si="1257"/>
        <v>0</v>
      </c>
      <c r="I706" s="6">
        <f t="shared" si="1257"/>
        <v>0</v>
      </c>
      <c r="J706" s="6">
        <f t="shared" si="1257"/>
        <v>0</v>
      </c>
      <c r="K706" s="6">
        <f t="shared" si="1257"/>
        <v>0</v>
      </c>
      <c r="L706" s="6">
        <f t="shared" si="1257"/>
        <v>0</v>
      </c>
      <c r="M706" s="6">
        <f t="shared" si="1257"/>
        <v>0</v>
      </c>
      <c r="N706" s="6">
        <f t="shared" si="1257"/>
        <v>0</v>
      </c>
      <c r="O706" s="6">
        <f t="shared" si="1257"/>
        <v>0</v>
      </c>
      <c r="P706" s="6">
        <f t="shared" ref="P706" si="1258">$C705*P705</f>
        <v>0</v>
      </c>
      <c r="Q706" s="6">
        <f t="shared" ref="Q706" si="1259">$C705*Q705</f>
        <v>0</v>
      </c>
      <c r="R706" s="6">
        <f t="shared" ref="R706:AB706" si="1260">$C705*R705</f>
        <v>0</v>
      </c>
      <c r="S706" s="6">
        <f t="shared" si="1260"/>
        <v>0</v>
      </c>
      <c r="T706" s="6">
        <f t="shared" si="1260"/>
        <v>0</v>
      </c>
      <c r="U706" s="6">
        <f t="shared" si="1260"/>
        <v>0</v>
      </c>
      <c r="V706" s="6">
        <f t="shared" si="1260"/>
        <v>0</v>
      </c>
      <c r="W706" s="6">
        <f t="shared" si="1260"/>
        <v>56716.38</v>
      </c>
      <c r="X706" s="6">
        <f t="shared" si="1260"/>
        <v>0</v>
      </c>
      <c r="Y706" s="6">
        <f t="shared" si="1260"/>
        <v>0</v>
      </c>
      <c r="Z706" s="6">
        <f t="shared" si="1260"/>
        <v>0</v>
      </c>
      <c r="AA706" s="6">
        <f t="shared" si="1260"/>
        <v>0</v>
      </c>
      <c r="AB706" s="6">
        <f t="shared" si="1260"/>
        <v>0</v>
      </c>
      <c r="AC706" s="67"/>
      <c r="AD706" s="55"/>
    </row>
    <row r="707" spans="1:30" s="53" customFormat="1" ht="13.35" customHeight="1">
      <c r="A707" s="96" t="s">
        <v>490</v>
      </c>
      <c r="B707" s="167">
        <f>1649844/2</f>
        <v>824922</v>
      </c>
      <c r="C707" s="242">
        <f t="shared" si="1167"/>
        <v>68743.5</v>
      </c>
      <c r="D707" s="170">
        <v>1.6500000000000001E-2</v>
      </c>
      <c r="E707" s="170">
        <v>0.1368</v>
      </c>
      <c r="F707" s="170">
        <v>5.7599999999999998E-2</v>
      </c>
      <c r="G707" s="170">
        <v>8.0399999999999999E-2</v>
      </c>
      <c r="H707" s="170">
        <v>4.1099999999999998E-2</v>
      </c>
      <c r="I707" s="170">
        <v>0.13389999999999999</v>
      </c>
      <c r="J707" s="170">
        <v>2.12E-2</v>
      </c>
      <c r="K707" s="170">
        <v>3.2500000000000001E-2</v>
      </c>
      <c r="L707" s="170">
        <v>1.7100000000000001E-2</v>
      </c>
      <c r="M707" s="170">
        <v>2.5999999999999999E-2</v>
      </c>
      <c r="N707" s="170">
        <v>0.13320000000000001</v>
      </c>
      <c r="O707" s="170">
        <v>1.89E-2</v>
      </c>
      <c r="P707" s="170">
        <v>0</v>
      </c>
      <c r="Q707" s="170">
        <v>3.8600000000000002E-2</v>
      </c>
      <c r="R707" s="170">
        <v>1.9E-2</v>
      </c>
      <c r="S707" s="170">
        <v>4.1999999999999997E-3</v>
      </c>
      <c r="T707" s="170">
        <v>5.3999999999999999E-2</v>
      </c>
      <c r="U707" s="170">
        <v>1.78E-2</v>
      </c>
      <c r="V707" s="170">
        <v>3.6700000000000003E-2</v>
      </c>
      <c r="W707" s="170">
        <v>4.7199999999999999E-2</v>
      </c>
      <c r="X707" s="170">
        <v>6.3899999999999998E-2</v>
      </c>
      <c r="Y707" s="170">
        <v>2.5999999999999999E-3</v>
      </c>
      <c r="Z707" s="171">
        <v>0</v>
      </c>
      <c r="AA707" s="171">
        <v>8.0000000000000004E-4</v>
      </c>
      <c r="AB707" s="171">
        <v>0</v>
      </c>
      <c r="AC707" s="67"/>
      <c r="AD707" s="55"/>
    </row>
    <row r="708" spans="1:30" s="53" customFormat="1" ht="13.35" customHeight="1">
      <c r="A708" s="97"/>
      <c r="B708" s="12"/>
      <c r="C708" s="242"/>
      <c r="D708" s="6">
        <f t="shared" ref="D708" si="1261">$C707*D707</f>
        <v>1134.26775</v>
      </c>
      <c r="E708" s="6">
        <f t="shared" ref="E708" si="1262">$C707*E707</f>
        <v>9404.1108000000004</v>
      </c>
      <c r="F708" s="6">
        <f t="shared" ref="F708:O708" si="1263">$C707*F707</f>
        <v>3959.6255999999998</v>
      </c>
      <c r="G708" s="6">
        <f t="shared" si="1263"/>
        <v>5526.9773999999998</v>
      </c>
      <c r="H708" s="6">
        <f t="shared" si="1263"/>
        <v>2825.3578499999999</v>
      </c>
      <c r="I708" s="6">
        <f t="shared" si="1263"/>
        <v>9204.7546499999989</v>
      </c>
      <c r="J708" s="6">
        <f t="shared" si="1263"/>
        <v>1457.3622</v>
      </c>
      <c r="K708" s="6">
        <f t="shared" si="1263"/>
        <v>2234.1637500000002</v>
      </c>
      <c r="L708" s="6">
        <f t="shared" si="1263"/>
        <v>1175.51385</v>
      </c>
      <c r="M708" s="6">
        <f t="shared" si="1263"/>
        <v>1787.3309999999999</v>
      </c>
      <c r="N708" s="6">
        <f t="shared" si="1263"/>
        <v>9156.6342000000004</v>
      </c>
      <c r="O708" s="6">
        <f t="shared" si="1263"/>
        <v>1299.25215</v>
      </c>
      <c r="P708" s="6">
        <f t="shared" ref="P708" si="1264">$C707*P707</f>
        <v>0</v>
      </c>
      <c r="Q708" s="6">
        <f t="shared" ref="Q708" si="1265">$C707*Q707</f>
        <v>2653.4991</v>
      </c>
      <c r="R708" s="6">
        <f t="shared" ref="R708:AB708" si="1266">$C707*R707</f>
        <v>1306.1265000000001</v>
      </c>
      <c r="S708" s="6">
        <f t="shared" si="1266"/>
        <v>288.72269999999997</v>
      </c>
      <c r="T708" s="6">
        <f t="shared" si="1266"/>
        <v>3712.1489999999999</v>
      </c>
      <c r="U708" s="6">
        <f t="shared" si="1266"/>
        <v>1223.6342999999999</v>
      </c>
      <c r="V708" s="6">
        <f t="shared" si="1266"/>
        <v>2522.8864500000004</v>
      </c>
      <c r="W708" s="6">
        <f t="shared" si="1266"/>
        <v>3244.6931999999997</v>
      </c>
      <c r="X708" s="6">
        <f t="shared" si="1266"/>
        <v>4392.7096499999998</v>
      </c>
      <c r="Y708" s="6">
        <f t="shared" si="1266"/>
        <v>178.73309999999998</v>
      </c>
      <c r="Z708" s="6">
        <f t="shared" si="1266"/>
        <v>0</v>
      </c>
      <c r="AA708" s="6">
        <f t="shared" si="1266"/>
        <v>54.994800000000005</v>
      </c>
      <c r="AB708" s="6">
        <f t="shared" si="1266"/>
        <v>0</v>
      </c>
      <c r="AC708" s="67"/>
      <c r="AD708" s="55"/>
    </row>
    <row r="709" spans="1:30" s="53" customFormat="1" ht="13.35" customHeight="1">
      <c r="A709" s="96" t="s">
        <v>523</v>
      </c>
      <c r="B709" s="167">
        <f>1649844/2</f>
        <v>824922</v>
      </c>
      <c r="C709" s="242">
        <f t="shared" si="1167"/>
        <v>68743.5</v>
      </c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>
        <v>1</v>
      </c>
      <c r="X709" s="5"/>
      <c r="Y709" s="5"/>
      <c r="Z709" s="5"/>
      <c r="AA709" s="5"/>
      <c r="AB709" s="5"/>
      <c r="AC709" s="67"/>
      <c r="AD709" s="55"/>
    </row>
    <row r="710" spans="1:30" s="53" customFormat="1" ht="13.35" customHeight="1">
      <c r="A710" s="97"/>
      <c r="B710" s="12"/>
      <c r="C710" s="242"/>
      <c r="D710" s="6">
        <f t="shared" ref="D710" si="1267">$C709*D709</f>
        <v>0</v>
      </c>
      <c r="E710" s="6">
        <f t="shared" ref="E710" si="1268">$C709*E709</f>
        <v>0</v>
      </c>
      <c r="F710" s="6">
        <f t="shared" ref="F710:O710" si="1269">$C709*F709</f>
        <v>0</v>
      </c>
      <c r="G710" s="6">
        <f t="shared" si="1269"/>
        <v>0</v>
      </c>
      <c r="H710" s="6">
        <f t="shared" si="1269"/>
        <v>0</v>
      </c>
      <c r="I710" s="6">
        <f t="shared" si="1269"/>
        <v>0</v>
      </c>
      <c r="J710" s="6">
        <f t="shared" si="1269"/>
        <v>0</v>
      </c>
      <c r="K710" s="6">
        <f t="shared" si="1269"/>
        <v>0</v>
      </c>
      <c r="L710" s="6">
        <f t="shared" si="1269"/>
        <v>0</v>
      </c>
      <c r="M710" s="6">
        <f t="shared" si="1269"/>
        <v>0</v>
      </c>
      <c r="N710" s="6">
        <f t="shared" si="1269"/>
        <v>0</v>
      </c>
      <c r="O710" s="6">
        <f t="shared" si="1269"/>
        <v>0</v>
      </c>
      <c r="P710" s="6">
        <f t="shared" ref="P710" si="1270">$C709*P709</f>
        <v>0</v>
      </c>
      <c r="Q710" s="6">
        <f t="shared" ref="Q710" si="1271">$C709*Q709</f>
        <v>0</v>
      </c>
      <c r="R710" s="6">
        <f t="shared" ref="R710:AB710" si="1272">$C709*R709</f>
        <v>0</v>
      </c>
      <c r="S710" s="6">
        <f t="shared" si="1272"/>
        <v>0</v>
      </c>
      <c r="T710" s="6">
        <f t="shared" si="1272"/>
        <v>0</v>
      </c>
      <c r="U710" s="6">
        <f t="shared" si="1272"/>
        <v>0</v>
      </c>
      <c r="V710" s="6">
        <f t="shared" si="1272"/>
        <v>0</v>
      </c>
      <c r="W710" s="6">
        <f t="shared" si="1272"/>
        <v>68743.5</v>
      </c>
      <c r="X710" s="6">
        <f t="shared" si="1272"/>
        <v>0</v>
      </c>
      <c r="Y710" s="6">
        <f t="shared" si="1272"/>
        <v>0</v>
      </c>
      <c r="Z710" s="6">
        <f t="shared" si="1272"/>
        <v>0</v>
      </c>
      <c r="AA710" s="6">
        <f t="shared" si="1272"/>
        <v>0</v>
      </c>
      <c r="AB710" s="6">
        <f t="shared" si="1272"/>
        <v>0</v>
      </c>
      <c r="AC710" s="67"/>
      <c r="AD710" s="55"/>
    </row>
    <row r="711" spans="1:30" s="53" customFormat="1" ht="13.35" customHeight="1">
      <c r="A711" s="96" t="s">
        <v>527</v>
      </c>
      <c r="B711" s="167">
        <v>65162</v>
      </c>
      <c r="C711" s="242">
        <f t="shared" si="1167"/>
        <v>5430.17</v>
      </c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71">
        <v>0.72850000000000004</v>
      </c>
      <c r="V711" s="5"/>
      <c r="W711" s="171">
        <v>0.27150000000000002</v>
      </c>
      <c r="X711" s="5"/>
      <c r="Y711" s="5"/>
      <c r="Z711" s="5"/>
      <c r="AA711" s="5"/>
      <c r="AB711" s="5"/>
      <c r="AC711" s="67"/>
      <c r="AD711" s="55"/>
    </row>
    <row r="712" spans="1:30" s="53" customFormat="1" ht="13.35" customHeight="1">
      <c r="A712" s="97"/>
      <c r="B712" s="12"/>
      <c r="C712" s="242"/>
      <c r="D712" s="6">
        <f t="shared" ref="D712" si="1273">$C711*D711</f>
        <v>0</v>
      </c>
      <c r="E712" s="6">
        <f t="shared" ref="E712" si="1274">$C711*E711</f>
        <v>0</v>
      </c>
      <c r="F712" s="6">
        <f t="shared" ref="F712:O712" si="1275">$C711*F711</f>
        <v>0</v>
      </c>
      <c r="G712" s="6">
        <f t="shared" si="1275"/>
        <v>0</v>
      </c>
      <c r="H712" s="6">
        <f t="shared" si="1275"/>
        <v>0</v>
      </c>
      <c r="I712" s="6">
        <f t="shared" si="1275"/>
        <v>0</v>
      </c>
      <c r="J712" s="6">
        <f t="shared" si="1275"/>
        <v>0</v>
      </c>
      <c r="K712" s="6">
        <f t="shared" si="1275"/>
        <v>0</v>
      </c>
      <c r="L712" s="6">
        <f t="shared" si="1275"/>
        <v>0</v>
      </c>
      <c r="M712" s="6">
        <f t="shared" si="1275"/>
        <v>0</v>
      </c>
      <c r="N712" s="6">
        <f t="shared" si="1275"/>
        <v>0</v>
      </c>
      <c r="O712" s="6">
        <f t="shared" si="1275"/>
        <v>0</v>
      </c>
      <c r="P712" s="6">
        <f t="shared" ref="P712" si="1276">$C711*P711</f>
        <v>0</v>
      </c>
      <c r="Q712" s="6">
        <f t="shared" ref="Q712" si="1277">$C711*Q711</f>
        <v>0</v>
      </c>
      <c r="R712" s="6">
        <f t="shared" ref="R712:AB712" si="1278">$C711*R711</f>
        <v>0</v>
      </c>
      <c r="S712" s="6">
        <f t="shared" si="1278"/>
        <v>0</v>
      </c>
      <c r="T712" s="6">
        <f t="shared" si="1278"/>
        <v>0</v>
      </c>
      <c r="U712" s="6">
        <f t="shared" si="1278"/>
        <v>3955.8788450000002</v>
      </c>
      <c r="V712" s="6">
        <f t="shared" si="1278"/>
        <v>0</v>
      </c>
      <c r="W712" s="6">
        <f t="shared" si="1278"/>
        <v>1474.2911550000001</v>
      </c>
      <c r="X712" s="6">
        <f t="shared" si="1278"/>
        <v>0</v>
      </c>
      <c r="Y712" s="6">
        <f t="shared" si="1278"/>
        <v>0</v>
      </c>
      <c r="Z712" s="6">
        <f t="shared" si="1278"/>
        <v>0</v>
      </c>
      <c r="AA712" s="6">
        <f t="shared" si="1278"/>
        <v>0</v>
      </c>
      <c r="AB712" s="6">
        <f t="shared" si="1278"/>
        <v>0</v>
      </c>
      <c r="AC712" s="67"/>
      <c r="AD712" s="55"/>
    </row>
    <row r="713" spans="1:30" s="53" customFormat="1">
      <c r="A713" s="16" t="s">
        <v>50</v>
      </c>
      <c r="B713" s="9">
        <f>SUM(B671:B711)</f>
        <v>75823130</v>
      </c>
      <c r="C713" s="237">
        <f>SUM(C671:C711)</f>
        <v>6318594.1899999995</v>
      </c>
      <c r="D713" s="9">
        <f>D672+D674+D676+D678+D680+D682+D684+D686+D688+D690+D692+D694+D696+D698+D700+D702+D704+D708+D706+D710+D712</f>
        <v>49694.83716399999</v>
      </c>
      <c r="E713" s="9">
        <f t="shared" ref="E713" si="1279">E672+E674+E676+E678+E680+E682+E684+E686+E688+E690+E692+E694+E696+E698+E700+E702+E704+E708+E706+E710+E712</f>
        <v>404594.17516800005</v>
      </c>
      <c r="F713" s="9">
        <f t="shared" ref="F713" si="1280">F672+F674+F676+F678+F680+F682+F684+F686+F688+F690+F692+F694+F696+F698+F700+F702+F704+F708+F706+F710+F712</f>
        <v>170355.44217600001</v>
      </c>
      <c r="G713" s="9">
        <f t="shared" ref="G713:AB713" si="1281">G672+G674+G676+G678+G680+G682+G684+G686+G688+G690+G692+G694+G696+G698+G700+G702+G704+G708+G706+G710+G712</f>
        <v>237787.80470399998</v>
      </c>
      <c r="H713" s="9">
        <f t="shared" si="1281"/>
        <v>162170.36164300001</v>
      </c>
      <c r="I713" s="9">
        <f t="shared" si="1281"/>
        <v>396017.25186399999</v>
      </c>
      <c r="J713" s="9">
        <f t="shared" si="1281"/>
        <v>62700.266912000006</v>
      </c>
      <c r="K713" s="9">
        <f t="shared" si="1281"/>
        <v>96120.692200000005</v>
      </c>
      <c r="L713" s="9">
        <f t="shared" si="1281"/>
        <v>50574.271896000006</v>
      </c>
      <c r="M713" s="9">
        <f t="shared" si="1281"/>
        <v>76915.528634000002</v>
      </c>
      <c r="N713" s="9">
        <f t="shared" si="1281"/>
        <v>393946.96003200009</v>
      </c>
      <c r="O713" s="9">
        <f t="shared" si="1281"/>
        <v>55897.879463999991</v>
      </c>
      <c r="P713" s="9">
        <f t="shared" si="1281"/>
        <v>291.12310400000001</v>
      </c>
      <c r="Q713" s="9">
        <f t="shared" si="1281"/>
        <v>971336.28999799991</v>
      </c>
      <c r="R713" s="9">
        <f t="shared" si="1281"/>
        <v>71541.199286999996</v>
      </c>
      <c r="S713" s="9">
        <f t="shared" si="1281"/>
        <v>128253.58343599999</v>
      </c>
      <c r="T713" s="9">
        <f t="shared" si="1281"/>
        <v>167600.14332800003</v>
      </c>
      <c r="U713" s="9">
        <f t="shared" si="1281"/>
        <v>80723.864436999997</v>
      </c>
      <c r="V713" s="9">
        <f t="shared" si="1281"/>
        <v>108542.44319199999</v>
      </c>
      <c r="W713" s="9">
        <f t="shared" si="1281"/>
        <v>759274.40424199996</v>
      </c>
      <c r="X713" s="9">
        <f t="shared" si="1281"/>
        <v>1798589.4153509997</v>
      </c>
      <c r="Y713" s="9">
        <f t="shared" si="1281"/>
        <v>72470.897061999989</v>
      </c>
      <c r="Z713" s="9">
        <f t="shared" si="1281"/>
        <v>829.30689800000005</v>
      </c>
      <c r="AA713" s="9">
        <f t="shared" si="1281"/>
        <v>2366.0478080000003</v>
      </c>
      <c r="AB713" s="9">
        <f t="shared" si="1281"/>
        <v>0</v>
      </c>
      <c r="AC713" s="67"/>
      <c r="AD713" s="55"/>
    </row>
    <row r="714" spans="1:30" s="52" customFormat="1">
      <c r="A714" s="34"/>
      <c r="B714" s="13"/>
      <c r="C714" s="238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67"/>
      <c r="AD714" s="55"/>
    </row>
    <row r="715" spans="1:30" s="52" customFormat="1">
      <c r="A715" s="87"/>
      <c r="B715" s="17"/>
      <c r="C715" s="238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67"/>
      <c r="AD715" s="55"/>
    </row>
    <row r="716" spans="1:30" s="52" customFormat="1" ht="13.8" thickBot="1">
      <c r="A716" s="82" t="s">
        <v>524</v>
      </c>
      <c r="B716" s="127"/>
      <c r="C716" s="234"/>
      <c r="D716" s="127"/>
      <c r="E716" s="127"/>
      <c r="F716" s="127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67"/>
      <c r="AD716" s="55"/>
    </row>
    <row r="717" spans="1:30" s="52" customFormat="1" ht="13.8" thickBot="1">
      <c r="A717" s="113" t="s">
        <v>1</v>
      </c>
      <c r="B717" s="114" t="s">
        <v>2</v>
      </c>
      <c r="C717" s="239" t="s">
        <v>3</v>
      </c>
      <c r="D717" s="263" t="s">
        <v>4</v>
      </c>
      <c r="E717" s="264"/>
      <c r="F717" s="264"/>
      <c r="G717" s="264"/>
      <c r="H717" s="264"/>
      <c r="I717" s="264"/>
      <c r="J717" s="264"/>
      <c r="K717" s="264"/>
      <c r="L717" s="264"/>
      <c r="M717" s="264"/>
      <c r="N717" s="264"/>
      <c r="O717" s="264"/>
      <c r="P717" s="264"/>
      <c r="Q717" s="264"/>
      <c r="R717" s="264"/>
      <c r="S717" s="264"/>
      <c r="T717" s="264"/>
      <c r="U717" s="264"/>
      <c r="V717" s="264"/>
      <c r="W717" s="264"/>
      <c r="X717" s="264"/>
      <c r="Y717" s="264"/>
      <c r="Z717" s="123"/>
      <c r="AA717" s="123"/>
      <c r="AB717" s="123"/>
      <c r="AC717" s="67"/>
      <c r="AD717" s="55"/>
    </row>
    <row r="718" spans="1:30" s="52" customFormat="1">
      <c r="A718" s="115" t="s">
        <v>5</v>
      </c>
      <c r="B718" s="116" t="s">
        <v>6</v>
      </c>
      <c r="C718" s="240" t="s">
        <v>6</v>
      </c>
      <c r="D718" s="11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9"/>
      <c r="Z718" s="116" t="s">
        <v>7</v>
      </c>
      <c r="AA718" s="116"/>
      <c r="AB718" s="116"/>
      <c r="AC718" s="67"/>
      <c r="AD718" s="55"/>
    </row>
    <row r="719" spans="1:30" s="52" customFormat="1">
      <c r="A719" s="115" t="s">
        <v>8</v>
      </c>
      <c r="B719" s="116" t="s">
        <v>9</v>
      </c>
      <c r="C719" s="240" t="s">
        <v>9</v>
      </c>
      <c r="D719" s="120" t="s">
        <v>10</v>
      </c>
      <c r="E719" s="116" t="s">
        <v>11</v>
      </c>
      <c r="F719" s="116" t="s">
        <v>12</v>
      </c>
      <c r="G719" s="116" t="s">
        <v>13</v>
      </c>
      <c r="H719" s="116" t="s">
        <v>14</v>
      </c>
      <c r="I719" s="116" t="s">
        <v>15</v>
      </c>
      <c r="J719" s="116" t="s">
        <v>16</v>
      </c>
      <c r="K719" s="116" t="s">
        <v>17</v>
      </c>
      <c r="L719" s="116" t="s">
        <v>18</v>
      </c>
      <c r="M719" s="116" t="s">
        <v>19</v>
      </c>
      <c r="N719" s="116" t="s">
        <v>20</v>
      </c>
      <c r="O719" s="116" t="s">
        <v>175</v>
      </c>
      <c r="P719" s="116" t="s">
        <v>21</v>
      </c>
      <c r="Q719" s="116" t="s">
        <v>22</v>
      </c>
      <c r="R719" s="116" t="s">
        <v>23</v>
      </c>
      <c r="S719" s="116" t="s">
        <v>24</v>
      </c>
      <c r="T719" s="116" t="s">
        <v>25</v>
      </c>
      <c r="U719" s="116" t="s">
        <v>26</v>
      </c>
      <c r="V719" s="116" t="s">
        <v>27</v>
      </c>
      <c r="W719" s="116" t="s">
        <v>28</v>
      </c>
      <c r="X719" s="116" t="s">
        <v>29</v>
      </c>
      <c r="Y719" s="116" t="s">
        <v>30</v>
      </c>
      <c r="Z719" s="116" t="s">
        <v>31</v>
      </c>
      <c r="AA719" s="116" t="s">
        <v>493</v>
      </c>
      <c r="AB719" s="116" t="s">
        <v>476</v>
      </c>
      <c r="AC719" s="67"/>
      <c r="AD719" s="55"/>
    </row>
    <row r="720" spans="1:30" s="52" customFormat="1">
      <c r="A720" s="115"/>
      <c r="B720" s="116"/>
      <c r="C720" s="241" t="s">
        <v>638</v>
      </c>
      <c r="D720" s="121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67"/>
      <c r="AD720" s="55"/>
    </row>
    <row r="721" spans="1:30" s="52" customFormat="1">
      <c r="A721" s="96" t="s">
        <v>125</v>
      </c>
      <c r="B721" s="180">
        <v>373352.5</v>
      </c>
      <c r="C721" s="211">
        <f>ROUND(B721/12,2)</f>
        <v>31112.71</v>
      </c>
      <c r="D721" s="170">
        <v>1.6500000000000001E-2</v>
      </c>
      <c r="E721" s="170">
        <v>0.1368</v>
      </c>
      <c r="F721" s="170">
        <v>5.7599999999999998E-2</v>
      </c>
      <c r="G721" s="170">
        <v>8.0399999999999999E-2</v>
      </c>
      <c r="H721" s="170">
        <v>4.1099999999999998E-2</v>
      </c>
      <c r="I721" s="170">
        <v>0.13389999999999999</v>
      </c>
      <c r="J721" s="170">
        <v>2.12E-2</v>
      </c>
      <c r="K721" s="170">
        <v>3.2500000000000001E-2</v>
      </c>
      <c r="L721" s="170">
        <v>1.7100000000000001E-2</v>
      </c>
      <c r="M721" s="170">
        <v>2.5999999999999999E-2</v>
      </c>
      <c r="N721" s="170">
        <v>0.13320000000000001</v>
      </c>
      <c r="O721" s="170">
        <v>1.89E-2</v>
      </c>
      <c r="P721" s="170">
        <v>0</v>
      </c>
      <c r="Q721" s="170">
        <v>3.8600000000000002E-2</v>
      </c>
      <c r="R721" s="170">
        <v>1.9E-2</v>
      </c>
      <c r="S721" s="170">
        <v>4.1999999999999997E-3</v>
      </c>
      <c r="T721" s="170">
        <v>5.3999999999999999E-2</v>
      </c>
      <c r="U721" s="170">
        <v>1.78E-2</v>
      </c>
      <c r="V721" s="170">
        <v>3.6700000000000003E-2</v>
      </c>
      <c r="W721" s="170">
        <v>4.7199999999999999E-2</v>
      </c>
      <c r="X721" s="170">
        <v>6.3899999999999998E-2</v>
      </c>
      <c r="Y721" s="170">
        <v>2.5999999999999999E-3</v>
      </c>
      <c r="Z721" s="171">
        <v>0</v>
      </c>
      <c r="AA721" s="171">
        <v>8.0000000000000004E-4</v>
      </c>
      <c r="AB721" s="171">
        <v>0</v>
      </c>
      <c r="AC721" s="67"/>
      <c r="AD721" s="55"/>
    </row>
    <row r="722" spans="1:30" s="52" customFormat="1">
      <c r="A722" s="97"/>
      <c r="B722" s="30"/>
      <c r="C722" s="211"/>
      <c r="D722" s="6">
        <f>$C721*D721</f>
        <v>513.35971500000005</v>
      </c>
      <c r="E722" s="6">
        <f t="shared" ref="E722" si="1282">$C721*E721</f>
        <v>4256.2187279999998</v>
      </c>
      <c r="F722" s="6">
        <f t="shared" ref="F722" si="1283">$C721*F721</f>
        <v>1792.0920959999999</v>
      </c>
      <c r="G722" s="6">
        <f t="shared" ref="G722:AB722" si="1284">$C721*G721</f>
        <v>2501.4618839999998</v>
      </c>
      <c r="H722" s="6">
        <f t="shared" si="1284"/>
        <v>1278.7323809999998</v>
      </c>
      <c r="I722" s="6">
        <f t="shared" si="1284"/>
        <v>4165.9918689999995</v>
      </c>
      <c r="J722" s="6">
        <f t="shared" si="1284"/>
        <v>659.58945199999994</v>
      </c>
      <c r="K722" s="6">
        <f t="shared" si="1284"/>
        <v>1011.163075</v>
      </c>
      <c r="L722" s="6">
        <f t="shared" si="1284"/>
        <v>532.02734099999998</v>
      </c>
      <c r="M722" s="6">
        <f t="shared" si="1284"/>
        <v>808.93045999999993</v>
      </c>
      <c r="N722" s="6">
        <f t="shared" si="1284"/>
        <v>4144.2129720000003</v>
      </c>
      <c r="O722" s="6">
        <f t="shared" si="1284"/>
        <v>588.03021899999999</v>
      </c>
      <c r="P722" s="6">
        <f t="shared" si="1284"/>
        <v>0</v>
      </c>
      <c r="Q722" s="6">
        <f t="shared" si="1284"/>
        <v>1200.9506060000001</v>
      </c>
      <c r="R722" s="6">
        <f t="shared" si="1284"/>
        <v>591.14148999999998</v>
      </c>
      <c r="S722" s="6">
        <f t="shared" si="1284"/>
        <v>130.67338199999998</v>
      </c>
      <c r="T722" s="6">
        <f t="shared" si="1284"/>
        <v>1680.0863399999998</v>
      </c>
      <c r="U722" s="6">
        <f t="shared" si="1284"/>
        <v>553.80623800000001</v>
      </c>
      <c r="V722" s="6">
        <f t="shared" si="1284"/>
        <v>1141.8364570000001</v>
      </c>
      <c r="W722" s="6">
        <f t="shared" si="1284"/>
        <v>1468.519912</v>
      </c>
      <c r="X722" s="6">
        <f t="shared" si="1284"/>
        <v>1988.102169</v>
      </c>
      <c r="Y722" s="6">
        <f t="shared" si="1284"/>
        <v>80.893045999999998</v>
      </c>
      <c r="Z722" s="6">
        <f t="shared" si="1284"/>
        <v>0</v>
      </c>
      <c r="AA722" s="6">
        <f t="shared" si="1284"/>
        <v>24.890167999999999</v>
      </c>
      <c r="AB722" s="6">
        <f t="shared" si="1284"/>
        <v>0</v>
      </c>
      <c r="AC722" s="67"/>
      <c r="AD722" s="55"/>
    </row>
    <row r="723" spans="1:30" s="52" customFormat="1">
      <c r="A723" s="96" t="s">
        <v>445</v>
      </c>
      <c r="B723" s="203">
        <v>373352.5</v>
      </c>
      <c r="C723" s="211">
        <f t="shared" ref="C723:C785" si="1285">ROUND(B723/12,2)</f>
        <v>31112.71</v>
      </c>
      <c r="D723" s="5"/>
      <c r="E723" s="5">
        <v>1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67"/>
      <c r="AD723" s="55"/>
    </row>
    <row r="724" spans="1:30" s="52" customFormat="1">
      <c r="A724" s="97"/>
      <c r="B724" s="12"/>
      <c r="C724" s="211"/>
      <c r="D724" s="6">
        <f t="shared" ref="D724" si="1286">$C723*D723</f>
        <v>0</v>
      </c>
      <c r="E724" s="6">
        <f t="shared" ref="E724" si="1287">$C723*E723</f>
        <v>31112.71</v>
      </c>
      <c r="F724" s="6">
        <f t="shared" ref="F724:O724" si="1288">$C723*F723</f>
        <v>0</v>
      </c>
      <c r="G724" s="6">
        <f t="shared" si="1288"/>
        <v>0</v>
      </c>
      <c r="H724" s="6">
        <f t="shared" si="1288"/>
        <v>0</v>
      </c>
      <c r="I724" s="6">
        <f t="shared" si="1288"/>
        <v>0</v>
      </c>
      <c r="J724" s="6">
        <f t="shared" si="1288"/>
        <v>0</v>
      </c>
      <c r="K724" s="6">
        <f t="shared" si="1288"/>
        <v>0</v>
      </c>
      <c r="L724" s="6">
        <f t="shared" si="1288"/>
        <v>0</v>
      </c>
      <c r="M724" s="6">
        <f t="shared" si="1288"/>
        <v>0</v>
      </c>
      <c r="N724" s="6">
        <f t="shared" si="1288"/>
        <v>0</v>
      </c>
      <c r="O724" s="6">
        <f t="shared" si="1288"/>
        <v>0</v>
      </c>
      <c r="P724" s="6">
        <f t="shared" ref="P724" si="1289">$C723*P723</f>
        <v>0</v>
      </c>
      <c r="Q724" s="6">
        <f t="shared" ref="Q724" si="1290">$C723*Q723</f>
        <v>0</v>
      </c>
      <c r="R724" s="6">
        <f t="shared" ref="R724:AB724" si="1291">$C723*R723</f>
        <v>0</v>
      </c>
      <c r="S724" s="6">
        <f t="shared" si="1291"/>
        <v>0</v>
      </c>
      <c r="T724" s="6">
        <f t="shared" si="1291"/>
        <v>0</v>
      </c>
      <c r="U724" s="6">
        <f t="shared" si="1291"/>
        <v>0</v>
      </c>
      <c r="V724" s="6">
        <f t="shared" si="1291"/>
        <v>0</v>
      </c>
      <c r="W724" s="6">
        <f t="shared" si="1291"/>
        <v>0</v>
      </c>
      <c r="X724" s="6">
        <f t="shared" si="1291"/>
        <v>0</v>
      </c>
      <c r="Y724" s="6">
        <f t="shared" si="1291"/>
        <v>0</v>
      </c>
      <c r="Z724" s="6">
        <f t="shared" si="1291"/>
        <v>0</v>
      </c>
      <c r="AA724" s="6">
        <f t="shared" si="1291"/>
        <v>0</v>
      </c>
      <c r="AB724" s="6">
        <f t="shared" si="1291"/>
        <v>0</v>
      </c>
      <c r="AC724" s="67"/>
      <c r="AD724" s="55"/>
    </row>
    <row r="725" spans="1:30" s="52" customFormat="1">
      <c r="A725" s="96" t="s">
        <v>126</v>
      </c>
      <c r="B725" s="204">
        <v>1334684</v>
      </c>
      <c r="C725" s="211">
        <f t="shared" si="1285"/>
        <v>111223.67</v>
      </c>
      <c r="D725" s="5"/>
      <c r="E725" s="5">
        <v>0.99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>
        <v>0.01</v>
      </c>
      <c r="W725" s="5"/>
      <c r="X725" s="5"/>
      <c r="Y725" s="5"/>
      <c r="Z725" s="5"/>
      <c r="AA725" s="5"/>
      <c r="AB725" s="5"/>
      <c r="AC725" s="67"/>
      <c r="AD725" s="55"/>
    </row>
    <row r="726" spans="1:30" s="52" customFormat="1">
      <c r="A726" s="97"/>
      <c r="B726" s="30"/>
      <c r="C726" s="211"/>
      <c r="D726" s="6">
        <f t="shared" ref="D726" si="1292">$C725*D725</f>
        <v>0</v>
      </c>
      <c r="E726" s="6">
        <f t="shared" ref="E726" si="1293">$C725*E725</f>
        <v>110111.4333</v>
      </c>
      <c r="F726" s="6">
        <f t="shared" ref="F726:O726" si="1294">$C725*F725</f>
        <v>0</v>
      </c>
      <c r="G726" s="6">
        <f t="shared" si="1294"/>
        <v>0</v>
      </c>
      <c r="H726" s="6">
        <f t="shared" si="1294"/>
        <v>0</v>
      </c>
      <c r="I726" s="6">
        <f t="shared" si="1294"/>
        <v>0</v>
      </c>
      <c r="J726" s="6">
        <f t="shared" si="1294"/>
        <v>0</v>
      </c>
      <c r="K726" s="6">
        <f t="shared" si="1294"/>
        <v>0</v>
      </c>
      <c r="L726" s="6">
        <f t="shared" si="1294"/>
        <v>0</v>
      </c>
      <c r="M726" s="6">
        <f t="shared" si="1294"/>
        <v>0</v>
      </c>
      <c r="N726" s="6">
        <f t="shared" si="1294"/>
        <v>0</v>
      </c>
      <c r="O726" s="6">
        <f t="shared" si="1294"/>
        <v>0</v>
      </c>
      <c r="P726" s="6">
        <f t="shared" ref="P726" si="1295">$C725*P725</f>
        <v>0</v>
      </c>
      <c r="Q726" s="6">
        <f t="shared" ref="Q726" si="1296">$C725*Q725</f>
        <v>0</v>
      </c>
      <c r="R726" s="6">
        <f t="shared" ref="R726:AB726" si="1297">$C725*R725</f>
        <v>0</v>
      </c>
      <c r="S726" s="6">
        <f t="shared" si="1297"/>
        <v>0</v>
      </c>
      <c r="T726" s="6">
        <f t="shared" si="1297"/>
        <v>0</v>
      </c>
      <c r="U726" s="6">
        <f t="shared" si="1297"/>
        <v>0</v>
      </c>
      <c r="V726" s="6">
        <f t="shared" si="1297"/>
        <v>1112.2366999999999</v>
      </c>
      <c r="W726" s="6">
        <f t="shared" si="1297"/>
        <v>0</v>
      </c>
      <c r="X726" s="6">
        <f t="shared" si="1297"/>
        <v>0</v>
      </c>
      <c r="Y726" s="6">
        <f t="shared" si="1297"/>
        <v>0</v>
      </c>
      <c r="Z726" s="6">
        <f t="shared" si="1297"/>
        <v>0</v>
      </c>
      <c r="AA726" s="6">
        <f t="shared" si="1297"/>
        <v>0</v>
      </c>
      <c r="AB726" s="6">
        <f t="shared" si="1297"/>
        <v>0</v>
      </c>
      <c r="AC726" s="67"/>
      <c r="AD726" s="55"/>
    </row>
    <row r="727" spans="1:30" s="52" customFormat="1">
      <c r="A727" s="96" t="s">
        <v>127</v>
      </c>
      <c r="B727" s="180">
        <v>940149</v>
      </c>
      <c r="C727" s="211">
        <f t="shared" si="1285"/>
        <v>78345.75</v>
      </c>
      <c r="D727" s="5"/>
      <c r="E727" s="5">
        <v>0.99729999999999996</v>
      </c>
      <c r="F727" s="5"/>
      <c r="G727" s="5"/>
      <c r="H727" s="5"/>
      <c r="I727" s="5"/>
      <c r="J727" s="5">
        <v>2.7000000000000001E-3</v>
      </c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67"/>
      <c r="AD727" s="55"/>
    </row>
    <row r="728" spans="1:30" s="52" customFormat="1">
      <c r="A728" s="97"/>
      <c r="B728" s="30"/>
      <c r="C728" s="211"/>
      <c r="D728" s="6">
        <f t="shared" ref="D728" si="1298">$C727*D727</f>
        <v>0</v>
      </c>
      <c r="E728" s="6">
        <f t="shared" ref="E728" si="1299">$C727*E727</f>
        <v>78134.216474999994</v>
      </c>
      <c r="F728" s="6">
        <f t="shared" ref="F728:O728" si="1300">$C727*F727</f>
        <v>0</v>
      </c>
      <c r="G728" s="6">
        <f t="shared" si="1300"/>
        <v>0</v>
      </c>
      <c r="H728" s="6">
        <f t="shared" si="1300"/>
        <v>0</v>
      </c>
      <c r="I728" s="6">
        <f t="shared" si="1300"/>
        <v>0</v>
      </c>
      <c r="J728" s="6">
        <f t="shared" si="1300"/>
        <v>211.533525</v>
      </c>
      <c r="K728" s="6">
        <f t="shared" si="1300"/>
        <v>0</v>
      </c>
      <c r="L728" s="6">
        <f t="shared" si="1300"/>
        <v>0</v>
      </c>
      <c r="M728" s="6">
        <f t="shared" si="1300"/>
        <v>0</v>
      </c>
      <c r="N728" s="6">
        <f t="shared" si="1300"/>
        <v>0</v>
      </c>
      <c r="O728" s="6">
        <f t="shared" si="1300"/>
        <v>0</v>
      </c>
      <c r="P728" s="6">
        <f t="shared" ref="P728" si="1301">$C727*P727</f>
        <v>0</v>
      </c>
      <c r="Q728" s="6">
        <f t="shared" ref="Q728" si="1302">$C727*Q727</f>
        <v>0</v>
      </c>
      <c r="R728" s="6">
        <f t="shared" ref="R728:AB728" si="1303">$C727*R727</f>
        <v>0</v>
      </c>
      <c r="S728" s="6">
        <f t="shared" si="1303"/>
        <v>0</v>
      </c>
      <c r="T728" s="6">
        <f t="shared" si="1303"/>
        <v>0</v>
      </c>
      <c r="U728" s="6">
        <f t="shared" si="1303"/>
        <v>0</v>
      </c>
      <c r="V728" s="6">
        <f t="shared" si="1303"/>
        <v>0</v>
      </c>
      <c r="W728" s="6">
        <f t="shared" si="1303"/>
        <v>0</v>
      </c>
      <c r="X728" s="6">
        <f t="shared" si="1303"/>
        <v>0</v>
      </c>
      <c r="Y728" s="6">
        <f t="shared" si="1303"/>
        <v>0</v>
      </c>
      <c r="Z728" s="6">
        <f t="shared" si="1303"/>
        <v>0</v>
      </c>
      <c r="AA728" s="6">
        <f t="shared" si="1303"/>
        <v>0</v>
      </c>
      <c r="AB728" s="6">
        <f t="shared" si="1303"/>
        <v>0</v>
      </c>
      <c r="AC728" s="67"/>
      <c r="AD728" s="55"/>
    </row>
    <row r="729" spans="1:30" s="52" customFormat="1">
      <c r="A729" s="96" t="s">
        <v>128</v>
      </c>
      <c r="B729" s="180">
        <v>1426856</v>
      </c>
      <c r="C729" s="211">
        <f t="shared" si="1285"/>
        <v>118904.67</v>
      </c>
      <c r="D729" s="5"/>
      <c r="E729" s="5">
        <v>0.96689999999999998</v>
      </c>
      <c r="F729" s="5"/>
      <c r="G729" s="5"/>
      <c r="H729" s="5"/>
      <c r="I729" s="5"/>
      <c r="J729" s="5">
        <v>3.3099999999999997E-2</v>
      </c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67"/>
      <c r="AD729" s="55"/>
    </row>
    <row r="730" spans="1:30" s="52" customFormat="1">
      <c r="A730" s="97"/>
      <c r="B730" s="30"/>
      <c r="C730" s="211"/>
      <c r="D730" s="6">
        <f t="shared" ref="D730" si="1304">$C729*D729</f>
        <v>0</v>
      </c>
      <c r="E730" s="6">
        <f t="shared" ref="E730" si="1305">$C729*E729</f>
        <v>114968.92542299999</v>
      </c>
      <c r="F730" s="6">
        <f t="shared" ref="F730:O730" si="1306">$C729*F729</f>
        <v>0</v>
      </c>
      <c r="G730" s="6">
        <f t="shared" si="1306"/>
        <v>0</v>
      </c>
      <c r="H730" s="6">
        <f t="shared" si="1306"/>
        <v>0</v>
      </c>
      <c r="I730" s="6">
        <f t="shared" si="1306"/>
        <v>0</v>
      </c>
      <c r="J730" s="6">
        <f t="shared" si="1306"/>
        <v>3935.7445769999995</v>
      </c>
      <c r="K730" s="6">
        <f t="shared" si="1306"/>
        <v>0</v>
      </c>
      <c r="L730" s="6">
        <f t="shared" si="1306"/>
        <v>0</v>
      </c>
      <c r="M730" s="6">
        <f t="shared" si="1306"/>
        <v>0</v>
      </c>
      <c r="N730" s="6">
        <f t="shared" si="1306"/>
        <v>0</v>
      </c>
      <c r="O730" s="6">
        <f t="shared" si="1306"/>
        <v>0</v>
      </c>
      <c r="P730" s="6">
        <f t="shared" ref="P730" si="1307">$C729*P729</f>
        <v>0</v>
      </c>
      <c r="Q730" s="6">
        <f t="shared" ref="Q730" si="1308">$C729*Q729</f>
        <v>0</v>
      </c>
      <c r="R730" s="6">
        <f t="shared" ref="R730:AB730" si="1309">$C729*R729</f>
        <v>0</v>
      </c>
      <c r="S730" s="6">
        <f t="shared" si="1309"/>
        <v>0</v>
      </c>
      <c r="T730" s="6">
        <f t="shared" si="1309"/>
        <v>0</v>
      </c>
      <c r="U730" s="6">
        <f t="shared" si="1309"/>
        <v>0</v>
      </c>
      <c r="V730" s="6">
        <f t="shared" si="1309"/>
        <v>0</v>
      </c>
      <c r="W730" s="6">
        <f t="shared" si="1309"/>
        <v>0</v>
      </c>
      <c r="X730" s="6">
        <f t="shared" si="1309"/>
        <v>0</v>
      </c>
      <c r="Y730" s="6">
        <f t="shared" si="1309"/>
        <v>0</v>
      </c>
      <c r="Z730" s="6">
        <f t="shared" si="1309"/>
        <v>0</v>
      </c>
      <c r="AA730" s="6">
        <f t="shared" si="1309"/>
        <v>0</v>
      </c>
      <c r="AB730" s="6">
        <f t="shared" si="1309"/>
        <v>0</v>
      </c>
      <c r="AC730" s="67"/>
      <c r="AD730" s="55"/>
    </row>
    <row r="731" spans="1:30" s="52" customFormat="1">
      <c r="A731" s="96" t="s">
        <v>129</v>
      </c>
      <c r="B731" s="180">
        <v>1611054</v>
      </c>
      <c r="C731" s="211">
        <f t="shared" si="1285"/>
        <v>134254.5</v>
      </c>
      <c r="D731" s="5"/>
      <c r="E731" s="5">
        <v>0.4199</v>
      </c>
      <c r="F731" s="5"/>
      <c r="G731" s="5"/>
      <c r="H731" s="5"/>
      <c r="I731" s="5">
        <v>0.58009999999999995</v>
      </c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67"/>
      <c r="AD731" s="55"/>
    </row>
    <row r="732" spans="1:30" s="52" customFormat="1">
      <c r="A732" s="97"/>
      <c r="B732" s="30"/>
      <c r="C732" s="211"/>
      <c r="D732" s="6">
        <f t="shared" ref="D732" si="1310">$C731*D731</f>
        <v>0</v>
      </c>
      <c r="E732" s="6">
        <f t="shared" ref="E732" si="1311">$C731*E731</f>
        <v>56373.464549999997</v>
      </c>
      <c r="F732" s="6">
        <f t="shared" ref="F732:O732" si="1312">$C731*F731</f>
        <v>0</v>
      </c>
      <c r="G732" s="6">
        <f t="shared" si="1312"/>
        <v>0</v>
      </c>
      <c r="H732" s="6">
        <f t="shared" si="1312"/>
        <v>0</v>
      </c>
      <c r="I732" s="6">
        <f t="shared" si="1312"/>
        <v>77881.035449999996</v>
      </c>
      <c r="J732" s="6">
        <f t="shared" si="1312"/>
        <v>0</v>
      </c>
      <c r="K732" s="6">
        <f t="shared" si="1312"/>
        <v>0</v>
      </c>
      <c r="L732" s="6">
        <f t="shared" si="1312"/>
        <v>0</v>
      </c>
      <c r="M732" s="6">
        <f t="shared" si="1312"/>
        <v>0</v>
      </c>
      <c r="N732" s="6">
        <f t="shared" si="1312"/>
        <v>0</v>
      </c>
      <c r="O732" s="6">
        <f t="shared" si="1312"/>
        <v>0</v>
      </c>
      <c r="P732" s="6">
        <f t="shared" ref="P732" si="1313">$C731*P731</f>
        <v>0</v>
      </c>
      <c r="Q732" s="6">
        <f t="shared" ref="Q732" si="1314">$C731*Q731</f>
        <v>0</v>
      </c>
      <c r="R732" s="6">
        <f t="shared" ref="R732:AB732" si="1315">$C731*R731</f>
        <v>0</v>
      </c>
      <c r="S732" s="6">
        <f t="shared" si="1315"/>
        <v>0</v>
      </c>
      <c r="T732" s="6">
        <f t="shared" si="1315"/>
        <v>0</v>
      </c>
      <c r="U732" s="6">
        <f t="shared" si="1315"/>
        <v>0</v>
      </c>
      <c r="V732" s="6">
        <f t="shared" si="1315"/>
        <v>0</v>
      </c>
      <c r="W732" s="6">
        <f t="shared" si="1315"/>
        <v>0</v>
      </c>
      <c r="X732" s="6">
        <f t="shared" si="1315"/>
        <v>0</v>
      </c>
      <c r="Y732" s="6">
        <f t="shared" si="1315"/>
        <v>0</v>
      </c>
      <c r="Z732" s="6">
        <f t="shared" si="1315"/>
        <v>0</v>
      </c>
      <c r="AA732" s="6">
        <f t="shared" si="1315"/>
        <v>0</v>
      </c>
      <c r="AB732" s="6">
        <f t="shared" si="1315"/>
        <v>0</v>
      </c>
      <c r="AC732" s="67"/>
      <c r="AD732" s="55"/>
    </row>
    <row r="733" spans="1:30" s="52" customFormat="1">
      <c r="A733" s="96" t="s">
        <v>130</v>
      </c>
      <c r="B733" s="180">
        <v>924213</v>
      </c>
      <c r="C733" s="211">
        <f t="shared" si="1285"/>
        <v>77017.75</v>
      </c>
      <c r="D733" s="170">
        <v>1.6500000000000001E-2</v>
      </c>
      <c r="E733" s="170">
        <v>0.1368</v>
      </c>
      <c r="F733" s="170">
        <v>5.7599999999999998E-2</v>
      </c>
      <c r="G733" s="170">
        <v>8.0399999999999999E-2</v>
      </c>
      <c r="H733" s="170">
        <v>4.1099999999999998E-2</v>
      </c>
      <c r="I733" s="170">
        <v>0.13389999999999999</v>
      </c>
      <c r="J733" s="170">
        <v>2.12E-2</v>
      </c>
      <c r="K733" s="170">
        <v>3.2500000000000001E-2</v>
      </c>
      <c r="L733" s="170">
        <v>1.7100000000000001E-2</v>
      </c>
      <c r="M733" s="170">
        <v>2.5999999999999999E-2</v>
      </c>
      <c r="N733" s="170">
        <v>0.13320000000000001</v>
      </c>
      <c r="O733" s="170">
        <v>1.89E-2</v>
      </c>
      <c r="P733" s="170">
        <v>0</v>
      </c>
      <c r="Q733" s="170">
        <v>3.8600000000000002E-2</v>
      </c>
      <c r="R733" s="170">
        <v>1.9E-2</v>
      </c>
      <c r="S733" s="170">
        <v>4.1999999999999997E-3</v>
      </c>
      <c r="T733" s="170">
        <v>5.3999999999999999E-2</v>
      </c>
      <c r="U733" s="170">
        <v>1.78E-2</v>
      </c>
      <c r="V733" s="170">
        <v>3.6700000000000003E-2</v>
      </c>
      <c r="W733" s="170">
        <v>4.7199999999999999E-2</v>
      </c>
      <c r="X733" s="170">
        <v>6.3899999999999998E-2</v>
      </c>
      <c r="Y733" s="170">
        <v>2.5999999999999999E-3</v>
      </c>
      <c r="Z733" s="171">
        <v>0</v>
      </c>
      <c r="AA733" s="171">
        <v>8.0000000000000004E-4</v>
      </c>
      <c r="AB733" s="171">
        <v>0</v>
      </c>
      <c r="AC733" s="67"/>
      <c r="AD733" s="55"/>
    </row>
    <row r="734" spans="1:30" s="52" customFormat="1">
      <c r="A734" s="97"/>
      <c r="B734" s="30"/>
      <c r="C734" s="211"/>
      <c r="D734" s="6">
        <f t="shared" ref="D734" si="1316">$C733*D733</f>
        <v>1270.7928750000001</v>
      </c>
      <c r="E734" s="6">
        <f t="shared" ref="E734" si="1317">$C733*E733</f>
        <v>10536.028200000001</v>
      </c>
      <c r="F734" s="6">
        <f t="shared" ref="F734:O734" si="1318">$C733*F733</f>
        <v>4436.2223999999997</v>
      </c>
      <c r="G734" s="6">
        <f t="shared" si="1318"/>
        <v>6192.2271000000001</v>
      </c>
      <c r="H734" s="6">
        <f t="shared" si="1318"/>
        <v>3165.429525</v>
      </c>
      <c r="I734" s="6">
        <f t="shared" si="1318"/>
        <v>10312.676724999999</v>
      </c>
      <c r="J734" s="6">
        <f t="shared" si="1318"/>
        <v>1632.7763</v>
      </c>
      <c r="K734" s="6">
        <f t="shared" si="1318"/>
        <v>2503.0768750000002</v>
      </c>
      <c r="L734" s="6">
        <f t="shared" si="1318"/>
        <v>1317.0035250000001</v>
      </c>
      <c r="M734" s="6">
        <f t="shared" si="1318"/>
        <v>2002.4614999999999</v>
      </c>
      <c r="N734" s="6">
        <f t="shared" si="1318"/>
        <v>10258.764300000001</v>
      </c>
      <c r="O734" s="6">
        <f t="shared" si="1318"/>
        <v>1455.635475</v>
      </c>
      <c r="P734" s="6">
        <f t="shared" ref="P734" si="1319">$C733*P733</f>
        <v>0</v>
      </c>
      <c r="Q734" s="6">
        <f t="shared" ref="Q734" si="1320">$C733*Q733</f>
        <v>2972.8851500000001</v>
      </c>
      <c r="R734" s="6">
        <f t="shared" ref="R734:AB734" si="1321">$C733*R733</f>
        <v>1463.33725</v>
      </c>
      <c r="S734" s="6">
        <f t="shared" si="1321"/>
        <v>323.47454999999997</v>
      </c>
      <c r="T734" s="6">
        <f t="shared" si="1321"/>
        <v>4158.9584999999997</v>
      </c>
      <c r="U734" s="6">
        <f t="shared" si="1321"/>
        <v>1370.9159500000001</v>
      </c>
      <c r="V734" s="6">
        <f t="shared" si="1321"/>
        <v>2826.5514250000001</v>
      </c>
      <c r="W734" s="6">
        <f t="shared" si="1321"/>
        <v>3635.2377999999999</v>
      </c>
      <c r="X734" s="6">
        <f t="shared" si="1321"/>
        <v>4921.434225</v>
      </c>
      <c r="Y734" s="6">
        <f t="shared" si="1321"/>
        <v>200.24615</v>
      </c>
      <c r="Z734" s="6">
        <f t="shared" si="1321"/>
        <v>0</v>
      </c>
      <c r="AA734" s="6">
        <f t="shared" si="1321"/>
        <v>61.614200000000004</v>
      </c>
      <c r="AB734" s="6">
        <f t="shared" si="1321"/>
        <v>0</v>
      </c>
      <c r="AC734" s="67"/>
      <c r="AD734" s="55"/>
    </row>
    <row r="735" spans="1:30" s="52" customFormat="1">
      <c r="A735" s="96" t="s">
        <v>446</v>
      </c>
      <c r="B735" s="203">
        <v>924213</v>
      </c>
      <c r="C735" s="211">
        <f t="shared" si="1285"/>
        <v>77017.75</v>
      </c>
      <c r="D735" s="5"/>
      <c r="E735" s="5">
        <v>1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67"/>
      <c r="AD735" s="55"/>
    </row>
    <row r="736" spans="1:30" s="52" customFormat="1">
      <c r="A736" s="97"/>
      <c r="B736" s="12"/>
      <c r="C736" s="211"/>
      <c r="D736" s="6">
        <f t="shared" ref="D736" si="1322">$C735*D735</f>
        <v>0</v>
      </c>
      <c r="E736" s="6">
        <f t="shared" ref="E736" si="1323">$C735*E735</f>
        <v>77017.75</v>
      </c>
      <c r="F736" s="6">
        <f t="shared" ref="F736:O736" si="1324">$C735*F735</f>
        <v>0</v>
      </c>
      <c r="G736" s="6">
        <f t="shared" si="1324"/>
        <v>0</v>
      </c>
      <c r="H736" s="6">
        <f t="shared" si="1324"/>
        <v>0</v>
      </c>
      <c r="I736" s="6">
        <f t="shared" si="1324"/>
        <v>0</v>
      </c>
      <c r="J736" s="6">
        <f t="shared" si="1324"/>
        <v>0</v>
      </c>
      <c r="K736" s="6">
        <f t="shared" si="1324"/>
        <v>0</v>
      </c>
      <c r="L736" s="6">
        <f t="shared" si="1324"/>
        <v>0</v>
      </c>
      <c r="M736" s="6">
        <f t="shared" si="1324"/>
        <v>0</v>
      </c>
      <c r="N736" s="6">
        <f t="shared" si="1324"/>
        <v>0</v>
      </c>
      <c r="O736" s="6">
        <f t="shared" si="1324"/>
        <v>0</v>
      </c>
      <c r="P736" s="6">
        <f t="shared" ref="P736" si="1325">$C735*P735</f>
        <v>0</v>
      </c>
      <c r="Q736" s="6">
        <f t="shared" ref="Q736" si="1326">$C735*Q735</f>
        <v>0</v>
      </c>
      <c r="R736" s="6">
        <f t="shared" ref="R736:AB736" si="1327">$C735*R735</f>
        <v>0</v>
      </c>
      <c r="S736" s="6">
        <f t="shared" si="1327"/>
        <v>0</v>
      </c>
      <c r="T736" s="6">
        <f t="shared" si="1327"/>
        <v>0</v>
      </c>
      <c r="U736" s="6">
        <f t="shared" si="1327"/>
        <v>0</v>
      </c>
      <c r="V736" s="6">
        <f t="shared" si="1327"/>
        <v>0</v>
      </c>
      <c r="W736" s="6">
        <f t="shared" si="1327"/>
        <v>0</v>
      </c>
      <c r="X736" s="6">
        <f t="shared" si="1327"/>
        <v>0</v>
      </c>
      <c r="Y736" s="6">
        <f t="shared" si="1327"/>
        <v>0</v>
      </c>
      <c r="Z736" s="6">
        <f t="shared" si="1327"/>
        <v>0</v>
      </c>
      <c r="AA736" s="6">
        <f t="shared" si="1327"/>
        <v>0</v>
      </c>
      <c r="AB736" s="6">
        <f t="shared" si="1327"/>
        <v>0</v>
      </c>
      <c r="AC736" s="67"/>
      <c r="AD736" s="55"/>
    </row>
    <row r="737" spans="1:30" s="52" customFormat="1">
      <c r="A737" s="96" t="s">
        <v>131</v>
      </c>
      <c r="B737" s="180">
        <v>380267.5</v>
      </c>
      <c r="C737" s="211">
        <f t="shared" si="1285"/>
        <v>31688.959999999999</v>
      </c>
      <c r="D737" s="170">
        <v>1.6500000000000001E-2</v>
      </c>
      <c r="E737" s="170">
        <v>0.1368</v>
      </c>
      <c r="F737" s="170">
        <v>5.7599999999999998E-2</v>
      </c>
      <c r="G737" s="170">
        <v>8.0399999999999999E-2</v>
      </c>
      <c r="H737" s="170">
        <v>4.1099999999999998E-2</v>
      </c>
      <c r="I737" s="170">
        <v>0.13389999999999999</v>
      </c>
      <c r="J737" s="170">
        <v>2.12E-2</v>
      </c>
      <c r="K737" s="170">
        <v>3.2500000000000001E-2</v>
      </c>
      <c r="L737" s="170">
        <v>1.7100000000000001E-2</v>
      </c>
      <c r="M737" s="170">
        <v>2.5999999999999999E-2</v>
      </c>
      <c r="N737" s="170">
        <v>0.13320000000000001</v>
      </c>
      <c r="O737" s="170">
        <v>1.89E-2</v>
      </c>
      <c r="P737" s="170">
        <v>0</v>
      </c>
      <c r="Q737" s="170">
        <v>3.8600000000000002E-2</v>
      </c>
      <c r="R737" s="170">
        <v>1.9E-2</v>
      </c>
      <c r="S737" s="170">
        <v>4.1999999999999997E-3</v>
      </c>
      <c r="T737" s="170">
        <v>5.3999999999999999E-2</v>
      </c>
      <c r="U737" s="170">
        <v>1.78E-2</v>
      </c>
      <c r="V737" s="170">
        <v>3.6700000000000003E-2</v>
      </c>
      <c r="W737" s="170">
        <v>4.7199999999999999E-2</v>
      </c>
      <c r="X737" s="170">
        <v>6.3899999999999998E-2</v>
      </c>
      <c r="Y737" s="170">
        <v>2.5999999999999999E-3</v>
      </c>
      <c r="Z737" s="171">
        <v>0</v>
      </c>
      <c r="AA737" s="171">
        <v>8.0000000000000004E-4</v>
      </c>
      <c r="AB737" s="171">
        <v>0</v>
      </c>
      <c r="AC737" s="67"/>
      <c r="AD737" s="55"/>
    </row>
    <row r="738" spans="1:30" s="52" customFormat="1">
      <c r="A738" s="97"/>
      <c r="B738" s="30"/>
      <c r="C738" s="211"/>
      <c r="D738" s="6">
        <f t="shared" ref="D738" si="1328">$C737*D737</f>
        <v>522.86784</v>
      </c>
      <c r="E738" s="6">
        <f t="shared" ref="E738" si="1329">$C737*E737</f>
        <v>4335.049728</v>
      </c>
      <c r="F738" s="6">
        <f t="shared" ref="F738:O738" si="1330">$C737*F737</f>
        <v>1825.2840959999999</v>
      </c>
      <c r="G738" s="6">
        <f t="shared" si="1330"/>
        <v>2547.7923839999999</v>
      </c>
      <c r="H738" s="6">
        <f t="shared" si="1330"/>
        <v>1302.416256</v>
      </c>
      <c r="I738" s="6">
        <f t="shared" si="1330"/>
        <v>4243.1517439999998</v>
      </c>
      <c r="J738" s="6">
        <f t="shared" si="1330"/>
        <v>671.80595199999993</v>
      </c>
      <c r="K738" s="6">
        <f t="shared" si="1330"/>
        <v>1029.8912</v>
      </c>
      <c r="L738" s="6">
        <f t="shared" si="1330"/>
        <v>541.88121599999999</v>
      </c>
      <c r="M738" s="6">
        <f t="shared" si="1330"/>
        <v>823.91295999999988</v>
      </c>
      <c r="N738" s="6">
        <f t="shared" si="1330"/>
        <v>4220.9694720000007</v>
      </c>
      <c r="O738" s="6">
        <f t="shared" si="1330"/>
        <v>598.92134399999998</v>
      </c>
      <c r="P738" s="6">
        <f t="shared" ref="P738" si="1331">$C737*P737</f>
        <v>0</v>
      </c>
      <c r="Q738" s="6">
        <f t="shared" ref="Q738" si="1332">$C737*Q737</f>
        <v>1223.1938560000001</v>
      </c>
      <c r="R738" s="6">
        <f t="shared" ref="R738:AB738" si="1333">$C737*R737</f>
        <v>602.09023999999999</v>
      </c>
      <c r="S738" s="6">
        <f t="shared" si="1333"/>
        <v>133.09363199999999</v>
      </c>
      <c r="T738" s="6">
        <f t="shared" si="1333"/>
        <v>1711.2038399999999</v>
      </c>
      <c r="U738" s="6">
        <f t="shared" si="1333"/>
        <v>564.06348800000001</v>
      </c>
      <c r="V738" s="6">
        <f t="shared" si="1333"/>
        <v>1162.9848320000001</v>
      </c>
      <c r="W738" s="6">
        <f t="shared" si="1333"/>
        <v>1495.7189119999998</v>
      </c>
      <c r="X738" s="6">
        <f t="shared" si="1333"/>
        <v>2024.924544</v>
      </c>
      <c r="Y738" s="6">
        <f t="shared" si="1333"/>
        <v>82.391295999999997</v>
      </c>
      <c r="Z738" s="6">
        <f t="shared" si="1333"/>
        <v>0</v>
      </c>
      <c r="AA738" s="6">
        <f t="shared" si="1333"/>
        <v>25.351168000000001</v>
      </c>
      <c r="AB738" s="6">
        <f t="shared" si="1333"/>
        <v>0</v>
      </c>
      <c r="AC738" s="67"/>
      <c r="AD738" s="55"/>
    </row>
    <row r="739" spans="1:30" s="52" customFormat="1">
      <c r="A739" s="96" t="s">
        <v>447</v>
      </c>
      <c r="B739" s="203">
        <v>380267.5</v>
      </c>
      <c r="C739" s="211">
        <f t="shared" si="1285"/>
        <v>31688.959999999999</v>
      </c>
      <c r="D739" s="5"/>
      <c r="E739" s="5">
        <v>1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67"/>
      <c r="AD739" s="55"/>
    </row>
    <row r="740" spans="1:30" s="52" customFormat="1">
      <c r="A740" s="97"/>
      <c r="B740" s="12"/>
      <c r="C740" s="211"/>
      <c r="D740" s="6">
        <f t="shared" ref="D740" si="1334">$C739*D739</f>
        <v>0</v>
      </c>
      <c r="E740" s="6">
        <f t="shared" ref="E740" si="1335">$C739*E739</f>
        <v>31688.959999999999</v>
      </c>
      <c r="F740" s="6">
        <f t="shared" ref="F740:O740" si="1336">$C739*F739</f>
        <v>0</v>
      </c>
      <c r="G740" s="6">
        <f t="shared" si="1336"/>
        <v>0</v>
      </c>
      <c r="H740" s="6">
        <f t="shared" si="1336"/>
        <v>0</v>
      </c>
      <c r="I740" s="6">
        <f t="shared" si="1336"/>
        <v>0</v>
      </c>
      <c r="J740" s="6">
        <f t="shared" si="1336"/>
        <v>0</v>
      </c>
      <c r="K740" s="6">
        <f t="shared" si="1336"/>
        <v>0</v>
      </c>
      <c r="L740" s="6">
        <f t="shared" si="1336"/>
        <v>0</v>
      </c>
      <c r="M740" s="6">
        <f t="shared" si="1336"/>
        <v>0</v>
      </c>
      <c r="N740" s="6">
        <f t="shared" si="1336"/>
        <v>0</v>
      </c>
      <c r="O740" s="6">
        <f t="shared" si="1336"/>
        <v>0</v>
      </c>
      <c r="P740" s="6">
        <f t="shared" ref="P740" si="1337">$C739*P739</f>
        <v>0</v>
      </c>
      <c r="Q740" s="6">
        <f t="shared" ref="Q740" si="1338">$C739*Q739</f>
        <v>0</v>
      </c>
      <c r="R740" s="6">
        <f t="shared" ref="R740:AB740" si="1339">$C739*R739</f>
        <v>0</v>
      </c>
      <c r="S740" s="6">
        <f t="shared" si="1339"/>
        <v>0</v>
      </c>
      <c r="T740" s="6">
        <f t="shared" si="1339"/>
        <v>0</v>
      </c>
      <c r="U740" s="6">
        <f t="shared" si="1339"/>
        <v>0</v>
      </c>
      <c r="V740" s="6">
        <f t="shared" si="1339"/>
        <v>0</v>
      </c>
      <c r="W740" s="6">
        <f t="shared" si="1339"/>
        <v>0</v>
      </c>
      <c r="X740" s="6">
        <f t="shared" si="1339"/>
        <v>0</v>
      </c>
      <c r="Y740" s="6">
        <f t="shared" si="1339"/>
        <v>0</v>
      </c>
      <c r="Z740" s="6">
        <f t="shared" si="1339"/>
        <v>0</v>
      </c>
      <c r="AA740" s="6">
        <f t="shared" si="1339"/>
        <v>0</v>
      </c>
      <c r="AB740" s="6">
        <f t="shared" si="1339"/>
        <v>0</v>
      </c>
      <c r="AC740" s="67"/>
      <c r="AD740" s="55"/>
    </row>
    <row r="741" spans="1:30" s="52" customFormat="1">
      <c r="A741" s="102" t="s">
        <v>166</v>
      </c>
      <c r="B741" s="180">
        <v>2044672</v>
      </c>
      <c r="C741" s="211">
        <f t="shared" si="1285"/>
        <v>170389.33</v>
      </c>
      <c r="D741" s="7"/>
      <c r="E741" s="20">
        <v>0.96009999999999995</v>
      </c>
      <c r="F741" s="20">
        <v>6.1999999999999998E-3</v>
      </c>
      <c r="G741" s="7"/>
      <c r="H741" s="7"/>
      <c r="I741" s="20">
        <v>1.9E-3</v>
      </c>
      <c r="J741" s="20">
        <v>4.4000000000000003E-3</v>
      </c>
      <c r="K741" s="7"/>
      <c r="L741" s="20">
        <v>1.2999999999999999E-3</v>
      </c>
      <c r="M741" s="7"/>
      <c r="N741" s="7"/>
      <c r="O741" s="7"/>
      <c r="P741" s="7"/>
      <c r="Q741" s="7"/>
      <c r="R741" s="7"/>
      <c r="S741" s="7"/>
      <c r="T741" s="7"/>
      <c r="U741" s="20">
        <v>2.6100000000000002E-2</v>
      </c>
      <c r="V741" s="7"/>
      <c r="W741" s="7"/>
      <c r="X741" s="7"/>
      <c r="Y741" s="7"/>
      <c r="Z741" s="7"/>
      <c r="AA741" s="7"/>
      <c r="AB741" s="7"/>
      <c r="AC741" s="67"/>
      <c r="AD741" s="55"/>
    </row>
    <row r="742" spans="1:30" s="52" customFormat="1">
      <c r="A742" s="102"/>
      <c r="B742" s="30"/>
      <c r="C742" s="211"/>
      <c r="D742" s="7">
        <f t="shared" ref="D742" si="1340">$C741*D741</f>
        <v>0</v>
      </c>
      <c r="E742" s="7">
        <f t="shared" ref="E742" si="1341">$C741*E741</f>
        <v>163590.79573299998</v>
      </c>
      <c r="F742" s="7">
        <f t="shared" ref="F742:O742" si="1342">$C741*F741</f>
        <v>1056.4138459999999</v>
      </c>
      <c r="G742" s="7">
        <f t="shared" si="1342"/>
        <v>0</v>
      </c>
      <c r="H742" s="7">
        <f t="shared" si="1342"/>
        <v>0</v>
      </c>
      <c r="I742" s="7">
        <f t="shared" si="1342"/>
        <v>323.73972699999996</v>
      </c>
      <c r="J742" s="7">
        <f t="shared" si="1342"/>
        <v>749.71305199999995</v>
      </c>
      <c r="K742" s="7">
        <f t="shared" si="1342"/>
        <v>0</v>
      </c>
      <c r="L742" s="7">
        <f t="shared" si="1342"/>
        <v>221.50612899999999</v>
      </c>
      <c r="M742" s="7">
        <f t="shared" si="1342"/>
        <v>0</v>
      </c>
      <c r="N742" s="7">
        <f t="shared" si="1342"/>
        <v>0</v>
      </c>
      <c r="O742" s="7">
        <f t="shared" si="1342"/>
        <v>0</v>
      </c>
      <c r="P742" s="7">
        <f t="shared" ref="P742" si="1343">$C741*P741</f>
        <v>0</v>
      </c>
      <c r="Q742" s="7">
        <f t="shared" ref="Q742" si="1344">$C741*Q741</f>
        <v>0</v>
      </c>
      <c r="R742" s="7">
        <f t="shared" ref="R742:AB742" si="1345">$C741*R741</f>
        <v>0</v>
      </c>
      <c r="S742" s="7">
        <f t="shared" si="1345"/>
        <v>0</v>
      </c>
      <c r="T742" s="7">
        <f t="shared" si="1345"/>
        <v>0</v>
      </c>
      <c r="U742" s="7">
        <f t="shared" si="1345"/>
        <v>4447.161513</v>
      </c>
      <c r="V742" s="7">
        <f t="shared" si="1345"/>
        <v>0</v>
      </c>
      <c r="W742" s="7">
        <f t="shared" si="1345"/>
        <v>0</v>
      </c>
      <c r="X742" s="7">
        <f t="shared" si="1345"/>
        <v>0</v>
      </c>
      <c r="Y742" s="7">
        <f t="shared" si="1345"/>
        <v>0</v>
      </c>
      <c r="Z742" s="7">
        <f t="shared" si="1345"/>
        <v>0</v>
      </c>
      <c r="AA742" s="7">
        <f t="shared" si="1345"/>
        <v>0</v>
      </c>
      <c r="AB742" s="7">
        <f t="shared" si="1345"/>
        <v>0</v>
      </c>
      <c r="AC742" s="67"/>
      <c r="AD742" s="55"/>
    </row>
    <row r="743" spans="1:30" s="52" customFormat="1">
      <c r="A743" s="103" t="s">
        <v>167</v>
      </c>
      <c r="B743" s="180">
        <v>317651</v>
      </c>
      <c r="C743" s="211">
        <f t="shared" si="1285"/>
        <v>26470.92</v>
      </c>
      <c r="D743" s="33"/>
      <c r="E743" s="10">
        <v>0.96009999999999995</v>
      </c>
      <c r="F743" s="10">
        <v>6.1999999999999998E-3</v>
      </c>
      <c r="G743" s="33"/>
      <c r="H743" s="33"/>
      <c r="I743" s="10">
        <v>1.9E-3</v>
      </c>
      <c r="J743" s="10">
        <v>4.4000000000000003E-3</v>
      </c>
      <c r="K743" s="33"/>
      <c r="L743" s="10">
        <v>1.2999999999999999E-3</v>
      </c>
      <c r="M743" s="33"/>
      <c r="N743" s="33"/>
      <c r="O743" s="33"/>
      <c r="P743" s="33"/>
      <c r="Q743" s="33"/>
      <c r="R743" s="33"/>
      <c r="S743" s="33"/>
      <c r="T743" s="33"/>
      <c r="U743" s="10">
        <v>2.6100000000000002E-2</v>
      </c>
      <c r="V743" s="33"/>
      <c r="W743" s="33"/>
      <c r="X743" s="33"/>
      <c r="Y743" s="33"/>
      <c r="Z743" s="33"/>
      <c r="AA743" s="33"/>
      <c r="AB743" s="33"/>
      <c r="AC743" s="67"/>
      <c r="AD743" s="55"/>
    </row>
    <row r="744" spans="1:30" s="52" customFormat="1">
      <c r="A744" s="102"/>
      <c r="B744" s="30"/>
      <c r="C744" s="211"/>
      <c r="D744" s="7">
        <f t="shared" ref="D744" si="1346">$C743*D743</f>
        <v>0</v>
      </c>
      <c r="E744" s="7">
        <f t="shared" ref="E744" si="1347">$C743*E743</f>
        <v>25414.730291999997</v>
      </c>
      <c r="F744" s="7">
        <f t="shared" ref="F744:O744" si="1348">$C743*F743</f>
        <v>164.11970399999998</v>
      </c>
      <c r="G744" s="7">
        <f t="shared" si="1348"/>
        <v>0</v>
      </c>
      <c r="H744" s="7">
        <f t="shared" si="1348"/>
        <v>0</v>
      </c>
      <c r="I744" s="7">
        <f t="shared" si="1348"/>
        <v>50.294747999999998</v>
      </c>
      <c r="J744" s="7">
        <f t="shared" si="1348"/>
        <v>116.472048</v>
      </c>
      <c r="K744" s="7">
        <f t="shared" si="1348"/>
        <v>0</v>
      </c>
      <c r="L744" s="7">
        <f t="shared" si="1348"/>
        <v>34.412195999999994</v>
      </c>
      <c r="M744" s="7">
        <f t="shared" si="1348"/>
        <v>0</v>
      </c>
      <c r="N744" s="7">
        <f t="shared" si="1348"/>
        <v>0</v>
      </c>
      <c r="O744" s="7">
        <f t="shared" si="1348"/>
        <v>0</v>
      </c>
      <c r="P744" s="7">
        <f t="shared" ref="P744" si="1349">$C743*P743</f>
        <v>0</v>
      </c>
      <c r="Q744" s="7">
        <f t="shared" ref="Q744" si="1350">$C743*Q743</f>
        <v>0</v>
      </c>
      <c r="R744" s="7">
        <f t="shared" ref="R744:AB744" si="1351">$C743*R743</f>
        <v>0</v>
      </c>
      <c r="S744" s="7">
        <f t="shared" si="1351"/>
        <v>0</v>
      </c>
      <c r="T744" s="7">
        <f t="shared" si="1351"/>
        <v>0</v>
      </c>
      <c r="U744" s="7">
        <f t="shared" si="1351"/>
        <v>690.89101200000005</v>
      </c>
      <c r="V744" s="7">
        <f t="shared" si="1351"/>
        <v>0</v>
      </c>
      <c r="W744" s="7">
        <f t="shared" si="1351"/>
        <v>0</v>
      </c>
      <c r="X744" s="7">
        <f t="shared" si="1351"/>
        <v>0</v>
      </c>
      <c r="Y744" s="7">
        <f t="shared" si="1351"/>
        <v>0</v>
      </c>
      <c r="Z744" s="7">
        <f t="shared" si="1351"/>
        <v>0</v>
      </c>
      <c r="AA744" s="7">
        <f t="shared" si="1351"/>
        <v>0</v>
      </c>
      <c r="AB744" s="7">
        <f t="shared" si="1351"/>
        <v>0</v>
      </c>
      <c r="AC744" s="67"/>
      <c r="AD744" s="55"/>
    </row>
    <row r="745" spans="1:30" s="52" customFormat="1">
      <c r="A745" s="96" t="s">
        <v>168</v>
      </c>
      <c r="B745" s="180">
        <v>1379674</v>
      </c>
      <c r="C745" s="211">
        <f t="shared" si="1285"/>
        <v>114972.83</v>
      </c>
      <c r="D745" s="170">
        <v>1.6500000000000001E-2</v>
      </c>
      <c r="E745" s="170">
        <v>0.1368</v>
      </c>
      <c r="F745" s="170">
        <v>5.7599999999999998E-2</v>
      </c>
      <c r="G745" s="170">
        <v>8.0399999999999999E-2</v>
      </c>
      <c r="H745" s="170">
        <v>4.1099999999999998E-2</v>
      </c>
      <c r="I745" s="170">
        <v>0.13389999999999999</v>
      </c>
      <c r="J745" s="170">
        <v>2.12E-2</v>
      </c>
      <c r="K745" s="170">
        <v>3.2500000000000001E-2</v>
      </c>
      <c r="L745" s="170">
        <v>1.7100000000000001E-2</v>
      </c>
      <c r="M745" s="170">
        <v>2.5999999999999999E-2</v>
      </c>
      <c r="N745" s="170">
        <v>0.13320000000000001</v>
      </c>
      <c r="O745" s="170">
        <v>1.89E-2</v>
      </c>
      <c r="P745" s="170">
        <v>0</v>
      </c>
      <c r="Q745" s="170">
        <v>3.8600000000000002E-2</v>
      </c>
      <c r="R745" s="170">
        <v>1.9E-2</v>
      </c>
      <c r="S745" s="170">
        <v>4.1999999999999997E-3</v>
      </c>
      <c r="T745" s="170">
        <v>5.3999999999999999E-2</v>
      </c>
      <c r="U745" s="170">
        <v>1.78E-2</v>
      </c>
      <c r="V745" s="170">
        <v>3.6700000000000003E-2</v>
      </c>
      <c r="W745" s="170">
        <v>4.7199999999999999E-2</v>
      </c>
      <c r="X745" s="170">
        <v>6.3899999999999998E-2</v>
      </c>
      <c r="Y745" s="170">
        <v>2.5999999999999999E-3</v>
      </c>
      <c r="Z745" s="171">
        <v>0</v>
      </c>
      <c r="AA745" s="171">
        <v>8.0000000000000004E-4</v>
      </c>
      <c r="AB745" s="171">
        <v>0</v>
      </c>
      <c r="AC745" s="67"/>
      <c r="AD745" s="55"/>
    </row>
    <row r="746" spans="1:30" s="52" customFormat="1">
      <c r="A746" s="97"/>
      <c r="B746" s="30"/>
      <c r="C746" s="211"/>
      <c r="D746" s="6">
        <f t="shared" ref="D746" si="1352">$C745*D745</f>
        <v>1897.0516950000001</v>
      </c>
      <c r="E746" s="6">
        <f t="shared" ref="E746" si="1353">$C745*E745</f>
        <v>15728.283144000001</v>
      </c>
      <c r="F746" s="6">
        <f t="shared" ref="F746:O746" si="1354">$C745*F745</f>
        <v>6622.4350079999995</v>
      </c>
      <c r="G746" s="6">
        <f t="shared" si="1354"/>
        <v>9243.8155320000005</v>
      </c>
      <c r="H746" s="6">
        <f t="shared" si="1354"/>
        <v>4725.3833129999994</v>
      </c>
      <c r="I746" s="6">
        <f t="shared" si="1354"/>
        <v>15394.861937</v>
      </c>
      <c r="J746" s="6">
        <f t="shared" si="1354"/>
        <v>2437.423996</v>
      </c>
      <c r="K746" s="6">
        <f t="shared" si="1354"/>
        <v>3736.6169750000004</v>
      </c>
      <c r="L746" s="6">
        <f t="shared" si="1354"/>
        <v>1966.0353930000001</v>
      </c>
      <c r="M746" s="6">
        <f t="shared" si="1354"/>
        <v>2989.29358</v>
      </c>
      <c r="N746" s="6">
        <f t="shared" si="1354"/>
        <v>15314.380956000001</v>
      </c>
      <c r="O746" s="6">
        <f t="shared" si="1354"/>
        <v>2172.9864870000001</v>
      </c>
      <c r="P746" s="6">
        <f t="shared" ref="P746" si="1355">$C745*P745</f>
        <v>0</v>
      </c>
      <c r="Q746" s="6">
        <f t="shared" ref="Q746" si="1356">$C745*Q745</f>
        <v>4437.9512380000006</v>
      </c>
      <c r="R746" s="6">
        <f t="shared" ref="R746:AB746" si="1357">$C745*R745</f>
        <v>2184.4837699999998</v>
      </c>
      <c r="S746" s="6">
        <f t="shared" si="1357"/>
        <v>482.88588599999997</v>
      </c>
      <c r="T746" s="6">
        <f t="shared" si="1357"/>
        <v>6208.5328200000004</v>
      </c>
      <c r="U746" s="6">
        <f t="shared" si="1357"/>
        <v>2046.516374</v>
      </c>
      <c r="V746" s="6">
        <f t="shared" si="1357"/>
        <v>4219.5028610000008</v>
      </c>
      <c r="W746" s="6">
        <f t="shared" si="1357"/>
        <v>5426.717576</v>
      </c>
      <c r="X746" s="6">
        <f t="shared" si="1357"/>
        <v>7346.7638369999995</v>
      </c>
      <c r="Y746" s="6">
        <f t="shared" si="1357"/>
        <v>298.92935799999998</v>
      </c>
      <c r="Z746" s="6">
        <f t="shared" si="1357"/>
        <v>0</v>
      </c>
      <c r="AA746" s="6">
        <f t="shared" si="1357"/>
        <v>91.97826400000001</v>
      </c>
      <c r="AB746" s="6">
        <f t="shared" si="1357"/>
        <v>0</v>
      </c>
      <c r="AC746" s="67"/>
      <c r="AD746" s="55"/>
    </row>
    <row r="747" spans="1:30" s="52" customFormat="1">
      <c r="A747" s="96" t="s">
        <v>448</v>
      </c>
      <c r="B747" s="203">
        <v>1379674</v>
      </c>
      <c r="C747" s="211">
        <f t="shared" si="1285"/>
        <v>114972.83</v>
      </c>
      <c r="D747" s="5"/>
      <c r="E747" s="5">
        <v>1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67"/>
      <c r="AD747" s="55"/>
    </row>
    <row r="748" spans="1:30" s="52" customFormat="1">
      <c r="A748" s="97"/>
      <c r="B748" s="12"/>
      <c r="C748" s="211"/>
      <c r="D748" s="6">
        <f t="shared" ref="D748" si="1358">$C747*D747</f>
        <v>0</v>
      </c>
      <c r="E748" s="6">
        <f t="shared" ref="E748" si="1359">$C747*E747</f>
        <v>114972.83</v>
      </c>
      <c r="F748" s="6">
        <f t="shared" ref="F748:O748" si="1360">$C747*F747</f>
        <v>0</v>
      </c>
      <c r="G748" s="6">
        <f t="shared" si="1360"/>
        <v>0</v>
      </c>
      <c r="H748" s="6">
        <f t="shared" si="1360"/>
        <v>0</v>
      </c>
      <c r="I748" s="6">
        <f t="shared" si="1360"/>
        <v>0</v>
      </c>
      <c r="J748" s="6">
        <f t="shared" si="1360"/>
        <v>0</v>
      </c>
      <c r="K748" s="6">
        <f t="shared" si="1360"/>
        <v>0</v>
      </c>
      <c r="L748" s="6">
        <f t="shared" si="1360"/>
        <v>0</v>
      </c>
      <c r="M748" s="6">
        <f t="shared" si="1360"/>
        <v>0</v>
      </c>
      <c r="N748" s="6">
        <f t="shared" si="1360"/>
        <v>0</v>
      </c>
      <c r="O748" s="6">
        <f t="shared" si="1360"/>
        <v>0</v>
      </c>
      <c r="P748" s="6">
        <f t="shared" ref="P748" si="1361">$C747*P747</f>
        <v>0</v>
      </c>
      <c r="Q748" s="6">
        <f t="shared" ref="Q748" si="1362">$C747*Q747</f>
        <v>0</v>
      </c>
      <c r="R748" s="6">
        <f t="shared" ref="R748:AB748" si="1363">$C747*R747</f>
        <v>0</v>
      </c>
      <c r="S748" s="6">
        <f t="shared" si="1363"/>
        <v>0</v>
      </c>
      <c r="T748" s="6">
        <f t="shared" si="1363"/>
        <v>0</v>
      </c>
      <c r="U748" s="6">
        <f t="shared" si="1363"/>
        <v>0</v>
      </c>
      <c r="V748" s="6">
        <f t="shared" si="1363"/>
        <v>0</v>
      </c>
      <c r="W748" s="6">
        <f t="shared" si="1363"/>
        <v>0</v>
      </c>
      <c r="X748" s="6">
        <f t="shared" si="1363"/>
        <v>0</v>
      </c>
      <c r="Y748" s="6">
        <f t="shared" si="1363"/>
        <v>0</v>
      </c>
      <c r="Z748" s="6">
        <f t="shared" si="1363"/>
        <v>0</v>
      </c>
      <c r="AA748" s="6">
        <f t="shared" si="1363"/>
        <v>0</v>
      </c>
      <c r="AB748" s="6">
        <f t="shared" si="1363"/>
        <v>0</v>
      </c>
      <c r="AC748" s="67"/>
      <c r="AD748" s="55"/>
    </row>
    <row r="749" spans="1:30" s="52" customFormat="1">
      <c r="A749" s="103" t="s">
        <v>169</v>
      </c>
      <c r="B749" s="180">
        <v>263671</v>
      </c>
      <c r="C749" s="211">
        <f t="shared" si="1285"/>
        <v>21972.58</v>
      </c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10">
        <v>0.753</v>
      </c>
      <c r="O749" s="33"/>
      <c r="P749" s="33"/>
      <c r="Q749" s="33"/>
      <c r="R749" s="33"/>
      <c r="S749" s="33"/>
      <c r="T749" s="33"/>
      <c r="U749" s="33"/>
      <c r="V749" s="10">
        <v>0.247</v>
      </c>
      <c r="W749" s="33"/>
      <c r="X749" s="33"/>
      <c r="Y749" s="33"/>
      <c r="Z749" s="33"/>
      <c r="AA749" s="33"/>
      <c r="AB749" s="33"/>
      <c r="AC749" s="67"/>
      <c r="AD749" s="55"/>
    </row>
    <row r="750" spans="1:30" s="52" customFormat="1">
      <c r="A750" s="102"/>
      <c r="B750" s="30"/>
      <c r="C750" s="211"/>
      <c r="D750" s="7">
        <f t="shared" ref="D750" si="1364">$C749*D749</f>
        <v>0</v>
      </c>
      <c r="E750" s="7">
        <f t="shared" ref="E750" si="1365">$C749*E749</f>
        <v>0</v>
      </c>
      <c r="F750" s="7">
        <f t="shared" ref="F750:O750" si="1366">$C749*F749</f>
        <v>0</v>
      </c>
      <c r="G750" s="7">
        <f t="shared" si="1366"/>
        <v>0</v>
      </c>
      <c r="H750" s="7">
        <f t="shared" si="1366"/>
        <v>0</v>
      </c>
      <c r="I750" s="7">
        <f t="shared" si="1366"/>
        <v>0</v>
      </c>
      <c r="J750" s="7">
        <f t="shared" si="1366"/>
        <v>0</v>
      </c>
      <c r="K750" s="7">
        <f t="shared" si="1366"/>
        <v>0</v>
      </c>
      <c r="L750" s="7">
        <f t="shared" si="1366"/>
        <v>0</v>
      </c>
      <c r="M750" s="7">
        <f t="shared" si="1366"/>
        <v>0</v>
      </c>
      <c r="N750" s="7">
        <f t="shared" si="1366"/>
        <v>16545.352740000002</v>
      </c>
      <c r="O750" s="7">
        <f t="shared" si="1366"/>
        <v>0</v>
      </c>
      <c r="P750" s="7">
        <f t="shared" ref="P750" si="1367">$C749*P749</f>
        <v>0</v>
      </c>
      <c r="Q750" s="7">
        <f t="shared" ref="Q750" si="1368">$C749*Q749</f>
        <v>0</v>
      </c>
      <c r="R750" s="7">
        <f t="shared" ref="R750:AB750" si="1369">$C749*R749</f>
        <v>0</v>
      </c>
      <c r="S750" s="7">
        <f t="shared" si="1369"/>
        <v>0</v>
      </c>
      <c r="T750" s="7">
        <f t="shared" si="1369"/>
        <v>0</v>
      </c>
      <c r="U750" s="7">
        <f t="shared" si="1369"/>
        <v>0</v>
      </c>
      <c r="V750" s="7">
        <f t="shared" si="1369"/>
        <v>5427.2272600000006</v>
      </c>
      <c r="W750" s="7">
        <f t="shared" si="1369"/>
        <v>0</v>
      </c>
      <c r="X750" s="7">
        <f t="shared" si="1369"/>
        <v>0</v>
      </c>
      <c r="Y750" s="7">
        <f t="shared" si="1369"/>
        <v>0</v>
      </c>
      <c r="Z750" s="7">
        <f t="shared" si="1369"/>
        <v>0</v>
      </c>
      <c r="AA750" s="7">
        <f t="shared" si="1369"/>
        <v>0</v>
      </c>
      <c r="AB750" s="7">
        <f t="shared" si="1369"/>
        <v>0</v>
      </c>
      <c r="AC750" s="67"/>
      <c r="AD750" s="55"/>
    </row>
    <row r="751" spans="1:30" s="52" customFormat="1">
      <c r="A751" s="103" t="s">
        <v>171</v>
      </c>
      <c r="B751" s="180">
        <v>262582</v>
      </c>
      <c r="C751" s="211">
        <f t="shared" si="1285"/>
        <v>21881.83</v>
      </c>
      <c r="D751" s="33"/>
      <c r="E751" s="10">
        <v>0.87219999999999998</v>
      </c>
      <c r="F751" s="10">
        <v>8.2199999999999995E-2</v>
      </c>
      <c r="G751" s="10">
        <v>3.5200000000000002E-2</v>
      </c>
      <c r="H751" s="33"/>
      <c r="I751" s="33"/>
      <c r="J751" s="33"/>
      <c r="K751" s="33"/>
      <c r="L751" s="10">
        <v>1.04E-2</v>
      </c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67"/>
      <c r="AD751" s="55"/>
    </row>
    <row r="752" spans="1:30" s="52" customFormat="1">
      <c r="A752" s="102"/>
      <c r="B752" s="30"/>
      <c r="C752" s="211"/>
      <c r="D752" s="7">
        <f t="shared" ref="D752" si="1370">$C751*D751</f>
        <v>0</v>
      </c>
      <c r="E752" s="7">
        <f t="shared" ref="E752" si="1371">$C751*E751</f>
        <v>19085.332126000001</v>
      </c>
      <c r="F752" s="7">
        <f t="shared" ref="F752:O752" si="1372">$C751*F751</f>
        <v>1798.686426</v>
      </c>
      <c r="G752" s="7">
        <f t="shared" si="1372"/>
        <v>770.2404160000001</v>
      </c>
      <c r="H752" s="7">
        <f t="shared" si="1372"/>
        <v>0</v>
      </c>
      <c r="I752" s="7">
        <f t="shared" si="1372"/>
        <v>0</v>
      </c>
      <c r="J752" s="7">
        <f t="shared" si="1372"/>
        <v>0</v>
      </c>
      <c r="K752" s="7">
        <f t="shared" si="1372"/>
        <v>0</v>
      </c>
      <c r="L752" s="7">
        <f t="shared" si="1372"/>
        <v>227.571032</v>
      </c>
      <c r="M752" s="7">
        <f t="shared" si="1372"/>
        <v>0</v>
      </c>
      <c r="N752" s="7">
        <f t="shared" si="1372"/>
        <v>0</v>
      </c>
      <c r="O752" s="7">
        <f t="shared" si="1372"/>
        <v>0</v>
      </c>
      <c r="P752" s="7">
        <f t="shared" ref="P752" si="1373">$C751*P751</f>
        <v>0</v>
      </c>
      <c r="Q752" s="7">
        <f t="shared" ref="Q752" si="1374">$C751*Q751</f>
        <v>0</v>
      </c>
      <c r="R752" s="7">
        <f t="shared" ref="R752:AB752" si="1375">$C751*R751</f>
        <v>0</v>
      </c>
      <c r="S752" s="7">
        <f t="shared" si="1375"/>
        <v>0</v>
      </c>
      <c r="T752" s="7">
        <f t="shared" si="1375"/>
        <v>0</v>
      </c>
      <c r="U752" s="7">
        <f t="shared" si="1375"/>
        <v>0</v>
      </c>
      <c r="V752" s="7">
        <f t="shared" si="1375"/>
        <v>0</v>
      </c>
      <c r="W752" s="7">
        <f t="shared" si="1375"/>
        <v>0</v>
      </c>
      <c r="X752" s="7">
        <f t="shared" si="1375"/>
        <v>0</v>
      </c>
      <c r="Y752" s="7">
        <f t="shared" si="1375"/>
        <v>0</v>
      </c>
      <c r="Z752" s="7">
        <f t="shared" si="1375"/>
        <v>0</v>
      </c>
      <c r="AA752" s="7">
        <f t="shared" si="1375"/>
        <v>0</v>
      </c>
      <c r="AB752" s="7">
        <f t="shared" si="1375"/>
        <v>0</v>
      </c>
      <c r="AC752" s="67"/>
      <c r="AD752" s="55"/>
    </row>
    <row r="753" spans="1:30" s="52" customFormat="1">
      <c r="A753" s="103" t="s">
        <v>172</v>
      </c>
      <c r="B753" s="180">
        <v>788996</v>
      </c>
      <c r="C753" s="211">
        <f t="shared" si="1285"/>
        <v>65749.67</v>
      </c>
      <c r="D753" s="33"/>
      <c r="E753" s="10">
        <v>0.92490000000000006</v>
      </c>
      <c r="F753" s="33"/>
      <c r="G753" s="33"/>
      <c r="H753" s="33"/>
      <c r="I753" s="33"/>
      <c r="J753" s="10">
        <v>7.51E-2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67"/>
      <c r="AD753" s="55"/>
    </row>
    <row r="754" spans="1:30" s="52" customFormat="1">
      <c r="A754" s="102"/>
      <c r="B754" s="30"/>
      <c r="C754" s="211"/>
      <c r="D754" s="7">
        <f t="shared" ref="D754" si="1376">$C753*D753</f>
        <v>0</v>
      </c>
      <c r="E754" s="7">
        <f t="shared" ref="E754" si="1377">$C753*E753</f>
        <v>60811.869783000002</v>
      </c>
      <c r="F754" s="7">
        <f t="shared" ref="F754:O754" si="1378">$C753*F753</f>
        <v>0</v>
      </c>
      <c r="G754" s="7">
        <f t="shared" si="1378"/>
        <v>0</v>
      </c>
      <c r="H754" s="7">
        <f t="shared" si="1378"/>
        <v>0</v>
      </c>
      <c r="I754" s="7">
        <f t="shared" si="1378"/>
        <v>0</v>
      </c>
      <c r="J754" s="7">
        <f t="shared" si="1378"/>
        <v>4937.800217</v>
      </c>
      <c r="K754" s="7">
        <f t="shared" si="1378"/>
        <v>0</v>
      </c>
      <c r="L754" s="7">
        <f t="shared" si="1378"/>
        <v>0</v>
      </c>
      <c r="M754" s="7">
        <f t="shared" si="1378"/>
        <v>0</v>
      </c>
      <c r="N754" s="7">
        <f t="shared" si="1378"/>
        <v>0</v>
      </c>
      <c r="O754" s="7">
        <f t="shared" si="1378"/>
        <v>0</v>
      </c>
      <c r="P754" s="7">
        <f t="shared" ref="P754" si="1379">$C753*P753</f>
        <v>0</v>
      </c>
      <c r="Q754" s="7">
        <f t="shared" ref="Q754" si="1380">$C753*Q753</f>
        <v>0</v>
      </c>
      <c r="R754" s="7">
        <f t="shared" ref="R754:AB754" si="1381">$C753*R753</f>
        <v>0</v>
      </c>
      <c r="S754" s="7">
        <f t="shared" si="1381"/>
        <v>0</v>
      </c>
      <c r="T754" s="7">
        <f t="shared" si="1381"/>
        <v>0</v>
      </c>
      <c r="U754" s="7">
        <f t="shared" si="1381"/>
        <v>0</v>
      </c>
      <c r="V754" s="7">
        <f t="shared" si="1381"/>
        <v>0</v>
      </c>
      <c r="W754" s="7">
        <f t="shared" si="1381"/>
        <v>0</v>
      </c>
      <c r="X754" s="7">
        <f t="shared" si="1381"/>
        <v>0</v>
      </c>
      <c r="Y754" s="7">
        <f t="shared" si="1381"/>
        <v>0</v>
      </c>
      <c r="Z754" s="7">
        <f t="shared" si="1381"/>
        <v>0</v>
      </c>
      <c r="AA754" s="7">
        <f t="shared" si="1381"/>
        <v>0</v>
      </c>
      <c r="AB754" s="7">
        <f t="shared" si="1381"/>
        <v>0</v>
      </c>
      <c r="AC754" s="67"/>
      <c r="AD754" s="55"/>
    </row>
    <row r="755" spans="1:30" s="52" customFormat="1">
      <c r="A755" s="103" t="s">
        <v>173</v>
      </c>
      <c r="B755" s="180">
        <v>609731</v>
      </c>
      <c r="C755" s="211">
        <f t="shared" si="1285"/>
        <v>50810.92</v>
      </c>
      <c r="D755" s="33"/>
      <c r="E755" s="10">
        <v>0.96009999999999995</v>
      </c>
      <c r="F755" s="10">
        <v>6.1999999999999998E-3</v>
      </c>
      <c r="G755" s="33"/>
      <c r="H755" s="33"/>
      <c r="I755" s="10">
        <v>1.9E-3</v>
      </c>
      <c r="J755" s="10">
        <v>4.4000000000000003E-3</v>
      </c>
      <c r="K755" s="33"/>
      <c r="L755" s="10">
        <v>1.2999999999999999E-3</v>
      </c>
      <c r="M755" s="33"/>
      <c r="N755" s="33"/>
      <c r="O755" s="33"/>
      <c r="P755" s="33"/>
      <c r="Q755" s="33"/>
      <c r="R755" s="33"/>
      <c r="S755" s="33"/>
      <c r="T755" s="33"/>
      <c r="U755" s="10">
        <v>2.6100000000000002E-2</v>
      </c>
      <c r="V755" s="33"/>
      <c r="W755" s="33"/>
      <c r="X755" s="33"/>
      <c r="Y755" s="33"/>
      <c r="Z755" s="33"/>
      <c r="AA755" s="33"/>
      <c r="AB755" s="33"/>
      <c r="AC755" s="67"/>
      <c r="AD755" s="55"/>
    </row>
    <row r="756" spans="1:30" s="52" customFormat="1">
      <c r="A756" s="102"/>
      <c r="B756" s="30"/>
      <c r="C756" s="211"/>
      <c r="D756" s="7">
        <f t="shared" ref="D756" si="1382">$C755*D755</f>
        <v>0</v>
      </c>
      <c r="E756" s="7">
        <f t="shared" ref="E756" si="1383">$C755*E755</f>
        <v>48783.564291999995</v>
      </c>
      <c r="F756" s="7">
        <f t="shared" ref="F756:O756" si="1384">$C755*F755</f>
        <v>315.02770399999997</v>
      </c>
      <c r="G756" s="7">
        <f t="shared" si="1384"/>
        <v>0</v>
      </c>
      <c r="H756" s="7">
        <f t="shared" si="1384"/>
        <v>0</v>
      </c>
      <c r="I756" s="7">
        <f t="shared" si="1384"/>
        <v>96.540747999999994</v>
      </c>
      <c r="J756" s="7">
        <f t="shared" si="1384"/>
        <v>223.568048</v>
      </c>
      <c r="K756" s="7">
        <f t="shared" si="1384"/>
        <v>0</v>
      </c>
      <c r="L756" s="7">
        <f t="shared" si="1384"/>
        <v>66.05419599999999</v>
      </c>
      <c r="M756" s="7">
        <f t="shared" si="1384"/>
        <v>0</v>
      </c>
      <c r="N756" s="7">
        <f t="shared" si="1384"/>
        <v>0</v>
      </c>
      <c r="O756" s="7">
        <f t="shared" si="1384"/>
        <v>0</v>
      </c>
      <c r="P756" s="7">
        <f t="shared" ref="P756" si="1385">$C755*P755</f>
        <v>0</v>
      </c>
      <c r="Q756" s="7">
        <f t="shared" ref="Q756" si="1386">$C755*Q755</f>
        <v>0</v>
      </c>
      <c r="R756" s="7">
        <f t="shared" ref="R756:AB756" si="1387">$C755*R755</f>
        <v>0</v>
      </c>
      <c r="S756" s="7">
        <f t="shared" si="1387"/>
        <v>0</v>
      </c>
      <c r="T756" s="7">
        <f t="shared" si="1387"/>
        <v>0</v>
      </c>
      <c r="U756" s="7">
        <f t="shared" si="1387"/>
        <v>1326.1650119999999</v>
      </c>
      <c r="V756" s="7">
        <f t="shared" si="1387"/>
        <v>0</v>
      </c>
      <c r="W756" s="7">
        <f t="shared" si="1387"/>
        <v>0</v>
      </c>
      <c r="X756" s="7">
        <f t="shared" si="1387"/>
        <v>0</v>
      </c>
      <c r="Y756" s="7">
        <f t="shared" si="1387"/>
        <v>0</v>
      </c>
      <c r="Z756" s="7">
        <f t="shared" si="1387"/>
        <v>0</v>
      </c>
      <c r="AA756" s="7">
        <f t="shared" si="1387"/>
        <v>0</v>
      </c>
      <c r="AB756" s="7">
        <f t="shared" si="1387"/>
        <v>0</v>
      </c>
      <c r="AC756" s="67"/>
      <c r="AD756" s="55"/>
    </row>
    <row r="757" spans="1:30" s="52" customFormat="1">
      <c r="A757" s="103" t="s">
        <v>174</v>
      </c>
      <c r="B757" s="180">
        <v>971133</v>
      </c>
      <c r="C757" s="211">
        <f t="shared" si="1285"/>
        <v>80927.75</v>
      </c>
      <c r="D757" s="33"/>
      <c r="E757" s="10">
        <v>0.68159999999999998</v>
      </c>
      <c r="F757" s="33"/>
      <c r="G757" s="10">
        <v>0.25269999999999998</v>
      </c>
      <c r="H757" s="33"/>
      <c r="I757" s="33"/>
      <c r="J757" s="10">
        <v>3.8800000000000001E-2</v>
      </c>
      <c r="K757" s="10">
        <v>1.0999999999999999E-2</v>
      </c>
      <c r="L757" s="33"/>
      <c r="M757" s="33"/>
      <c r="N757" s="33"/>
      <c r="O757" s="33"/>
      <c r="P757" s="33"/>
      <c r="Q757" s="33"/>
      <c r="R757" s="33"/>
      <c r="S757" s="33"/>
      <c r="T757" s="33"/>
      <c r="U757" s="10">
        <v>1.5900000000000001E-2</v>
      </c>
      <c r="V757" s="33"/>
      <c r="W757" s="33"/>
      <c r="X757" s="33"/>
      <c r="Y757" s="33"/>
      <c r="Z757" s="33"/>
      <c r="AA757" s="33"/>
      <c r="AB757" s="33"/>
      <c r="AC757" s="67"/>
      <c r="AD757" s="55"/>
    </row>
    <row r="758" spans="1:30" s="52" customFormat="1">
      <c r="A758" s="102"/>
      <c r="B758" s="30"/>
      <c r="C758" s="211"/>
      <c r="D758" s="7">
        <f t="shared" ref="D758" si="1388">$C757*D757</f>
        <v>0</v>
      </c>
      <c r="E758" s="7">
        <f t="shared" ref="E758" si="1389">$C757*E757</f>
        <v>55160.354399999997</v>
      </c>
      <c r="F758" s="7">
        <f t="shared" ref="F758:O758" si="1390">$C757*F757</f>
        <v>0</v>
      </c>
      <c r="G758" s="7">
        <f t="shared" si="1390"/>
        <v>20450.442424999997</v>
      </c>
      <c r="H758" s="7">
        <f t="shared" si="1390"/>
        <v>0</v>
      </c>
      <c r="I758" s="7">
        <f t="shared" si="1390"/>
        <v>0</v>
      </c>
      <c r="J758" s="7">
        <f t="shared" si="1390"/>
        <v>3139.9967000000001</v>
      </c>
      <c r="K758" s="7">
        <f t="shared" si="1390"/>
        <v>890.20524999999998</v>
      </c>
      <c r="L758" s="7">
        <f t="shared" si="1390"/>
        <v>0</v>
      </c>
      <c r="M758" s="7">
        <f t="shared" si="1390"/>
        <v>0</v>
      </c>
      <c r="N758" s="7">
        <f t="shared" si="1390"/>
        <v>0</v>
      </c>
      <c r="O758" s="7">
        <f t="shared" si="1390"/>
        <v>0</v>
      </c>
      <c r="P758" s="7">
        <f t="shared" ref="P758" si="1391">$C757*P757</f>
        <v>0</v>
      </c>
      <c r="Q758" s="7">
        <f t="shared" ref="Q758" si="1392">$C757*Q757</f>
        <v>0</v>
      </c>
      <c r="R758" s="7">
        <f t="shared" ref="R758:AB758" si="1393">$C757*R757</f>
        <v>0</v>
      </c>
      <c r="S758" s="7">
        <f t="shared" si="1393"/>
        <v>0</v>
      </c>
      <c r="T758" s="7">
        <f t="shared" si="1393"/>
        <v>0</v>
      </c>
      <c r="U758" s="7">
        <f t="shared" si="1393"/>
        <v>1286.751225</v>
      </c>
      <c r="V758" s="7">
        <f t="shared" si="1393"/>
        <v>0</v>
      </c>
      <c r="W758" s="7">
        <f t="shared" si="1393"/>
        <v>0</v>
      </c>
      <c r="X758" s="7">
        <f t="shared" si="1393"/>
        <v>0</v>
      </c>
      <c r="Y758" s="7">
        <f t="shared" si="1393"/>
        <v>0</v>
      </c>
      <c r="Z758" s="7">
        <f t="shared" si="1393"/>
        <v>0</v>
      </c>
      <c r="AA758" s="7">
        <f t="shared" si="1393"/>
        <v>0</v>
      </c>
      <c r="AB758" s="7">
        <f t="shared" si="1393"/>
        <v>0</v>
      </c>
      <c r="AC758" s="67"/>
      <c r="AD758" s="55"/>
    </row>
    <row r="759" spans="1:30" s="52" customFormat="1">
      <c r="A759" s="103" t="s">
        <v>202</v>
      </c>
      <c r="B759" s="180">
        <v>3344050</v>
      </c>
      <c r="C759" s="211">
        <f t="shared" si="1285"/>
        <v>278670.83</v>
      </c>
      <c r="D759" s="5"/>
      <c r="E759" s="5">
        <v>0.89970000000000006</v>
      </c>
      <c r="F759" s="5"/>
      <c r="G759" s="5"/>
      <c r="H759" s="5"/>
      <c r="I759" s="5"/>
      <c r="J759" s="5">
        <v>0.1003</v>
      </c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67"/>
      <c r="AD759" s="55"/>
    </row>
    <row r="760" spans="1:30" s="52" customFormat="1">
      <c r="A760" s="102"/>
      <c r="B760" s="30"/>
      <c r="C760" s="211"/>
      <c r="D760" s="7">
        <f t="shared" ref="D760" si="1394">$C759*D759</f>
        <v>0</v>
      </c>
      <c r="E760" s="7">
        <f t="shared" ref="E760" si="1395">$C759*E759</f>
        <v>250720.14575100003</v>
      </c>
      <c r="F760" s="7">
        <f t="shared" ref="F760:O760" si="1396">$C759*F759</f>
        <v>0</v>
      </c>
      <c r="G760" s="7">
        <f t="shared" si="1396"/>
        <v>0</v>
      </c>
      <c r="H760" s="7">
        <f t="shared" si="1396"/>
        <v>0</v>
      </c>
      <c r="I760" s="7">
        <f t="shared" si="1396"/>
        <v>0</v>
      </c>
      <c r="J760" s="7">
        <f t="shared" si="1396"/>
        <v>27950.684249000002</v>
      </c>
      <c r="K760" s="7">
        <f t="shared" si="1396"/>
        <v>0</v>
      </c>
      <c r="L760" s="7">
        <f t="shared" si="1396"/>
        <v>0</v>
      </c>
      <c r="M760" s="7">
        <f t="shared" si="1396"/>
        <v>0</v>
      </c>
      <c r="N760" s="7">
        <f t="shared" si="1396"/>
        <v>0</v>
      </c>
      <c r="O760" s="7">
        <f t="shared" si="1396"/>
        <v>0</v>
      </c>
      <c r="P760" s="7">
        <f t="shared" ref="P760" si="1397">$C759*P759</f>
        <v>0</v>
      </c>
      <c r="Q760" s="7">
        <f t="shared" ref="Q760" si="1398">$C759*Q759</f>
        <v>0</v>
      </c>
      <c r="R760" s="7">
        <f t="shared" ref="R760:AB760" si="1399">$C759*R759</f>
        <v>0</v>
      </c>
      <c r="S760" s="7">
        <f t="shared" si="1399"/>
        <v>0</v>
      </c>
      <c r="T760" s="7">
        <f t="shared" si="1399"/>
        <v>0</v>
      </c>
      <c r="U760" s="7">
        <f t="shared" si="1399"/>
        <v>0</v>
      </c>
      <c r="V760" s="7">
        <f t="shared" si="1399"/>
        <v>0</v>
      </c>
      <c r="W760" s="7">
        <f t="shared" si="1399"/>
        <v>0</v>
      </c>
      <c r="X760" s="7">
        <f t="shared" si="1399"/>
        <v>0</v>
      </c>
      <c r="Y760" s="7">
        <f t="shared" si="1399"/>
        <v>0</v>
      </c>
      <c r="Z760" s="7">
        <f t="shared" si="1399"/>
        <v>0</v>
      </c>
      <c r="AA760" s="7">
        <f t="shared" si="1399"/>
        <v>0</v>
      </c>
      <c r="AB760" s="7">
        <f t="shared" si="1399"/>
        <v>0</v>
      </c>
      <c r="AC760" s="67"/>
      <c r="AD760" s="55"/>
    </row>
    <row r="761" spans="1:30" s="52" customFormat="1">
      <c r="A761" s="103" t="s">
        <v>203</v>
      </c>
      <c r="B761" s="180">
        <v>1476108</v>
      </c>
      <c r="C761" s="211">
        <f t="shared" si="1285"/>
        <v>123009</v>
      </c>
      <c r="D761" s="5"/>
      <c r="E761" s="5">
        <v>0.96009999999999995</v>
      </c>
      <c r="F761" s="5">
        <v>6.1999999999999998E-3</v>
      </c>
      <c r="G761" s="5"/>
      <c r="H761" s="5"/>
      <c r="I761" s="5">
        <v>1.9E-3</v>
      </c>
      <c r="J761" s="5">
        <v>4.4000000000000003E-3</v>
      </c>
      <c r="K761" s="5"/>
      <c r="L761" s="5">
        <v>1.2999999999999999E-3</v>
      </c>
      <c r="M761" s="5"/>
      <c r="N761" s="5"/>
      <c r="O761" s="5"/>
      <c r="P761" s="5"/>
      <c r="Q761" s="5"/>
      <c r="R761" s="5"/>
      <c r="S761" s="5"/>
      <c r="T761" s="5"/>
      <c r="U761" s="5">
        <v>2.6100000000000002E-2</v>
      </c>
      <c r="V761" s="5"/>
      <c r="W761" s="5"/>
      <c r="X761" s="5"/>
      <c r="Y761" s="5"/>
      <c r="Z761" s="5"/>
      <c r="AA761" s="5"/>
      <c r="AB761" s="5"/>
      <c r="AC761" s="67"/>
      <c r="AD761" s="55"/>
    </row>
    <row r="762" spans="1:30" s="52" customFormat="1">
      <c r="A762" s="102"/>
      <c r="B762" s="85"/>
      <c r="C762" s="211"/>
      <c r="D762" s="7">
        <f t="shared" ref="D762" si="1400">$C761*D761</f>
        <v>0</v>
      </c>
      <c r="E762" s="7">
        <f t="shared" ref="E762" si="1401">$C761*E761</f>
        <v>118100.9409</v>
      </c>
      <c r="F762" s="7">
        <f t="shared" ref="F762:O762" si="1402">$C761*F761</f>
        <v>762.6558</v>
      </c>
      <c r="G762" s="7">
        <f t="shared" si="1402"/>
        <v>0</v>
      </c>
      <c r="H762" s="7">
        <f t="shared" si="1402"/>
        <v>0</v>
      </c>
      <c r="I762" s="7">
        <f t="shared" si="1402"/>
        <v>233.71709999999999</v>
      </c>
      <c r="J762" s="7">
        <f t="shared" si="1402"/>
        <v>541.2396</v>
      </c>
      <c r="K762" s="7">
        <f t="shared" si="1402"/>
        <v>0</v>
      </c>
      <c r="L762" s="7">
        <f t="shared" si="1402"/>
        <v>159.9117</v>
      </c>
      <c r="M762" s="7">
        <f t="shared" si="1402"/>
        <v>0</v>
      </c>
      <c r="N762" s="7">
        <f t="shared" si="1402"/>
        <v>0</v>
      </c>
      <c r="O762" s="7">
        <f t="shared" si="1402"/>
        <v>0</v>
      </c>
      <c r="P762" s="7">
        <f t="shared" ref="P762" si="1403">$C761*P761</f>
        <v>0</v>
      </c>
      <c r="Q762" s="7">
        <f t="shared" ref="Q762" si="1404">$C761*Q761</f>
        <v>0</v>
      </c>
      <c r="R762" s="7">
        <f t="shared" ref="R762:AB762" si="1405">$C761*R761</f>
        <v>0</v>
      </c>
      <c r="S762" s="7">
        <f t="shared" si="1405"/>
        <v>0</v>
      </c>
      <c r="T762" s="7">
        <f t="shared" si="1405"/>
        <v>0</v>
      </c>
      <c r="U762" s="7">
        <f t="shared" si="1405"/>
        <v>3210.5349000000001</v>
      </c>
      <c r="V762" s="7">
        <f t="shared" si="1405"/>
        <v>0</v>
      </c>
      <c r="W762" s="7">
        <f t="shared" si="1405"/>
        <v>0</v>
      </c>
      <c r="X762" s="7">
        <f t="shared" si="1405"/>
        <v>0</v>
      </c>
      <c r="Y762" s="7">
        <f t="shared" si="1405"/>
        <v>0</v>
      </c>
      <c r="Z762" s="7">
        <f t="shared" si="1405"/>
        <v>0</v>
      </c>
      <c r="AA762" s="7">
        <f t="shared" si="1405"/>
        <v>0</v>
      </c>
      <c r="AB762" s="7">
        <f t="shared" si="1405"/>
        <v>0</v>
      </c>
      <c r="AC762" s="67"/>
      <c r="AD762" s="55"/>
    </row>
    <row r="763" spans="1:30" s="52" customFormat="1">
      <c r="A763" s="103" t="s">
        <v>204</v>
      </c>
      <c r="B763" s="180">
        <v>1970423</v>
      </c>
      <c r="C763" s="211">
        <f t="shared" si="1285"/>
        <v>164201.92000000001</v>
      </c>
      <c r="D763" s="5"/>
      <c r="E763" s="5">
        <v>0.96009999999999995</v>
      </c>
      <c r="F763" s="5">
        <v>6.1999999999999998E-3</v>
      </c>
      <c r="G763" s="5"/>
      <c r="H763" s="5"/>
      <c r="I763" s="5">
        <v>1.9E-3</v>
      </c>
      <c r="J763" s="5">
        <v>4.4000000000000003E-3</v>
      </c>
      <c r="K763" s="5"/>
      <c r="L763" s="5">
        <v>1.2999999999999999E-3</v>
      </c>
      <c r="M763" s="5"/>
      <c r="N763" s="5"/>
      <c r="O763" s="5"/>
      <c r="P763" s="5"/>
      <c r="Q763" s="5"/>
      <c r="R763" s="5"/>
      <c r="S763" s="5"/>
      <c r="T763" s="5"/>
      <c r="U763" s="5">
        <v>2.6100000000000002E-2</v>
      </c>
      <c r="V763" s="5"/>
      <c r="W763" s="5"/>
      <c r="X763" s="5"/>
      <c r="Y763" s="5"/>
      <c r="Z763" s="5"/>
      <c r="AA763" s="5"/>
      <c r="AB763" s="5"/>
      <c r="AC763" s="67"/>
      <c r="AD763" s="55"/>
    </row>
    <row r="764" spans="1:30" s="52" customFormat="1">
      <c r="A764" s="102"/>
      <c r="B764" s="30"/>
      <c r="C764" s="211"/>
      <c r="D764" s="7">
        <f t="shared" ref="D764" si="1406">$C763*D763</f>
        <v>0</v>
      </c>
      <c r="E764" s="7">
        <f t="shared" ref="E764" si="1407">$C763*E763</f>
        <v>157650.26339199999</v>
      </c>
      <c r="F764" s="7">
        <f t="shared" ref="F764:O764" si="1408">$C763*F763</f>
        <v>1018.051904</v>
      </c>
      <c r="G764" s="7">
        <f t="shared" si="1408"/>
        <v>0</v>
      </c>
      <c r="H764" s="7">
        <f t="shared" si="1408"/>
        <v>0</v>
      </c>
      <c r="I764" s="7">
        <f t="shared" si="1408"/>
        <v>311.98364800000002</v>
      </c>
      <c r="J764" s="7">
        <f t="shared" si="1408"/>
        <v>722.48844800000006</v>
      </c>
      <c r="K764" s="7">
        <f t="shared" si="1408"/>
        <v>0</v>
      </c>
      <c r="L764" s="7">
        <f t="shared" si="1408"/>
        <v>213.46249600000002</v>
      </c>
      <c r="M764" s="7">
        <f t="shared" si="1408"/>
        <v>0</v>
      </c>
      <c r="N764" s="7">
        <f t="shared" si="1408"/>
        <v>0</v>
      </c>
      <c r="O764" s="7">
        <f t="shared" si="1408"/>
        <v>0</v>
      </c>
      <c r="P764" s="7">
        <f t="shared" ref="P764" si="1409">$C763*P763</f>
        <v>0</v>
      </c>
      <c r="Q764" s="7">
        <f t="shared" ref="Q764" si="1410">$C763*Q763</f>
        <v>0</v>
      </c>
      <c r="R764" s="7">
        <f t="shared" ref="R764:AB764" si="1411">$C763*R763</f>
        <v>0</v>
      </c>
      <c r="S764" s="7">
        <f t="shared" si="1411"/>
        <v>0</v>
      </c>
      <c r="T764" s="7">
        <f t="shared" si="1411"/>
        <v>0</v>
      </c>
      <c r="U764" s="7">
        <f t="shared" si="1411"/>
        <v>4285.6701120000007</v>
      </c>
      <c r="V764" s="7">
        <f t="shared" si="1411"/>
        <v>0</v>
      </c>
      <c r="W764" s="7">
        <f t="shared" si="1411"/>
        <v>0</v>
      </c>
      <c r="X764" s="7">
        <f t="shared" si="1411"/>
        <v>0</v>
      </c>
      <c r="Y764" s="7">
        <f t="shared" si="1411"/>
        <v>0</v>
      </c>
      <c r="Z764" s="7">
        <f t="shared" si="1411"/>
        <v>0</v>
      </c>
      <c r="AA764" s="7">
        <f t="shared" si="1411"/>
        <v>0</v>
      </c>
      <c r="AB764" s="7">
        <f t="shared" si="1411"/>
        <v>0</v>
      </c>
      <c r="AC764" s="67"/>
      <c r="AD764" s="55"/>
    </row>
    <row r="765" spans="1:30" s="52" customFormat="1">
      <c r="A765" s="103" t="s">
        <v>205</v>
      </c>
      <c r="B765" s="180">
        <v>21351143</v>
      </c>
      <c r="C765" s="211">
        <f t="shared" si="1285"/>
        <v>1779261.92</v>
      </c>
      <c r="D765" s="5"/>
      <c r="E765" s="5">
        <v>0.88390000000000002</v>
      </c>
      <c r="F765" s="5">
        <v>7.1199999999999999E-2</v>
      </c>
      <c r="G765" s="5">
        <v>2.8899999999999999E-2</v>
      </c>
      <c r="H765" s="5"/>
      <c r="I765" s="5"/>
      <c r="J765" s="5"/>
      <c r="K765" s="5">
        <v>1.5800000000000002E-2</v>
      </c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>
        <v>2.0000000000000001E-4</v>
      </c>
      <c r="W765" s="5"/>
      <c r="X765" s="5"/>
      <c r="Y765" s="5"/>
      <c r="Z765" s="5"/>
      <c r="AA765" s="5"/>
      <c r="AB765" s="5"/>
      <c r="AC765" s="67"/>
      <c r="AD765" s="55"/>
    </row>
    <row r="766" spans="1:30" s="52" customFormat="1">
      <c r="A766" s="102"/>
      <c r="B766" s="30"/>
      <c r="C766" s="211"/>
      <c r="D766" s="7">
        <f t="shared" ref="D766" si="1412">$C765*D765</f>
        <v>0</v>
      </c>
      <c r="E766" s="7">
        <f t="shared" ref="E766" si="1413">$C765*E765</f>
        <v>1572689.611088</v>
      </c>
      <c r="F766" s="7">
        <f>$C765*F765</f>
        <v>126683.44870399999</v>
      </c>
      <c r="G766" s="7">
        <f>$C765*G765</f>
        <v>51420.669487999992</v>
      </c>
      <c r="H766" s="7">
        <f>$C765*H765</f>
        <v>0</v>
      </c>
      <c r="I766" s="7">
        <f>$C765*I765</f>
        <v>0</v>
      </c>
      <c r="J766" s="7">
        <f>$C765*J765</f>
        <v>0</v>
      </c>
      <c r="K766" s="7">
        <f t="shared" ref="K766" si="1414">$C765*K765</f>
        <v>28112.338336000001</v>
      </c>
      <c r="L766" s="7">
        <f t="shared" ref="L766" si="1415">$C765*L765</f>
        <v>0</v>
      </c>
      <c r="M766" s="7">
        <f t="shared" ref="M766:AB766" si="1416">$C765*M765</f>
        <v>0</v>
      </c>
      <c r="N766" s="7">
        <f t="shared" si="1416"/>
        <v>0</v>
      </c>
      <c r="O766" s="7">
        <f t="shared" si="1416"/>
        <v>0</v>
      </c>
      <c r="P766" s="7">
        <f t="shared" si="1416"/>
        <v>0</v>
      </c>
      <c r="Q766" s="7">
        <f t="shared" si="1416"/>
        <v>0</v>
      </c>
      <c r="R766" s="7">
        <f t="shared" si="1416"/>
        <v>0</v>
      </c>
      <c r="S766" s="7">
        <f t="shared" si="1416"/>
        <v>0</v>
      </c>
      <c r="T766" s="7">
        <f t="shared" si="1416"/>
        <v>0</v>
      </c>
      <c r="U766" s="7">
        <f t="shared" si="1416"/>
        <v>0</v>
      </c>
      <c r="V766" s="7">
        <f t="shared" si="1416"/>
        <v>355.85238400000003</v>
      </c>
      <c r="W766" s="7">
        <f t="shared" si="1416"/>
        <v>0</v>
      </c>
      <c r="X766" s="7">
        <f t="shared" si="1416"/>
        <v>0</v>
      </c>
      <c r="Y766" s="7">
        <f t="shared" si="1416"/>
        <v>0</v>
      </c>
      <c r="Z766" s="7">
        <f t="shared" si="1416"/>
        <v>0</v>
      </c>
      <c r="AA766" s="7">
        <f t="shared" si="1416"/>
        <v>0</v>
      </c>
      <c r="AB766" s="7">
        <f t="shared" si="1416"/>
        <v>0</v>
      </c>
      <c r="AC766" s="67"/>
      <c r="AD766" s="55"/>
    </row>
    <row r="767" spans="1:30" s="52" customFormat="1">
      <c r="A767" s="103" t="s">
        <v>206</v>
      </c>
      <c r="B767" s="180">
        <v>6260513</v>
      </c>
      <c r="C767" s="211">
        <f t="shared" si="1285"/>
        <v>521709.42</v>
      </c>
      <c r="D767" s="5"/>
      <c r="E767" s="5">
        <v>0.91920000000000002</v>
      </c>
      <c r="F767" s="5">
        <v>2.1899999999999999E-2</v>
      </c>
      <c r="G767" s="5">
        <v>1.14E-2</v>
      </c>
      <c r="H767" s="5">
        <v>2.9999999999999997E-4</v>
      </c>
      <c r="I767" s="5"/>
      <c r="J767" s="5"/>
      <c r="K767" s="5">
        <v>3.5999999999999997E-2</v>
      </c>
      <c r="L767" s="5">
        <v>1.0800000000000001E-2</v>
      </c>
      <c r="M767" s="5"/>
      <c r="N767" s="5"/>
      <c r="O767" s="5"/>
      <c r="P767" s="5"/>
      <c r="Q767" s="5"/>
      <c r="R767" s="5"/>
      <c r="S767" s="5"/>
      <c r="T767" s="5"/>
      <c r="U767" s="5"/>
      <c r="V767" s="5">
        <v>4.0000000000000002E-4</v>
      </c>
      <c r="W767" s="5"/>
      <c r="X767" s="5"/>
      <c r="Y767" s="5"/>
      <c r="Z767" s="5"/>
      <c r="AA767" s="5"/>
      <c r="AB767" s="5"/>
      <c r="AC767" s="67"/>
      <c r="AD767" s="55"/>
    </row>
    <row r="768" spans="1:30" s="52" customFormat="1">
      <c r="A768" s="102"/>
      <c r="B768" s="30"/>
      <c r="C768" s="211"/>
      <c r="D768" s="7">
        <f t="shared" ref="D768" si="1417">$C767*D767</f>
        <v>0</v>
      </c>
      <c r="E768" s="7">
        <f t="shared" ref="E768" si="1418">$C767*E767</f>
        <v>479555.29886400001</v>
      </c>
      <c r="F768" s="7">
        <f t="shared" ref="F768:O768" si="1419">$C767*F767</f>
        <v>11425.436297999999</v>
      </c>
      <c r="G768" s="7">
        <f t="shared" si="1419"/>
        <v>5947.4873880000005</v>
      </c>
      <c r="H768" s="7">
        <f t="shared" si="1419"/>
        <v>156.51282599999999</v>
      </c>
      <c r="I768" s="7">
        <f t="shared" si="1419"/>
        <v>0</v>
      </c>
      <c r="J768" s="7">
        <f t="shared" si="1419"/>
        <v>0</v>
      </c>
      <c r="K768" s="7">
        <f t="shared" si="1419"/>
        <v>18781.539119999998</v>
      </c>
      <c r="L768" s="7">
        <f t="shared" si="1419"/>
        <v>5634.4617360000002</v>
      </c>
      <c r="M768" s="7">
        <f t="shared" si="1419"/>
        <v>0</v>
      </c>
      <c r="N768" s="7">
        <f t="shared" si="1419"/>
        <v>0</v>
      </c>
      <c r="O768" s="7">
        <f t="shared" si="1419"/>
        <v>0</v>
      </c>
      <c r="P768" s="7">
        <f t="shared" ref="P768" si="1420">$C767*P767</f>
        <v>0</v>
      </c>
      <c r="Q768" s="7">
        <f t="shared" ref="Q768" si="1421">$C767*Q767</f>
        <v>0</v>
      </c>
      <c r="R768" s="7">
        <f t="shared" ref="R768:AB768" si="1422">$C767*R767</f>
        <v>0</v>
      </c>
      <c r="S768" s="7">
        <f t="shared" si="1422"/>
        <v>0</v>
      </c>
      <c r="T768" s="7">
        <f t="shared" si="1422"/>
        <v>0</v>
      </c>
      <c r="U768" s="7">
        <f t="shared" si="1422"/>
        <v>0</v>
      </c>
      <c r="V768" s="7">
        <f t="shared" si="1422"/>
        <v>208.68376800000001</v>
      </c>
      <c r="W768" s="7">
        <f t="shared" si="1422"/>
        <v>0</v>
      </c>
      <c r="X768" s="7">
        <f t="shared" si="1422"/>
        <v>0</v>
      </c>
      <c r="Y768" s="7">
        <f t="shared" si="1422"/>
        <v>0</v>
      </c>
      <c r="Z768" s="7">
        <f t="shared" si="1422"/>
        <v>0</v>
      </c>
      <c r="AA768" s="7">
        <f t="shared" si="1422"/>
        <v>0</v>
      </c>
      <c r="AB768" s="7">
        <f t="shared" si="1422"/>
        <v>0</v>
      </c>
      <c r="AC768" s="67"/>
      <c r="AD768" s="55"/>
    </row>
    <row r="769" spans="1:30" s="52" customFormat="1">
      <c r="A769" s="96" t="s">
        <v>207</v>
      </c>
      <c r="B769" s="180">
        <v>4065526</v>
      </c>
      <c r="C769" s="211">
        <f t="shared" si="1285"/>
        <v>338793.83</v>
      </c>
      <c r="D769" s="170">
        <v>1.6500000000000001E-2</v>
      </c>
      <c r="E769" s="170">
        <v>0.1368</v>
      </c>
      <c r="F769" s="170">
        <v>5.7599999999999998E-2</v>
      </c>
      <c r="G769" s="170">
        <v>8.0399999999999999E-2</v>
      </c>
      <c r="H769" s="170">
        <v>4.1099999999999998E-2</v>
      </c>
      <c r="I769" s="170">
        <v>0.13389999999999999</v>
      </c>
      <c r="J769" s="170">
        <v>2.12E-2</v>
      </c>
      <c r="K769" s="170">
        <v>3.2500000000000001E-2</v>
      </c>
      <c r="L769" s="170">
        <v>1.7100000000000001E-2</v>
      </c>
      <c r="M769" s="170">
        <v>2.5999999999999999E-2</v>
      </c>
      <c r="N769" s="170">
        <v>0.13320000000000001</v>
      </c>
      <c r="O769" s="170">
        <v>1.89E-2</v>
      </c>
      <c r="P769" s="170">
        <v>0</v>
      </c>
      <c r="Q769" s="170">
        <v>3.8600000000000002E-2</v>
      </c>
      <c r="R769" s="170">
        <v>1.9E-2</v>
      </c>
      <c r="S769" s="170">
        <v>4.1999999999999997E-3</v>
      </c>
      <c r="T769" s="170">
        <v>5.3999999999999999E-2</v>
      </c>
      <c r="U769" s="170">
        <v>1.78E-2</v>
      </c>
      <c r="V769" s="170">
        <v>3.6700000000000003E-2</v>
      </c>
      <c r="W769" s="170">
        <v>4.7199999999999999E-2</v>
      </c>
      <c r="X769" s="170">
        <v>6.3899999999999998E-2</v>
      </c>
      <c r="Y769" s="170">
        <v>2.5999999999999999E-3</v>
      </c>
      <c r="Z769" s="171">
        <v>0</v>
      </c>
      <c r="AA769" s="171">
        <v>8.0000000000000004E-4</v>
      </c>
      <c r="AB769" s="171">
        <v>0</v>
      </c>
      <c r="AC769" s="67"/>
      <c r="AD769" s="55"/>
    </row>
    <row r="770" spans="1:30" s="52" customFormat="1">
      <c r="A770" s="97"/>
      <c r="B770" s="30"/>
      <c r="C770" s="211"/>
      <c r="D770" s="6">
        <f t="shared" ref="D770" si="1423">$C769*D769</f>
        <v>5590.0981950000005</v>
      </c>
      <c r="E770" s="6">
        <f t="shared" ref="E770" si="1424">$C769*E769</f>
        <v>46346.995944000002</v>
      </c>
      <c r="F770" s="6">
        <f t="shared" ref="F770:O770" si="1425">$C769*F769</f>
        <v>19514.524608</v>
      </c>
      <c r="G770" s="6">
        <f t="shared" si="1425"/>
        <v>27239.023932</v>
      </c>
      <c r="H770" s="6">
        <f t="shared" si="1425"/>
        <v>13924.426412999999</v>
      </c>
      <c r="I770" s="6">
        <f t="shared" si="1425"/>
        <v>45364.493837000002</v>
      </c>
      <c r="J770" s="6">
        <f t="shared" si="1425"/>
        <v>7182.429196</v>
      </c>
      <c r="K770" s="6">
        <f t="shared" si="1425"/>
        <v>11010.799475000002</v>
      </c>
      <c r="L770" s="6">
        <f t="shared" si="1425"/>
        <v>5793.3744930000003</v>
      </c>
      <c r="M770" s="6">
        <f t="shared" si="1425"/>
        <v>8808.6395799999991</v>
      </c>
      <c r="N770" s="6">
        <f t="shared" si="1425"/>
        <v>45127.338156000005</v>
      </c>
      <c r="O770" s="6">
        <f t="shared" si="1425"/>
        <v>6403.2033870000005</v>
      </c>
      <c r="P770" s="6">
        <f t="shared" ref="P770" si="1426">$C769*P769</f>
        <v>0</v>
      </c>
      <c r="Q770" s="6">
        <f t="shared" ref="Q770" si="1427">$C769*Q769</f>
        <v>13077.441838000001</v>
      </c>
      <c r="R770" s="6">
        <f t="shared" ref="R770:AB770" si="1428">$C769*R769</f>
        <v>6437.08277</v>
      </c>
      <c r="S770" s="6">
        <f t="shared" si="1428"/>
        <v>1422.934086</v>
      </c>
      <c r="T770" s="6">
        <f t="shared" si="1428"/>
        <v>18294.866819999999</v>
      </c>
      <c r="U770" s="6">
        <f t="shared" si="1428"/>
        <v>6030.5301740000004</v>
      </c>
      <c r="V770" s="6">
        <f t="shared" si="1428"/>
        <v>12433.733561000001</v>
      </c>
      <c r="W770" s="6">
        <f t="shared" si="1428"/>
        <v>15991.068776</v>
      </c>
      <c r="X770" s="6">
        <f t="shared" si="1428"/>
        <v>21648.925737000001</v>
      </c>
      <c r="Y770" s="6">
        <f t="shared" si="1428"/>
        <v>880.86395800000003</v>
      </c>
      <c r="Z770" s="6">
        <f t="shared" si="1428"/>
        <v>0</v>
      </c>
      <c r="AA770" s="6">
        <f t="shared" si="1428"/>
        <v>271.03506400000003</v>
      </c>
      <c r="AB770" s="6">
        <f t="shared" si="1428"/>
        <v>0</v>
      </c>
      <c r="AC770" s="67"/>
      <c r="AD770" s="55"/>
    </row>
    <row r="771" spans="1:30" s="52" customFormat="1">
      <c r="A771" s="96" t="s">
        <v>449</v>
      </c>
      <c r="B771" s="203">
        <v>4065526</v>
      </c>
      <c r="C771" s="211">
        <f t="shared" si="1285"/>
        <v>338793.83</v>
      </c>
      <c r="D771" s="5"/>
      <c r="E771" s="171">
        <v>0.63100000000000001</v>
      </c>
      <c r="F771" s="5"/>
      <c r="G771" s="171">
        <v>0.2185</v>
      </c>
      <c r="H771" s="5"/>
      <c r="I771" s="5"/>
      <c r="J771" s="171">
        <v>9.1600000000000001E-2</v>
      </c>
      <c r="K771" s="5"/>
      <c r="L771" s="171">
        <v>5.7599999999999998E-2</v>
      </c>
      <c r="M771" s="5"/>
      <c r="N771" s="5"/>
      <c r="O771" s="171">
        <v>4.0000000000000002E-4</v>
      </c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171">
        <v>8.9999999999999998E-4</v>
      </c>
      <c r="AB771" s="5"/>
      <c r="AC771" s="67"/>
      <c r="AD771" s="55"/>
    </row>
    <row r="772" spans="1:30" s="52" customFormat="1">
      <c r="A772" s="97"/>
      <c r="B772" s="12"/>
      <c r="C772" s="211"/>
      <c r="D772" s="6">
        <f t="shared" ref="D772" si="1429">$C771*D771</f>
        <v>0</v>
      </c>
      <c r="E772" s="6">
        <f t="shared" ref="E772" si="1430">$C771*E771</f>
        <v>213778.90673000002</v>
      </c>
      <c r="F772" s="6">
        <f t="shared" ref="F772:O772" si="1431">$C771*F771</f>
        <v>0</v>
      </c>
      <c r="G772" s="6">
        <f t="shared" si="1431"/>
        <v>74026.451855000007</v>
      </c>
      <c r="H772" s="6">
        <f t="shared" si="1431"/>
        <v>0</v>
      </c>
      <c r="I772" s="6">
        <f t="shared" si="1431"/>
        <v>0</v>
      </c>
      <c r="J772" s="6">
        <f t="shared" si="1431"/>
        <v>31033.514828000003</v>
      </c>
      <c r="K772" s="6">
        <f t="shared" si="1431"/>
        <v>0</v>
      </c>
      <c r="L772" s="6">
        <f t="shared" si="1431"/>
        <v>19514.524608</v>
      </c>
      <c r="M772" s="6">
        <f t="shared" si="1431"/>
        <v>0</v>
      </c>
      <c r="N772" s="6">
        <f t="shared" si="1431"/>
        <v>0</v>
      </c>
      <c r="O772" s="6">
        <f t="shared" si="1431"/>
        <v>135.51753200000002</v>
      </c>
      <c r="P772" s="6">
        <f t="shared" ref="P772" si="1432">$C771*P771</f>
        <v>0</v>
      </c>
      <c r="Q772" s="6">
        <f t="shared" ref="Q772" si="1433">$C771*Q771</f>
        <v>0</v>
      </c>
      <c r="R772" s="6">
        <f t="shared" ref="R772:AB772" si="1434">$C771*R771</f>
        <v>0</v>
      </c>
      <c r="S772" s="6">
        <f t="shared" si="1434"/>
        <v>0</v>
      </c>
      <c r="T772" s="6">
        <f t="shared" si="1434"/>
        <v>0</v>
      </c>
      <c r="U772" s="6">
        <f t="shared" si="1434"/>
        <v>0</v>
      </c>
      <c r="V772" s="6">
        <f t="shared" si="1434"/>
        <v>0</v>
      </c>
      <c r="W772" s="6">
        <f t="shared" si="1434"/>
        <v>0</v>
      </c>
      <c r="X772" s="6">
        <f t="shared" si="1434"/>
        <v>0</v>
      </c>
      <c r="Y772" s="6">
        <f t="shared" si="1434"/>
        <v>0</v>
      </c>
      <c r="Z772" s="6">
        <f t="shared" si="1434"/>
        <v>0</v>
      </c>
      <c r="AA772" s="6">
        <f t="shared" si="1434"/>
        <v>304.914447</v>
      </c>
      <c r="AB772" s="6">
        <f t="shared" si="1434"/>
        <v>0</v>
      </c>
      <c r="AC772" s="67"/>
      <c r="AD772" s="55"/>
    </row>
    <row r="773" spans="1:30" s="52" customFormat="1">
      <c r="A773" s="103" t="s">
        <v>208</v>
      </c>
      <c r="B773" s="180">
        <v>566094</v>
      </c>
      <c r="C773" s="211">
        <f t="shared" si="1285"/>
        <v>47174.5</v>
      </c>
      <c r="D773" s="5"/>
      <c r="E773" s="5"/>
      <c r="F773" s="5"/>
      <c r="G773" s="5">
        <v>0.73019999999999996</v>
      </c>
      <c r="H773" s="5"/>
      <c r="I773" s="5"/>
      <c r="J773" s="5">
        <v>0.19389999999999999</v>
      </c>
      <c r="K773" s="5"/>
      <c r="L773" s="5">
        <v>7.5899999999999995E-2</v>
      </c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67"/>
      <c r="AD773" s="55"/>
    </row>
    <row r="774" spans="1:30" s="52" customFormat="1">
      <c r="A774" s="102"/>
      <c r="B774" s="30"/>
      <c r="C774" s="211"/>
      <c r="D774" s="7">
        <f t="shared" ref="D774" si="1435">$C773*D773</f>
        <v>0</v>
      </c>
      <c r="E774" s="7">
        <f t="shared" ref="E774" si="1436">$C773*E773</f>
        <v>0</v>
      </c>
      <c r="F774" s="7">
        <f t="shared" ref="F774:O774" si="1437">$C773*F773</f>
        <v>0</v>
      </c>
      <c r="G774" s="7">
        <f t="shared" si="1437"/>
        <v>34446.819899999995</v>
      </c>
      <c r="H774" s="7">
        <f t="shared" si="1437"/>
        <v>0</v>
      </c>
      <c r="I774" s="7">
        <f t="shared" si="1437"/>
        <v>0</v>
      </c>
      <c r="J774" s="7">
        <f t="shared" si="1437"/>
        <v>9147.1355499999991</v>
      </c>
      <c r="K774" s="7">
        <f t="shared" si="1437"/>
        <v>0</v>
      </c>
      <c r="L774" s="7">
        <f t="shared" si="1437"/>
        <v>3580.5445499999996</v>
      </c>
      <c r="M774" s="7">
        <f t="shared" si="1437"/>
        <v>0</v>
      </c>
      <c r="N774" s="7">
        <f t="shared" si="1437"/>
        <v>0</v>
      </c>
      <c r="O774" s="7">
        <f t="shared" si="1437"/>
        <v>0</v>
      </c>
      <c r="P774" s="7">
        <f t="shared" ref="P774" si="1438">$C773*P773</f>
        <v>0</v>
      </c>
      <c r="Q774" s="7">
        <f t="shared" ref="Q774" si="1439">$C773*Q773</f>
        <v>0</v>
      </c>
      <c r="R774" s="7">
        <f t="shared" ref="R774:AB774" si="1440">$C773*R773</f>
        <v>0</v>
      </c>
      <c r="S774" s="7">
        <f t="shared" si="1440"/>
        <v>0</v>
      </c>
      <c r="T774" s="7">
        <f t="shared" si="1440"/>
        <v>0</v>
      </c>
      <c r="U774" s="7">
        <f t="shared" si="1440"/>
        <v>0</v>
      </c>
      <c r="V774" s="7">
        <f t="shared" si="1440"/>
        <v>0</v>
      </c>
      <c r="W774" s="7">
        <f t="shared" si="1440"/>
        <v>0</v>
      </c>
      <c r="X774" s="7">
        <f t="shared" si="1440"/>
        <v>0</v>
      </c>
      <c r="Y774" s="7">
        <f t="shared" si="1440"/>
        <v>0</v>
      </c>
      <c r="Z774" s="7">
        <f t="shared" si="1440"/>
        <v>0</v>
      </c>
      <c r="AA774" s="7">
        <f t="shared" si="1440"/>
        <v>0</v>
      </c>
      <c r="AB774" s="7">
        <f t="shared" si="1440"/>
        <v>0</v>
      </c>
      <c r="AC774" s="67"/>
      <c r="AD774" s="55"/>
    </row>
    <row r="775" spans="1:30" s="52" customFormat="1">
      <c r="A775" s="103" t="s">
        <v>209</v>
      </c>
      <c r="B775" s="180">
        <v>676153</v>
      </c>
      <c r="C775" s="211">
        <f t="shared" si="1285"/>
        <v>56346.080000000002</v>
      </c>
      <c r="D775" s="5"/>
      <c r="E775" s="5">
        <v>0.96009999999999995</v>
      </c>
      <c r="F775" s="5">
        <v>6.1999999999999998E-3</v>
      </c>
      <c r="G775" s="5"/>
      <c r="H775" s="5"/>
      <c r="I775" s="5">
        <v>1.9E-3</v>
      </c>
      <c r="J775" s="5">
        <v>4.4000000000000003E-3</v>
      </c>
      <c r="K775" s="5"/>
      <c r="L775" s="5">
        <v>1.2999999999999999E-3</v>
      </c>
      <c r="M775" s="5"/>
      <c r="N775" s="5"/>
      <c r="O775" s="5"/>
      <c r="P775" s="5"/>
      <c r="Q775" s="5"/>
      <c r="R775" s="5"/>
      <c r="S775" s="5"/>
      <c r="T775" s="5"/>
      <c r="U775" s="5">
        <v>2.6100000000000002E-2</v>
      </c>
      <c r="V775" s="5"/>
      <c r="W775" s="5"/>
      <c r="X775" s="5"/>
      <c r="Y775" s="5"/>
      <c r="Z775" s="5"/>
      <c r="AA775" s="5"/>
      <c r="AB775" s="5"/>
      <c r="AC775" s="67"/>
      <c r="AD775" s="55"/>
    </row>
    <row r="776" spans="1:30" s="52" customFormat="1">
      <c r="A776" s="102"/>
      <c r="B776" s="30"/>
      <c r="C776" s="211"/>
      <c r="D776" s="7">
        <f t="shared" ref="D776" si="1441">$C775*D775</f>
        <v>0</v>
      </c>
      <c r="E776" s="7">
        <f t="shared" ref="E776" si="1442">$C775*E775</f>
        <v>54097.871407999999</v>
      </c>
      <c r="F776" s="7">
        <f t="shared" ref="F776:Q776" si="1443">$C775*F775</f>
        <v>349.34569599999998</v>
      </c>
      <c r="G776" s="7">
        <f t="shared" si="1443"/>
        <v>0</v>
      </c>
      <c r="H776" s="7">
        <f t="shared" si="1443"/>
        <v>0</v>
      </c>
      <c r="I776" s="7">
        <f t="shared" si="1443"/>
        <v>107.057552</v>
      </c>
      <c r="J776" s="7">
        <f t="shared" si="1443"/>
        <v>247.92275200000003</v>
      </c>
      <c r="K776" s="7">
        <f t="shared" si="1443"/>
        <v>0</v>
      </c>
      <c r="L776" s="7">
        <f t="shared" si="1443"/>
        <v>73.249904000000001</v>
      </c>
      <c r="M776" s="7">
        <f t="shared" si="1443"/>
        <v>0</v>
      </c>
      <c r="N776" s="7">
        <f t="shared" si="1443"/>
        <v>0</v>
      </c>
      <c r="O776" s="7">
        <f t="shared" si="1443"/>
        <v>0</v>
      </c>
      <c r="P776" s="7">
        <f t="shared" si="1443"/>
        <v>0</v>
      </c>
      <c r="Q776" s="7">
        <f t="shared" si="1443"/>
        <v>0</v>
      </c>
      <c r="R776" s="7">
        <f t="shared" ref="R776" si="1444">$C775*R775</f>
        <v>0</v>
      </c>
      <c r="S776" s="7">
        <f t="shared" ref="S776" si="1445">$C775*S775</f>
        <v>0</v>
      </c>
      <c r="T776" s="7">
        <f t="shared" ref="T776:AB776" si="1446">$C775*T775</f>
        <v>0</v>
      </c>
      <c r="U776" s="7">
        <f t="shared" si="1446"/>
        <v>1470.6326880000001</v>
      </c>
      <c r="V776" s="7">
        <f t="shared" si="1446"/>
        <v>0</v>
      </c>
      <c r="W776" s="7">
        <f t="shared" si="1446"/>
        <v>0</v>
      </c>
      <c r="X776" s="7">
        <f t="shared" si="1446"/>
        <v>0</v>
      </c>
      <c r="Y776" s="7">
        <f t="shared" si="1446"/>
        <v>0</v>
      </c>
      <c r="Z776" s="7">
        <f t="shared" si="1446"/>
        <v>0</v>
      </c>
      <c r="AA776" s="7">
        <f t="shared" si="1446"/>
        <v>0</v>
      </c>
      <c r="AB776" s="7">
        <f t="shared" si="1446"/>
        <v>0</v>
      </c>
      <c r="AC776" s="67"/>
      <c r="AD776" s="55"/>
    </row>
    <row r="777" spans="1:30" s="52" customFormat="1">
      <c r="A777" s="103" t="s">
        <v>210</v>
      </c>
      <c r="B777" s="180">
        <v>3068128</v>
      </c>
      <c r="C777" s="211">
        <f t="shared" si="1285"/>
        <v>255677.33</v>
      </c>
      <c r="D777" s="5"/>
      <c r="E777" s="5">
        <v>0.1416</v>
      </c>
      <c r="F777" s="5">
        <v>0.1288</v>
      </c>
      <c r="G777" s="5">
        <v>0.58579999999999999</v>
      </c>
      <c r="H777" s="5"/>
      <c r="I777" s="5"/>
      <c r="J777" s="5">
        <v>7.1999999999999998E-3</v>
      </c>
      <c r="K777" s="5"/>
      <c r="L777" s="5">
        <v>7.9299999999999995E-2</v>
      </c>
      <c r="M777" s="5"/>
      <c r="N777" s="5"/>
      <c r="O777" s="5"/>
      <c r="P777" s="5"/>
      <c r="Q777" s="5"/>
      <c r="R777" s="5"/>
      <c r="S777" s="5"/>
      <c r="T777" s="5"/>
      <c r="U777" s="5">
        <v>5.7299999999999997E-2</v>
      </c>
      <c r="V777" s="5"/>
      <c r="W777" s="5"/>
      <c r="X777" s="5"/>
      <c r="Y777" s="5"/>
      <c r="Z777" s="5"/>
      <c r="AA777" s="5"/>
      <c r="AB777" s="5"/>
      <c r="AC777" s="67"/>
      <c r="AD777" s="55"/>
    </row>
    <row r="778" spans="1:30" s="52" customFormat="1">
      <c r="A778" s="102"/>
      <c r="B778" s="30"/>
      <c r="C778" s="211"/>
      <c r="D778" s="7">
        <f t="shared" ref="D778" si="1447">$C777*D777</f>
        <v>0</v>
      </c>
      <c r="E778" s="7">
        <f t="shared" ref="E778" si="1448">$C777*E777</f>
        <v>36203.909928000001</v>
      </c>
      <c r="F778" s="7">
        <f t="shared" ref="F778:AB778" si="1449">$C777*F777</f>
        <v>32931.240103999997</v>
      </c>
      <c r="G778" s="7">
        <f t="shared" si="1449"/>
        <v>149775.77991399998</v>
      </c>
      <c r="H778" s="7">
        <f t="shared" si="1449"/>
        <v>0</v>
      </c>
      <c r="I778" s="7">
        <f t="shared" si="1449"/>
        <v>0</v>
      </c>
      <c r="J778" s="7">
        <f t="shared" si="1449"/>
        <v>1840.8767759999998</v>
      </c>
      <c r="K778" s="7">
        <f t="shared" si="1449"/>
        <v>0</v>
      </c>
      <c r="L778" s="7">
        <f t="shared" si="1449"/>
        <v>20275.212268999996</v>
      </c>
      <c r="M778" s="7">
        <f t="shared" si="1449"/>
        <v>0</v>
      </c>
      <c r="N778" s="7">
        <f t="shared" si="1449"/>
        <v>0</v>
      </c>
      <c r="O778" s="7">
        <f t="shared" si="1449"/>
        <v>0</v>
      </c>
      <c r="P778" s="7">
        <f t="shared" si="1449"/>
        <v>0</v>
      </c>
      <c r="Q778" s="7">
        <f t="shared" si="1449"/>
        <v>0</v>
      </c>
      <c r="R778" s="7">
        <f t="shared" si="1449"/>
        <v>0</v>
      </c>
      <c r="S778" s="7">
        <f t="shared" si="1449"/>
        <v>0</v>
      </c>
      <c r="T778" s="7">
        <f t="shared" si="1449"/>
        <v>0</v>
      </c>
      <c r="U778" s="7">
        <f t="shared" si="1449"/>
        <v>14650.311008999999</v>
      </c>
      <c r="V778" s="7">
        <f t="shared" si="1449"/>
        <v>0</v>
      </c>
      <c r="W778" s="7">
        <f t="shared" si="1449"/>
        <v>0</v>
      </c>
      <c r="X778" s="7">
        <f t="shared" si="1449"/>
        <v>0</v>
      </c>
      <c r="Y778" s="7">
        <f t="shared" si="1449"/>
        <v>0</v>
      </c>
      <c r="Z778" s="7">
        <f t="shared" si="1449"/>
        <v>0</v>
      </c>
      <c r="AA778" s="7">
        <f t="shared" si="1449"/>
        <v>0</v>
      </c>
      <c r="AB778" s="7">
        <f t="shared" si="1449"/>
        <v>0</v>
      </c>
      <c r="AC778" s="67"/>
      <c r="AD778" s="55"/>
    </row>
    <row r="779" spans="1:30" s="52" customFormat="1">
      <c r="A779" s="103" t="s">
        <v>170</v>
      </c>
      <c r="B779" s="180">
        <v>10776842</v>
      </c>
      <c r="C779" s="211">
        <f t="shared" si="1285"/>
        <v>898070.17</v>
      </c>
      <c r="D779" s="5"/>
      <c r="E779" s="5">
        <v>0.87219999999999998</v>
      </c>
      <c r="F779" s="5">
        <v>8.2199999999999995E-2</v>
      </c>
      <c r="G779" s="5">
        <v>3.5200000000000002E-2</v>
      </c>
      <c r="H779" s="5"/>
      <c r="I779" s="5"/>
      <c r="J779" s="5"/>
      <c r="K779" s="5"/>
      <c r="L779" s="5">
        <v>1.04E-2</v>
      </c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67"/>
      <c r="AD779" s="55"/>
    </row>
    <row r="780" spans="1:30" s="52" customFormat="1">
      <c r="A780" s="102"/>
      <c r="B780" s="30"/>
      <c r="C780" s="211"/>
      <c r="D780" s="7">
        <f t="shared" ref="D780" si="1450">$C779*D779</f>
        <v>0</v>
      </c>
      <c r="E780" s="7">
        <f t="shared" ref="E780" si="1451">$C779*E779</f>
        <v>783296.80227400002</v>
      </c>
      <c r="F780" s="7">
        <f t="shared" ref="F780:AB780" si="1452">$C779*F779</f>
        <v>73821.367973999993</v>
      </c>
      <c r="G780" s="7">
        <f t="shared" si="1452"/>
        <v>31612.069984000002</v>
      </c>
      <c r="H780" s="7">
        <f t="shared" si="1452"/>
        <v>0</v>
      </c>
      <c r="I780" s="7">
        <f t="shared" si="1452"/>
        <v>0</v>
      </c>
      <c r="J780" s="7">
        <f t="shared" si="1452"/>
        <v>0</v>
      </c>
      <c r="K780" s="7">
        <f t="shared" si="1452"/>
        <v>0</v>
      </c>
      <c r="L780" s="7">
        <f t="shared" si="1452"/>
        <v>9339.929768</v>
      </c>
      <c r="M780" s="7">
        <f t="shared" si="1452"/>
        <v>0</v>
      </c>
      <c r="N780" s="7">
        <f t="shared" si="1452"/>
        <v>0</v>
      </c>
      <c r="O780" s="7">
        <f t="shared" si="1452"/>
        <v>0</v>
      </c>
      <c r="P780" s="7">
        <f t="shared" si="1452"/>
        <v>0</v>
      </c>
      <c r="Q780" s="7">
        <f t="shared" si="1452"/>
        <v>0</v>
      </c>
      <c r="R780" s="7">
        <f t="shared" si="1452"/>
        <v>0</v>
      </c>
      <c r="S780" s="7">
        <f t="shared" si="1452"/>
        <v>0</v>
      </c>
      <c r="T780" s="7">
        <f t="shared" si="1452"/>
        <v>0</v>
      </c>
      <c r="U780" s="7">
        <f t="shared" si="1452"/>
        <v>0</v>
      </c>
      <c r="V780" s="7">
        <f t="shared" si="1452"/>
        <v>0</v>
      </c>
      <c r="W780" s="7">
        <f t="shared" si="1452"/>
        <v>0</v>
      </c>
      <c r="X780" s="7">
        <f t="shared" si="1452"/>
        <v>0</v>
      </c>
      <c r="Y780" s="7">
        <f t="shared" si="1452"/>
        <v>0</v>
      </c>
      <c r="Z780" s="7">
        <f t="shared" si="1452"/>
        <v>0</v>
      </c>
      <c r="AA780" s="7">
        <f t="shared" si="1452"/>
        <v>0</v>
      </c>
      <c r="AB780" s="7">
        <f t="shared" si="1452"/>
        <v>0</v>
      </c>
      <c r="AC780" s="67"/>
      <c r="AD780" s="55"/>
    </row>
    <row r="781" spans="1:30" s="52" customFormat="1">
      <c r="A781" s="96" t="s">
        <v>211</v>
      </c>
      <c r="B781" s="180">
        <v>128173</v>
      </c>
      <c r="C781" s="211">
        <f t="shared" si="1285"/>
        <v>10681.08</v>
      </c>
      <c r="D781" s="170">
        <v>1.6500000000000001E-2</v>
      </c>
      <c r="E781" s="170">
        <v>0.1368</v>
      </c>
      <c r="F781" s="170">
        <v>5.7599999999999998E-2</v>
      </c>
      <c r="G781" s="170">
        <v>8.0399999999999999E-2</v>
      </c>
      <c r="H781" s="170">
        <v>4.1099999999999998E-2</v>
      </c>
      <c r="I781" s="170">
        <v>0.13389999999999999</v>
      </c>
      <c r="J781" s="170">
        <v>2.12E-2</v>
      </c>
      <c r="K781" s="170">
        <v>3.2500000000000001E-2</v>
      </c>
      <c r="L781" s="170">
        <v>1.7100000000000001E-2</v>
      </c>
      <c r="M781" s="170">
        <v>2.5999999999999999E-2</v>
      </c>
      <c r="N781" s="170">
        <v>0.13320000000000001</v>
      </c>
      <c r="O781" s="170">
        <v>1.89E-2</v>
      </c>
      <c r="P781" s="170">
        <v>0</v>
      </c>
      <c r="Q781" s="170">
        <v>3.8600000000000002E-2</v>
      </c>
      <c r="R781" s="170">
        <v>1.9E-2</v>
      </c>
      <c r="S781" s="170">
        <v>4.1999999999999997E-3</v>
      </c>
      <c r="T781" s="170">
        <v>5.3999999999999999E-2</v>
      </c>
      <c r="U781" s="170">
        <v>1.78E-2</v>
      </c>
      <c r="V781" s="170">
        <v>3.6700000000000003E-2</v>
      </c>
      <c r="W781" s="170">
        <v>4.7199999999999999E-2</v>
      </c>
      <c r="X781" s="170">
        <v>6.3899999999999998E-2</v>
      </c>
      <c r="Y781" s="170">
        <v>2.5999999999999999E-3</v>
      </c>
      <c r="Z781" s="171">
        <v>0</v>
      </c>
      <c r="AA781" s="171">
        <v>8.0000000000000004E-4</v>
      </c>
      <c r="AB781" s="171">
        <v>0</v>
      </c>
      <c r="AC781" s="67"/>
      <c r="AD781" s="55"/>
    </row>
    <row r="782" spans="1:30" s="52" customFormat="1">
      <c r="A782" s="97"/>
      <c r="B782" s="30"/>
      <c r="C782" s="211"/>
      <c r="D782" s="6">
        <f t="shared" ref="D782" si="1453">$C781*D781</f>
        <v>176.23782</v>
      </c>
      <c r="E782" s="6">
        <f t="shared" ref="E782" si="1454">$C781*E781</f>
        <v>1461.171744</v>
      </c>
      <c r="F782" s="6">
        <f t="shared" ref="F782:AB782" si="1455">$C781*F781</f>
        <v>615.23020799999995</v>
      </c>
      <c r="G782" s="6">
        <f t="shared" si="1455"/>
        <v>858.75883199999998</v>
      </c>
      <c r="H782" s="6">
        <f t="shared" si="1455"/>
        <v>438.99238799999995</v>
      </c>
      <c r="I782" s="6">
        <f t="shared" si="1455"/>
        <v>1430.196612</v>
      </c>
      <c r="J782" s="6">
        <f t="shared" si="1455"/>
        <v>226.438896</v>
      </c>
      <c r="K782" s="6">
        <f t="shared" si="1455"/>
        <v>347.13510000000002</v>
      </c>
      <c r="L782" s="6">
        <f t="shared" si="1455"/>
        <v>182.646468</v>
      </c>
      <c r="M782" s="6">
        <f t="shared" si="1455"/>
        <v>277.70808</v>
      </c>
      <c r="N782" s="6">
        <f t="shared" si="1455"/>
        <v>1422.7198560000002</v>
      </c>
      <c r="O782" s="6">
        <f t="shared" si="1455"/>
        <v>201.872412</v>
      </c>
      <c r="P782" s="6">
        <f t="shared" si="1455"/>
        <v>0</v>
      </c>
      <c r="Q782" s="6">
        <f t="shared" si="1455"/>
        <v>412.28968800000001</v>
      </c>
      <c r="R782" s="6">
        <f t="shared" si="1455"/>
        <v>202.94051999999999</v>
      </c>
      <c r="S782" s="6">
        <f t="shared" si="1455"/>
        <v>44.860535999999996</v>
      </c>
      <c r="T782" s="6">
        <f t="shared" si="1455"/>
        <v>576.77832000000001</v>
      </c>
      <c r="U782" s="6">
        <f t="shared" si="1455"/>
        <v>190.12322399999999</v>
      </c>
      <c r="V782" s="6">
        <f t="shared" si="1455"/>
        <v>391.99563600000005</v>
      </c>
      <c r="W782" s="6">
        <f t="shared" si="1455"/>
        <v>504.146976</v>
      </c>
      <c r="X782" s="6">
        <f t="shared" si="1455"/>
        <v>682.52101199999993</v>
      </c>
      <c r="Y782" s="6">
        <f t="shared" si="1455"/>
        <v>27.770807999999999</v>
      </c>
      <c r="Z782" s="6">
        <f t="shared" si="1455"/>
        <v>0</v>
      </c>
      <c r="AA782" s="6">
        <f t="shared" si="1455"/>
        <v>8.5448640000000005</v>
      </c>
      <c r="AB782" s="6">
        <f t="shared" si="1455"/>
        <v>0</v>
      </c>
      <c r="AC782" s="67"/>
      <c r="AD782" s="55"/>
    </row>
    <row r="783" spans="1:30" s="52" customFormat="1">
      <c r="A783" s="96" t="s">
        <v>450</v>
      </c>
      <c r="B783" s="203">
        <v>128173</v>
      </c>
      <c r="C783" s="211">
        <f t="shared" si="1285"/>
        <v>10681.08</v>
      </c>
      <c r="D783" s="5"/>
      <c r="E783" s="5">
        <v>1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67"/>
      <c r="AD783" s="55"/>
    </row>
    <row r="784" spans="1:30" s="52" customFormat="1">
      <c r="A784" s="97"/>
      <c r="B784" s="12"/>
      <c r="C784" s="211"/>
      <c r="D784" s="6">
        <f t="shared" ref="D784" si="1456">$C783*D783</f>
        <v>0</v>
      </c>
      <c r="E784" s="6">
        <f t="shared" ref="E784" si="1457">$C783*E783</f>
        <v>10681.08</v>
      </c>
      <c r="F784" s="6">
        <f t="shared" ref="F784:O784" si="1458">$C783*F783</f>
        <v>0</v>
      </c>
      <c r="G784" s="6">
        <f t="shared" si="1458"/>
        <v>0</v>
      </c>
      <c r="H784" s="6">
        <f t="shared" si="1458"/>
        <v>0</v>
      </c>
      <c r="I784" s="6">
        <f t="shared" si="1458"/>
        <v>0</v>
      </c>
      <c r="J784" s="6">
        <f t="shared" si="1458"/>
        <v>0</v>
      </c>
      <c r="K784" s="6">
        <f t="shared" si="1458"/>
        <v>0</v>
      </c>
      <c r="L784" s="6">
        <f t="shared" si="1458"/>
        <v>0</v>
      </c>
      <c r="M784" s="6">
        <f t="shared" si="1458"/>
        <v>0</v>
      </c>
      <c r="N784" s="6">
        <f t="shared" si="1458"/>
        <v>0</v>
      </c>
      <c r="O784" s="6">
        <f t="shared" si="1458"/>
        <v>0</v>
      </c>
      <c r="P784" s="6">
        <f t="shared" ref="P784" si="1459">$C783*P783</f>
        <v>0</v>
      </c>
      <c r="Q784" s="6">
        <f t="shared" ref="Q784" si="1460">$C783*Q783</f>
        <v>0</v>
      </c>
      <c r="R784" s="6">
        <f t="shared" ref="R784:AB784" si="1461">$C783*R783</f>
        <v>0</v>
      </c>
      <c r="S784" s="6">
        <f t="shared" si="1461"/>
        <v>0</v>
      </c>
      <c r="T784" s="6">
        <f t="shared" si="1461"/>
        <v>0</v>
      </c>
      <c r="U784" s="6">
        <f t="shared" si="1461"/>
        <v>0</v>
      </c>
      <c r="V784" s="6">
        <f t="shared" si="1461"/>
        <v>0</v>
      </c>
      <c r="W784" s="6">
        <f t="shared" si="1461"/>
        <v>0</v>
      </c>
      <c r="X784" s="6">
        <f t="shared" si="1461"/>
        <v>0</v>
      </c>
      <c r="Y784" s="6">
        <f t="shared" si="1461"/>
        <v>0</v>
      </c>
      <c r="Z784" s="6">
        <f t="shared" si="1461"/>
        <v>0</v>
      </c>
      <c r="AA784" s="6">
        <f t="shared" si="1461"/>
        <v>0</v>
      </c>
      <c r="AB784" s="6">
        <f t="shared" si="1461"/>
        <v>0</v>
      </c>
      <c r="AC784" s="67"/>
      <c r="AD784" s="55"/>
    </row>
    <row r="785" spans="1:30" s="52" customFormat="1">
      <c r="A785" s="103" t="s">
        <v>255</v>
      </c>
      <c r="B785" s="180">
        <v>10649639</v>
      </c>
      <c r="C785" s="211">
        <f t="shared" si="1285"/>
        <v>887469.92</v>
      </c>
      <c r="D785" s="40"/>
      <c r="E785" s="40">
        <v>0.34350000000000003</v>
      </c>
      <c r="F785" s="40">
        <v>3.9399999999999998E-2</v>
      </c>
      <c r="G785" s="40">
        <v>0.37040000000000001</v>
      </c>
      <c r="H785" s="40"/>
      <c r="I785" s="40"/>
      <c r="J785" s="40">
        <v>1.2E-2</v>
      </c>
      <c r="K785" s="40"/>
      <c r="L785" s="40">
        <v>0.1041</v>
      </c>
      <c r="M785" s="40"/>
      <c r="N785" s="40">
        <v>6.1899999999999997E-2</v>
      </c>
      <c r="O785" s="40"/>
      <c r="P785" s="40">
        <v>8.9999999999999998E-4</v>
      </c>
      <c r="Q785" s="40">
        <v>1.3899999999999999E-2</v>
      </c>
      <c r="R785" s="40"/>
      <c r="S785" s="40">
        <v>1.4E-3</v>
      </c>
      <c r="T785" s="40"/>
      <c r="U785" s="40">
        <v>3.09E-2</v>
      </c>
      <c r="V785" s="40"/>
      <c r="W785" s="40"/>
      <c r="X785" s="40">
        <v>0.02</v>
      </c>
      <c r="Y785" s="40">
        <v>8.0000000000000004E-4</v>
      </c>
      <c r="Z785" s="40">
        <v>8.0000000000000004E-4</v>
      </c>
      <c r="AA785" s="40">
        <v>0</v>
      </c>
      <c r="AB785" s="40">
        <v>0</v>
      </c>
      <c r="AC785" s="67"/>
      <c r="AD785" s="55"/>
    </row>
    <row r="786" spans="1:30" s="52" customFormat="1">
      <c r="A786" s="102"/>
      <c r="B786" s="30"/>
      <c r="C786" s="211"/>
      <c r="D786" s="146">
        <f t="shared" ref="D786" si="1462">$C785*D785</f>
        <v>0</v>
      </c>
      <c r="E786" s="146">
        <f t="shared" ref="E786" si="1463">$C785*E785</f>
        <v>304845.91752000002</v>
      </c>
      <c r="F786" s="146">
        <f t="shared" ref="F786:AB786" si="1464">$C785*F785</f>
        <v>34966.314848000002</v>
      </c>
      <c r="G786" s="146">
        <f t="shared" si="1464"/>
        <v>328718.85836800002</v>
      </c>
      <c r="H786" s="146">
        <f t="shared" si="1464"/>
        <v>0</v>
      </c>
      <c r="I786" s="146">
        <f t="shared" si="1464"/>
        <v>0</v>
      </c>
      <c r="J786" s="146">
        <f t="shared" si="1464"/>
        <v>10649.63904</v>
      </c>
      <c r="K786" s="146">
        <f t="shared" si="1464"/>
        <v>0</v>
      </c>
      <c r="L786" s="146">
        <f t="shared" si="1464"/>
        <v>92385.618671999997</v>
      </c>
      <c r="M786" s="146">
        <f t="shared" si="1464"/>
        <v>0</v>
      </c>
      <c r="N786" s="146">
        <f t="shared" si="1464"/>
        <v>54934.388048000001</v>
      </c>
      <c r="O786" s="146">
        <f t="shared" si="1464"/>
        <v>0</v>
      </c>
      <c r="P786" s="146">
        <f t="shared" si="1464"/>
        <v>798.72292800000002</v>
      </c>
      <c r="Q786" s="146">
        <f t="shared" si="1464"/>
        <v>12335.831888000001</v>
      </c>
      <c r="R786" s="146">
        <f t="shared" si="1464"/>
        <v>0</v>
      </c>
      <c r="S786" s="146">
        <f t="shared" si="1464"/>
        <v>1242.4578880000001</v>
      </c>
      <c r="T786" s="146">
        <f t="shared" si="1464"/>
        <v>0</v>
      </c>
      <c r="U786" s="146">
        <f t="shared" si="1464"/>
        <v>27422.820528</v>
      </c>
      <c r="V786" s="146">
        <f t="shared" si="1464"/>
        <v>0</v>
      </c>
      <c r="W786" s="146">
        <f t="shared" si="1464"/>
        <v>0</v>
      </c>
      <c r="X786" s="146">
        <f t="shared" si="1464"/>
        <v>17749.398400000002</v>
      </c>
      <c r="Y786" s="146">
        <f t="shared" si="1464"/>
        <v>709.97593600000005</v>
      </c>
      <c r="Z786" s="146">
        <f t="shared" si="1464"/>
        <v>709.97593600000005</v>
      </c>
      <c r="AA786" s="146">
        <f t="shared" si="1464"/>
        <v>0</v>
      </c>
      <c r="AB786" s="146">
        <f t="shared" si="1464"/>
        <v>0</v>
      </c>
      <c r="AC786" s="67"/>
      <c r="AD786" s="55"/>
    </row>
    <row r="787" spans="1:30" s="52" customFormat="1">
      <c r="A787" s="103" t="s">
        <v>256</v>
      </c>
      <c r="B787" s="180">
        <v>9580859</v>
      </c>
      <c r="C787" s="211">
        <f t="shared" ref="C787:C849" si="1465">ROUND(B787/12,2)</f>
        <v>798404.92</v>
      </c>
      <c r="D787" s="5"/>
      <c r="E787" s="5">
        <v>0.88300000000000001</v>
      </c>
      <c r="F787" s="5"/>
      <c r="G787" s="5">
        <v>8.8599999999999998E-2</v>
      </c>
      <c r="H787" s="5"/>
      <c r="I787" s="5"/>
      <c r="J787" s="5">
        <v>2.8400000000000002E-2</v>
      </c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67"/>
      <c r="AD787" s="55"/>
    </row>
    <row r="788" spans="1:30" s="52" customFormat="1">
      <c r="A788" s="102"/>
      <c r="B788" s="30"/>
      <c r="C788" s="211"/>
      <c r="D788" s="7">
        <f t="shared" ref="D788" si="1466">$C787*D787</f>
        <v>0</v>
      </c>
      <c r="E788" s="7">
        <f t="shared" ref="E788" si="1467">$C787*E787</f>
        <v>704991.54436000006</v>
      </c>
      <c r="F788" s="7">
        <f t="shared" ref="F788:AB788" si="1468">$C787*F787</f>
        <v>0</v>
      </c>
      <c r="G788" s="7">
        <f t="shared" si="1468"/>
        <v>70738.675912000006</v>
      </c>
      <c r="H788" s="7">
        <f t="shared" si="1468"/>
        <v>0</v>
      </c>
      <c r="I788" s="7">
        <f t="shared" si="1468"/>
        <v>0</v>
      </c>
      <c r="J788" s="7">
        <f t="shared" si="1468"/>
        <v>22674.699728000003</v>
      </c>
      <c r="K788" s="7">
        <f t="shared" si="1468"/>
        <v>0</v>
      </c>
      <c r="L788" s="7">
        <f t="shared" si="1468"/>
        <v>0</v>
      </c>
      <c r="M788" s="7">
        <f t="shared" si="1468"/>
        <v>0</v>
      </c>
      <c r="N788" s="7">
        <f t="shared" si="1468"/>
        <v>0</v>
      </c>
      <c r="O788" s="7">
        <f t="shared" si="1468"/>
        <v>0</v>
      </c>
      <c r="P788" s="7">
        <f t="shared" si="1468"/>
        <v>0</v>
      </c>
      <c r="Q788" s="7">
        <f t="shared" si="1468"/>
        <v>0</v>
      </c>
      <c r="R788" s="7">
        <f t="shared" si="1468"/>
        <v>0</v>
      </c>
      <c r="S788" s="7">
        <f t="shared" si="1468"/>
        <v>0</v>
      </c>
      <c r="T788" s="7">
        <f t="shared" si="1468"/>
        <v>0</v>
      </c>
      <c r="U788" s="7">
        <f t="shared" si="1468"/>
        <v>0</v>
      </c>
      <c r="V788" s="7">
        <f t="shared" si="1468"/>
        <v>0</v>
      </c>
      <c r="W788" s="7">
        <f t="shared" si="1468"/>
        <v>0</v>
      </c>
      <c r="X788" s="7">
        <f t="shared" si="1468"/>
        <v>0</v>
      </c>
      <c r="Y788" s="7">
        <f t="shared" si="1468"/>
        <v>0</v>
      </c>
      <c r="Z788" s="7">
        <f t="shared" si="1468"/>
        <v>0</v>
      </c>
      <c r="AA788" s="7">
        <f t="shared" si="1468"/>
        <v>0</v>
      </c>
      <c r="AB788" s="7">
        <f t="shared" si="1468"/>
        <v>0</v>
      </c>
      <c r="AC788" s="67"/>
      <c r="AD788" s="55"/>
    </row>
    <row r="789" spans="1:30" s="52" customFormat="1">
      <c r="A789" s="103" t="s">
        <v>257</v>
      </c>
      <c r="B789" s="180">
        <v>12955310</v>
      </c>
      <c r="C789" s="211">
        <f t="shared" si="1465"/>
        <v>1079609.17</v>
      </c>
      <c r="D789" s="5"/>
      <c r="E789" s="5">
        <v>0.87180000000000002</v>
      </c>
      <c r="F789" s="5"/>
      <c r="G789" s="5">
        <v>0.10059999999999999</v>
      </c>
      <c r="H789" s="5"/>
      <c r="I789" s="5"/>
      <c r="J789" s="5">
        <v>2.76E-2</v>
      </c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67"/>
      <c r="AD789" s="55"/>
    </row>
    <row r="790" spans="1:30" s="52" customFormat="1">
      <c r="A790" s="102"/>
      <c r="B790" s="30"/>
      <c r="C790" s="211"/>
      <c r="D790" s="7">
        <f t="shared" ref="D790" si="1469">$C789*D789</f>
        <v>0</v>
      </c>
      <c r="E790" s="7">
        <f t="shared" ref="E790" si="1470">$C789*E789</f>
        <v>941203.27440599992</v>
      </c>
      <c r="F790" s="7">
        <f t="shared" ref="F790:AB790" si="1471">$C789*F789</f>
        <v>0</v>
      </c>
      <c r="G790" s="7">
        <f t="shared" si="1471"/>
        <v>108608.68250199998</v>
      </c>
      <c r="H790" s="7">
        <f t="shared" si="1471"/>
        <v>0</v>
      </c>
      <c r="I790" s="7">
        <f t="shared" si="1471"/>
        <v>0</v>
      </c>
      <c r="J790" s="7">
        <f t="shared" si="1471"/>
        <v>29797.213091999998</v>
      </c>
      <c r="K790" s="7">
        <f t="shared" si="1471"/>
        <v>0</v>
      </c>
      <c r="L790" s="7">
        <f t="shared" si="1471"/>
        <v>0</v>
      </c>
      <c r="M790" s="7">
        <f t="shared" si="1471"/>
        <v>0</v>
      </c>
      <c r="N790" s="7">
        <f t="shared" si="1471"/>
        <v>0</v>
      </c>
      <c r="O790" s="7">
        <f t="shared" si="1471"/>
        <v>0</v>
      </c>
      <c r="P790" s="7">
        <f t="shared" si="1471"/>
        <v>0</v>
      </c>
      <c r="Q790" s="7">
        <f t="shared" si="1471"/>
        <v>0</v>
      </c>
      <c r="R790" s="7">
        <f t="shared" si="1471"/>
        <v>0</v>
      </c>
      <c r="S790" s="7">
        <f t="shared" si="1471"/>
        <v>0</v>
      </c>
      <c r="T790" s="7">
        <f t="shared" si="1471"/>
        <v>0</v>
      </c>
      <c r="U790" s="7">
        <f t="shared" si="1471"/>
        <v>0</v>
      </c>
      <c r="V790" s="7">
        <f t="shared" si="1471"/>
        <v>0</v>
      </c>
      <c r="W790" s="7">
        <f t="shared" si="1471"/>
        <v>0</v>
      </c>
      <c r="X790" s="7">
        <f t="shared" si="1471"/>
        <v>0</v>
      </c>
      <c r="Y790" s="7">
        <f t="shared" si="1471"/>
        <v>0</v>
      </c>
      <c r="Z790" s="7">
        <f t="shared" si="1471"/>
        <v>0</v>
      </c>
      <c r="AA790" s="7">
        <f t="shared" si="1471"/>
        <v>0</v>
      </c>
      <c r="AB790" s="7">
        <f t="shared" si="1471"/>
        <v>0</v>
      </c>
      <c r="AC790" s="67"/>
      <c r="AD790" s="55"/>
    </row>
    <row r="791" spans="1:30" s="52" customFormat="1" ht="12.6" customHeight="1">
      <c r="A791" s="103" t="s">
        <v>258</v>
      </c>
      <c r="B791" s="180">
        <v>1114172</v>
      </c>
      <c r="C791" s="211">
        <f t="shared" si="1465"/>
        <v>92847.67</v>
      </c>
      <c r="D791" s="5"/>
      <c r="E791" s="5">
        <v>0.89970000000000006</v>
      </c>
      <c r="F791" s="5"/>
      <c r="G791" s="5"/>
      <c r="H791" s="5"/>
      <c r="I791" s="5"/>
      <c r="J791" s="5">
        <v>0.1003</v>
      </c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7"/>
      <c r="AD791" s="55"/>
    </row>
    <row r="792" spans="1:30" s="52" customFormat="1">
      <c r="A792" s="102"/>
      <c r="B792" s="30"/>
      <c r="C792" s="211"/>
      <c r="D792" s="7">
        <f t="shared" ref="D792" si="1472">$C791*D791</f>
        <v>0</v>
      </c>
      <c r="E792" s="7">
        <f t="shared" ref="E792" si="1473">$C791*E791</f>
        <v>83535.048699000006</v>
      </c>
      <c r="F792" s="7">
        <f t="shared" ref="F792:AB792" si="1474">$C791*F791</f>
        <v>0</v>
      </c>
      <c r="G792" s="7">
        <f t="shared" si="1474"/>
        <v>0</v>
      </c>
      <c r="H792" s="7">
        <f t="shared" si="1474"/>
        <v>0</v>
      </c>
      <c r="I792" s="7">
        <f t="shared" si="1474"/>
        <v>0</v>
      </c>
      <c r="J792" s="7">
        <f t="shared" si="1474"/>
        <v>9312.6213009999992</v>
      </c>
      <c r="K792" s="7">
        <f t="shared" si="1474"/>
        <v>0</v>
      </c>
      <c r="L792" s="7">
        <f t="shared" si="1474"/>
        <v>0</v>
      </c>
      <c r="M792" s="7">
        <f t="shared" si="1474"/>
        <v>0</v>
      </c>
      <c r="N792" s="7">
        <f t="shared" si="1474"/>
        <v>0</v>
      </c>
      <c r="O792" s="7">
        <f t="shared" si="1474"/>
        <v>0</v>
      </c>
      <c r="P792" s="7">
        <f t="shared" si="1474"/>
        <v>0</v>
      </c>
      <c r="Q792" s="7">
        <f t="shared" si="1474"/>
        <v>0</v>
      </c>
      <c r="R792" s="7">
        <f t="shared" si="1474"/>
        <v>0</v>
      </c>
      <c r="S792" s="7">
        <f t="shared" si="1474"/>
        <v>0</v>
      </c>
      <c r="T792" s="7">
        <f t="shared" si="1474"/>
        <v>0</v>
      </c>
      <c r="U792" s="7">
        <f t="shared" si="1474"/>
        <v>0</v>
      </c>
      <c r="V792" s="7">
        <f t="shared" si="1474"/>
        <v>0</v>
      </c>
      <c r="W792" s="7">
        <f t="shared" si="1474"/>
        <v>0</v>
      </c>
      <c r="X792" s="7">
        <f t="shared" si="1474"/>
        <v>0</v>
      </c>
      <c r="Y792" s="7">
        <f t="shared" si="1474"/>
        <v>0</v>
      </c>
      <c r="Z792" s="7">
        <f t="shared" si="1474"/>
        <v>0</v>
      </c>
      <c r="AA792" s="7">
        <f t="shared" si="1474"/>
        <v>0</v>
      </c>
      <c r="AB792" s="7">
        <f t="shared" si="1474"/>
        <v>0</v>
      </c>
      <c r="AC792" s="67"/>
      <c r="AD792" s="55"/>
    </row>
    <row r="793" spans="1:30" s="52" customFormat="1">
      <c r="A793" s="103" t="s">
        <v>259</v>
      </c>
      <c r="B793" s="180">
        <v>3228260</v>
      </c>
      <c r="C793" s="211">
        <f t="shared" si="1465"/>
        <v>269021.67</v>
      </c>
      <c r="D793" s="5"/>
      <c r="E793" s="5">
        <v>0.90649999999999997</v>
      </c>
      <c r="F793" s="5"/>
      <c r="G793" s="5"/>
      <c r="H793" s="5"/>
      <c r="I793" s="5"/>
      <c r="J793" s="5">
        <v>9.35E-2</v>
      </c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67"/>
      <c r="AD793" s="55"/>
    </row>
    <row r="794" spans="1:30" s="52" customFormat="1">
      <c r="A794" s="102"/>
      <c r="B794" s="30"/>
      <c r="C794" s="211"/>
      <c r="D794" s="7">
        <f t="shared" ref="D794" si="1475">$C793*D793</f>
        <v>0</v>
      </c>
      <c r="E794" s="7">
        <f t="shared" ref="E794" si="1476">$C793*E793</f>
        <v>243868.14385499997</v>
      </c>
      <c r="F794" s="7">
        <f t="shared" ref="F794:AB794" si="1477">$C793*F793</f>
        <v>0</v>
      </c>
      <c r="G794" s="7">
        <f t="shared" si="1477"/>
        <v>0</v>
      </c>
      <c r="H794" s="7">
        <f t="shared" si="1477"/>
        <v>0</v>
      </c>
      <c r="I794" s="7">
        <f t="shared" si="1477"/>
        <v>0</v>
      </c>
      <c r="J794" s="7">
        <f t="shared" si="1477"/>
        <v>25153.526145</v>
      </c>
      <c r="K794" s="7">
        <f t="shared" si="1477"/>
        <v>0</v>
      </c>
      <c r="L794" s="7">
        <f t="shared" si="1477"/>
        <v>0</v>
      </c>
      <c r="M794" s="7">
        <f t="shared" si="1477"/>
        <v>0</v>
      </c>
      <c r="N794" s="7">
        <f t="shared" si="1477"/>
        <v>0</v>
      </c>
      <c r="O794" s="7">
        <f t="shared" si="1477"/>
        <v>0</v>
      </c>
      <c r="P794" s="7">
        <f t="shared" si="1477"/>
        <v>0</v>
      </c>
      <c r="Q794" s="7">
        <f t="shared" si="1477"/>
        <v>0</v>
      </c>
      <c r="R794" s="7">
        <f t="shared" si="1477"/>
        <v>0</v>
      </c>
      <c r="S794" s="7">
        <f t="shared" si="1477"/>
        <v>0</v>
      </c>
      <c r="T794" s="7">
        <f t="shared" si="1477"/>
        <v>0</v>
      </c>
      <c r="U794" s="7">
        <f t="shared" si="1477"/>
        <v>0</v>
      </c>
      <c r="V794" s="7">
        <f t="shared" si="1477"/>
        <v>0</v>
      </c>
      <c r="W794" s="7">
        <f t="shared" si="1477"/>
        <v>0</v>
      </c>
      <c r="X794" s="7">
        <f t="shared" si="1477"/>
        <v>0</v>
      </c>
      <c r="Y794" s="7">
        <f t="shared" si="1477"/>
        <v>0</v>
      </c>
      <c r="Z794" s="7">
        <f t="shared" si="1477"/>
        <v>0</v>
      </c>
      <c r="AA794" s="7">
        <f t="shared" si="1477"/>
        <v>0</v>
      </c>
      <c r="AB794" s="7">
        <f t="shared" si="1477"/>
        <v>0</v>
      </c>
      <c r="AC794" s="67"/>
      <c r="AD794" s="55"/>
    </row>
    <row r="795" spans="1:30" s="52" customFormat="1">
      <c r="A795" s="103" t="s">
        <v>260</v>
      </c>
      <c r="B795" s="180">
        <v>1455487</v>
      </c>
      <c r="C795" s="211">
        <f t="shared" si="1465"/>
        <v>121290.58</v>
      </c>
      <c r="D795" s="40"/>
      <c r="E795" s="40">
        <v>0.69410000000000005</v>
      </c>
      <c r="F795" s="40"/>
      <c r="G795" s="40">
        <v>0.2311</v>
      </c>
      <c r="H795" s="40"/>
      <c r="I795" s="40"/>
      <c r="J795" s="40"/>
      <c r="K795" s="40"/>
      <c r="L795" s="40"/>
      <c r="M795" s="40"/>
      <c r="N795" s="40"/>
      <c r="O795" s="40"/>
      <c r="P795" s="40">
        <v>1.9E-3</v>
      </c>
      <c r="Q795" s="40"/>
      <c r="R795" s="40"/>
      <c r="S795" s="40"/>
      <c r="T795" s="40"/>
      <c r="U795" s="40">
        <v>2.4199999999999999E-2</v>
      </c>
      <c r="V795" s="40"/>
      <c r="W795" s="40"/>
      <c r="X795" s="40">
        <v>4.5199999999999997E-2</v>
      </c>
      <c r="Y795" s="40">
        <v>1.8E-3</v>
      </c>
      <c r="Z795" s="40">
        <v>1.6999999999999999E-3</v>
      </c>
      <c r="AA795" s="40">
        <v>0</v>
      </c>
      <c r="AB795" s="40">
        <v>0</v>
      </c>
      <c r="AC795" s="67"/>
      <c r="AD795" s="55"/>
    </row>
    <row r="796" spans="1:30" s="52" customFormat="1">
      <c r="A796" s="102"/>
      <c r="B796" s="30"/>
      <c r="C796" s="211"/>
      <c r="D796" s="146">
        <f t="shared" ref="D796" si="1478">$C795*D795</f>
        <v>0</v>
      </c>
      <c r="E796" s="146">
        <f t="shared" ref="E796" si="1479">$C795*E795</f>
        <v>84187.791578000004</v>
      </c>
      <c r="F796" s="146">
        <f t="shared" ref="F796:AB796" si="1480">$C795*F795</f>
        <v>0</v>
      </c>
      <c r="G796" s="146">
        <f t="shared" si="1480"/>
        <v>28030.253037999999</v>
      </c>
      <c r="H796" s="146">
        <f t="shared" si="1480"/>
        <v>0</v>
      </c>
      <c r="I796" s="146">
        <f t="shared" si="1480"/>
        <v>0</v>
      </c>
      <c r="J796" s="146">
        <f t="shared" si="1480"/>
        <v>0</v>
      </c>
      <c r="K796" s="146">
        <f t="shared" si="1480"/>
        <v>0</v>
      </c>
      <c r="L796" s="146">
        <f t="shared" si="1480"/>
        <v>0</v>
      </c>
      <c r="M796" s="146">
        <f t="shared" si="1480"/>
        <v>0</v>
      </c>
      <c r="N796" s="146">
        <f t="shared" si="1480"/>
        <v>0</v>
      </c>
      <c r="O796" s="146">
        <f t="shared" si="1480"/>
        <v>0</v>
      </c>
      <c r="P796" s="146">
        <f t="shared" si="1480"/>
        <v>230.452102</v>
      </c>
      <c r="Q796" s="146">
        <f t="shared" si="1480"/>
        <v>0</v>
      </c>
      <c r="R796" s="146">
        <f t="shared" si="1480"/>
        <v>0</v>
      </c>
      <c r="S796" s="146">
        <f t="shared" si="1480"/>
        <v>0</v>
      </c>
      <c r="T796" s="146">
        <f t="shared" si="1480"/>
        <v>0</v>
      </c>
      <c r="U796" s="146">
        <f t="shared" si="1480"/>
        <v>2935.2320359999999</v>
      </c>
      <c r="V796" s="146">
        <f t="shared" si="1480"/>
        <v>0</v>
      </c>
      <c r="W796" s="146">
        <f t="shared" si="1480"/>
        <v>0</v>
      </c>
      <c r="X796" s="146">
        <f t="shared" si="1480"/>
        <v>5482.3342159999993</v>
      </c>
      <c r="Y796" s="146">
        <f t="shared" si="1480"/>
        <v>218.32304400000001</v>
      </c>
      <c r="Z796" s="146">
        <f t="shared" si="1480"/>
        <v>206.193986</v>
      </c>
      <c r="AA796" s="146">
        <f t="shared" si="1480"/>
        <v>0</v>
      </c>
      <c r="AB796" s="146">
        <f t="shared" si="1480"/>
        <v>0</v>
      </c>
      <c r="AC796" s="67"/>
      <c r="AD796" s="55"/>
    </row>
    <row r="797" spans="1:30" s="52" customFormat="1">
      <c r="A797" s="96" t="s">
        <v>261</v>
      </c>
      <c r="B797" s="180">
        <v>1358828</v>
      </c>
      <c r="C797" s="211">
        <f t="shared" si="1465"/>
        <v>113235.67</v>
      </c>
      <c r="D797" s="170">
        <v>1.6500000000000001E-2</v>
      </c>
      <c r="E797" s="170">
        <v>0.1368</v>
      </c>
      <c r="F797" s="170">
        <v>5.7599999999999998E-2</v>
      </c>
      <c r="G797" s="170">
        <v>8.0399999999999999E-2</v>
      </c>
      <c r="H797" s="170">
        <v>4.1099999999999998E-2</v>
      </c>
      <c r="I797" s="170">
        <v>0.13389999999999999</v>
      </c>
      <c r="J797" s="170">
        <v>2.12E-2</v>
      </c>
      <c r="K797" s="170">
        <v>3.2500000000000001E-2</v>
      </c>
      <c r="L797" s="170">
        <v>1.7100000000000001E-2</v>
      </c>
      <c r="M797" s="170">
        <v>2.5999999999999999E-2</v>
      </c>
      <c r="N797" s="170">
        <v>0.13320000000000001</v>
      </c>
      <c r="O797" s="170">
        <v>1.89E-2</v>
      </c>
      <c r="P797" s="170">
        <v>0</v>
      </c>
      <c r="Q797" s="170">
        <v>3.8600000000000002E-2</v>
      </c>
      <c r="R797" s="170">
        <v>1.9E-2</v>
      </c>
      <c r="S797" s="170">
        <v>4.1999999999999997E-3</v>
      </c>
      <c r="T797" s="170">
        <v>5.3999999999999999E-2</v>
      </c>
      <c r="U797" s="170">
        <v>1.78E-2</v>
      </c>
      <c r="V797" s="170">
        <v>3.6700000000000003E-2</v>
      </c>
      <c r="W797" s="170">
        <v>4.7199999999999999E-2</v>
      </c>
      <c r="X797" s="170">
        <v>6.3899999999999998E-2</v>
      </c>
      <c r="Y797" s="170">
        <v>2.5999999999999999E-3</v>
      </c>
      <c r="Z797" s="171">
        <v>0</v>
      </c>
      <c r="AA797" s="171">
        <v>8.0000000000000004E-4</v>
      </c>
      <c r="AB797" s="171">
        <v>0</v>
      </c>
      <c r="AC797" s="67"/>
      <c r="AD797" s="55"/>
    </row>
    <row r="798" spans="1:30" s="52" customFormat="1">
      <c r="A798" s="97"/>
      <c r="B798" s="30"/>
      <c r="C798" s="211"/>
      <c r="D798" s="6">
        <f t="shared" ref="D798" si="1481">$C797*D797</f>
        <v>1868.388555</v>
      </c>
      <c r="E798" s="6">
        <f t="shared" ref="E798" si="1482">$C797*E797</f>
        <v>15490.639656000001</v>
      </c>
      <c r="F798" s="6">
        <f t="shared" ref="F798:AB798" si="1483">$C797*F797</f>
        <v>6522.3745920000001</v>
      </c>
      <c r="G798" s="6">
        <f t="shared" si="1483"/>
        <v>9104.147868</v>
      </c>
      <c r="H798" s="6">
        <f t="shared" si="1483"/>
        <v>4653.9860369999997</v>
      </c>
      <c r="I798" s="6">
        <f t="shared" si="1483"/>
        <v>15162.256212999999</v>
      </c>
      <c r="J798" s="6">
        <f t="shared" si="1483"/>
        <v>2400.5962039999999</v>
      </c>
      <c r="K798" s="6">
        <f t="shared" si="1483"/>
        <v>3680.159275</v>
      </c>
      <c r="L798" s="6">
        <f t="shared" si="1483"/>
        <v>1936.3299570000001</v>
      </c>
      <c r="M798" s="6">
        <f t="shared" si="1483"/>
        <v>2944.1274199999998</v>
      </c>
      <c r="N798" s="6">
        <f t="shared" si="1483"/>
        <v>15082.991244000001</v>
      </c>
      <c r="O798" s="6">
        <f t="shared" si="1483"/>
        <v>2140.1541630000002</v>
      </c>
      <c r="P798" s="6">
        <f t="shared" si="1483"/>
        <v>0</v>
      </c>
      <c r="Q798" s="6">
        <f t="shared" si="1483"/>
        <v>4370.8968620000005</v>
      </c>
      <c r="R798" s="6">
        <f t="shared" si="1483"/>
        <v>2151.4777300000001</v>
      </c>
      <c r="S798" s="6">
        <f t="shared" si="1483"/>
        <v>475.58981399999999</v>
      </c>
      <c r="T798" s="6">
        <f t="shared" si="1483"/>
        <v>6114.7261799999997</v>
      </c>
      <c r="U798" s="6">
        <f t="shared" si="1483"/>
        <v>2015.594926</v>
      </c>
      <c r="V798" s="6">
        <f t="shared" si="1483"/>
        <v>4155.7490889999999</v>
      </c>
      <c r="W798" s="6">
        <f t="shared" si="1483"/>
        <v>5344.7236240000002</v>
      </c>
      <c r="X798" s="6">
        <f t="shared" si="1483"/>
        <v>7235.7593129999996</v>
      </c>
      <c r="Y798" s="6">
        <f t="shared" si="1483"/>
        <v>294.41274199999998</v>
      </c>
      <c r="Z798" s="6">
        <f t="shared" si="1483"/>
        <v>0</v>
      </c>
      <c r="AA798" s="6">
        <f t="shared" si="1483"/>
        <v>90.588536000000005</v>
      </c>
      <c r="AB798" s="6">
        <f t="shared" si="1483"/>
        <v>0</v>
      </c>
      <c r="AC798" s="67"/>
      <c r="AD798" s="55"/>
    </row>
    <row r="799" spans="1:30" s="52" customFormat="1">
      <c r="A799" s="96" t="s">
        <v>451</v>
      </c>
      <c r="B799" s="203">
        <v>1358828</v>
      </c>
      <c r="C799" s="211">
        <f t="shared" si="1465"/>
        <v>113235.67</v>
      </c>
      <c r="D799" s="5"/>
      <c r="E799" s="5">
        <v>1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7"/>
      <c r="AD799" s="55"/>
    </row>
    <row r="800" spans="1:30" s="52" customFormat="1">
      <c r="A800" s="97"/>
      <c r="B800" s="12"/>
      <c r="C800" s="211"/>
      <c r="D800" s="6">
        <f t="shared" ref="D800" si="1484">$C799*D799</f>
        <v>0</v>
      </c>
      <c r="E800" s="6">
        <f t="shared" ref="E800" si="1485">$C799*E799</f>
        <v>113235.67</v>
      </c>
      <c r="F800" s="6">
        <f t="shared" ref="F800:O800" si="1486">$C799*F799</f>
        <v>0</v>
      </c>
      <c r="G800" s="6">
        <f t="shared" si="1486"/>
        <v>0</v>
      </c>
      <c r="H800" s="6">
        <f t="shared" si="1486"/>
        <v>0</v>
      </c>
      <c r="I800" s="6">
        <f t="shared" si="1486"/>
        <v>0</v>
      </c>
      <c r="J800" s="6">
        <f t="shared" si="1486"/>
        <v>0</v>
      </c>
      <c r="K800" s="6">
        <f t="shared" si="1486"/>
        <v>0</v>
      </c>
      <c r="L800" s="6">
        <f t="shared" si="1486"/>
        <v>0</v>
      </c>
      <c r="M800" s="6">
        <f t="shared" si="1486"/>
        <v>0</v>
      </c>
      <c r="N800" s="6">
        <f t="shared" si="1486"/>
        <v>0</v>
      </c>
      <c r="O800" s="6">
        <f t="shared" si="1486"/>
        <v>0</v>
      </c>
      <c r="P800" s="6">
        <f t="shared" ref="P800" si="1487">$C799*P799</f>
        <v>0</v>
      </c>
      <c r="Q800" s="6">
        <f t="shared" ref="Q800" si="1488">$C799*Q799</f>
        <v>0</v>
      </c>
      <c r="R800" s="6">
        <f t="shared" ref="R800:AB800" si="1489">$C799*R799</f>
        <v>0</v>
      </c>
      <c r="S800" s="6">
        <f t="shared" si="1489"/>
        <v>0</v>
      </c>
      <c r="T800" s="6">
        <f t="shared" si="1489"/>
        <v>0</v>
      </c>
      <c r="U800" s="6">
        <f t="shared" si="1489"/>
        <v>0</v>
      </c>
      <c r="V800" s="6">
        <f t="shared" si="1489"/>
        <v>0</v>
      </c>
      <c r="W800" s="6">
        <f t="shared" si="1489"/>
        <v>0</v>
      </c>
      <c r="X800" s="6">
        <f t="shared" si="1489"/>
        <v>0</v>
      </c>
      <c r="Y800" s="6">
        <f t="shared" si="1489"/>
        <v>0</v>
      </c>
      <c r="Z800" s="6">
        <f t="shared" si="1489"/>
        <v>0</v>
      </c>
      <c r="AA800" s="6">
        <f t="shared" si="1489"/>
        <v>0</v>
      </c>
      <c r="AB800" s="6">
        <f t="shared" si="1489"/>
        <v>0</v>
      </c>
      <c r="AC800" s="67"/>
      <c r="AD800" s="55"/>
    </row>
    <row r="801" spans="1:30" s="52" customFormat="1">
      <c r="A801" s="103" t="s">
        <v>262</v>
      </c>
      <c r="B801" s="180">
        <v>8659779</v>
      </c>
      <c r="C801" s="211">
        <f t="shared" si="1465"/>
        <v>721648.25</v>
      </c>
      <c r="D801" s="5"/>
      <c r="E801" s="5">
        <v>0.93740000000000001</v>
      </c>
      <c r="F801" s="5">
        <v>4.3999999999999997E-2</v>
      </c>
      <c r="G801" s="5">
        <v>7.4000000000000003E-3</v>
      </c>
      <c r="H801" s="5"/>
      <c r="I801" s="5"/>
      <c r="J801" s="5"/>
      <c r="K801" s="5"/>
      <c r="L801" s="5">
        <v>1.11E-2</v>
      </c>
      <c r="M801" s="5"/>
      <c r="N801" s="5"/>
      <c r="O801" s="5"/>
      <c r="P801" s="5"/>
      <c r="Q801" s="5"/>
      <c r="R801" s="5"/>
      <c r="S801" s="5"/>
      <c r="T801" s="5"/>
      <c r="U801" s="5">
        <v>1E-4</v>
      </c>
      <c r="V801" s="5"/>
      <c r="W801" s="5"/>
      <c r="X801" s="5"/>
      <c r="Y801" s="5"/>
      <c r="Z801" s="5"/>
      <c r="AA801" s="5"/>
      <c r="AB801" s="5"/>
      <c r="AC801" s="67"/>
      <c r="AD801" s="55"/>
    </row>
    <row r="802" spans="1:30" s="52" customFormat="1">
      <c r="A802" s="102"/>
      <c r="B802" s="30"/>
      <c r="C802" s="211"/>
      <c r="D802" s="7">
        <f t="shared" ref="D802" si="1490">$C801*D801</f>
        <v>0</v>
      </c>
      <c r="E802" s="7">
        <f t="shared" ref="E802" si="1491">$C801*E801</f>
        <v>676473.06955000001</v>
      </c>
      <c r="F802" s="7">
        <f t="shared" ref="F802:AB802" si="1492">$C801*F801</f>
        <v>31752.522999999997</v>
      </c>
      <c r="G802" s="7">
        <f t="shared" si="1492"/>
        <v>5340.1970500000007</v>
      </c>
      <c r="H802" s="7">
        <f t="shared" si="1492"/>
        <v>0</v>
      </c>
      <c r="I802" s="7">
        <f t="shared" si="1492"/>
        <v>0</v>
      </c>
      <c r="J802" s="7">
        <f t="shared" si="1492"/>
        <v>0</v>
      </c>
      <c r="K802" s="7">
        <f t="shared" si="1492"/>
        <v>0</v>
      </c>
      <c r="L802" s="7">
        <f t="shared" si="1492"/>
        <v>8010.2955750000001</v>
      </c>
      <c r="M802" s="7">
        <f t="shared" si="1492"/>
        <v>0</v>
      </c>
      <c r="N802" s="7">
        <f t="shared" si="1492"/>
        <v>0</v>
      </c>
      <c r="O802" s="7">
        <f t="shared" si="1492"/>
        <v>0</v>
      </c>
      <c r="P802" s="7">
        <f t="shared" si="1492"/>
        <v>0</v>
      </c>
      <c r="Q802" s="7">
        <f t="shared" si="1492"/>
        <v>0</v>
      </c>
      <c r="R802" s="7">
        <f t="shared" si="1492"/>
        <v>0</v>
      </c>
      <c r="S802" s="7">
        <f t="shared" si="1492"/>
        <v>0</v>
      </c>
      <c r="T802" s="7">
        <f t="shared" si="1492"/>
        <v>0</v>
      </c>
      <c r="U802" s="7">
        <f t="shared" si="1492"/>
        <v>72.164825000000008</v>
      </c>
      <c r="V802" s="7">
        <f t="shared" si="1492"/>
        <v>0</v>
      </c>
      <c r="W802" s="7">
        <f t="shared" si="1492"/>
        <v>0</v>
      </c>
      <c r="X802" s="7">
        <f t="shared" si="1492"/>
        <v>0</v>
      </c>
      <c r="Y802" s="7">
        <f t="shared" si="1492"/>
        <v>0</v>
      </c>
      <c r="Z802" s="7">
        <f t="shared" si="1492"/>
        <v>0</v>
      </c>
      <c r="AA802" s="7">
        <f t="shared" si="1492"/>
        <v>0</v>
      </c>
      <c r="AB802" s="7">
        <f t="shared" si="1492"/>
        <v>0</v>
      </c>
      <c r="AC802" s="67"/>
      <c r="AD802" s="55"/>
    </row>
    <row r="803" spans="1:30" s="52" customFormat="1">
      <c r="A803" s="103" t="s">
        <v>263</v>
      </c>
      <c r="B803" s="180">
        <v>4183281</v>
      </c>
      <c r="C803" s="211">
        <f t="shared" si="1465"/>
        <v>348606.75</v>
      </c>
      <c r="D803" s="5"/>
      <c r="E803" s="5">
        <v>0.89970000000000006</v>
      </c>
      <c r="F803" s="5"/>
      <c r="G803" s="5"/>
      <c r="H803" s="5"/>
      <c r="I803" s="5"/>
      <c r="J803" s="5">
        <v>0.1003</v>
      </c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7"/>
      <c r="AD803" s="55"/>
    </row>
    <row r="804" spans="1:30" s="52" customFormat="1">
      <c r="A804" s="102"/>
      <c r="B804" s="30"/>
      <c r="C804" s="211"/>
      <c r="D804" s="7">
        <f t="shared" ref="D804" si="1493">$C803*D803</f>
        <v>0</v>
      </c>
      <c r="E804" s="7">
        <f t="shared" ref="E804" si="1494">$C803*E803</f>
        <v>313641.492975</v>
      </c>
      <c r="F804" s="7">
        <f t="shared" ref="F804:AB804" si="1495">$C803*F803</f>
        <v>0</v>
      </c>
      <c r="G804" s="7">
        <f t="shared" si="1495"/>
        <v>0</v>
      </c>
      <c r="H804" s="7">
        <f t="shared" si="1495"/>
        <v>0</v>
      </c>
      <c r="I804" s="7">
        <f t="shared" si="1495"/>
        <v>0</v>
      </c>
      <c r="J804" s="7">
        <f t="shared" si="1495"/>
        <v>34965.257024999999</v>
      </c>
      <c r="K804" s="7">
        <f t="shared" si="1495"/>
        <v>0</v>
      </c>
      <c r="L804" s="7">
        <f t="shared" si="1495"/>
        <v>0</v>
      </c>
      <c r="M804" s="7">
        <f t="shared" si="1495"/>
        <v>0</v>
      </c>
      <c r="N804" s="7">
        <f t="shared" si="1495"/>
        <v>0</v>
      </c>
      <c r="O804" s="7">
        <f t="shared" si="1495"/>
        <v>0</v>
      </c>
      <c r="P804" s="7">
        <f t="shared" si="1495"/>
        <v>0</v>
      </c>
      <c r="Q804" s="7">
        <f t="shared" si="1495"/>
        <v>0</v>
      </c>
      <c r="R804" s="7">
        <f t="shared" si="1495"/>
        <v>0</v>
      </c>
      <c r="S804" s="7">
        <f t="shared" si="1495"/>
        <v>0</v>
      </c>
      <c r="T804" s="7">
        <f t="shared" si="1495"/>
        <v>0</v>
      </c>
      <c r="U804" s="7">
        <f t="shared" si="1495"/>
        <v>0</v>
      </c>
      <c r="V804" s="7">
        <f t="shared" si="1495"/>
        <v>0</v>
      </c>
      <c r="W804" s="7">
        <f t="shared" si="1495"/>
        <v>0</v>
      </c>
      <c r="X804" s="7">
        <f t="shared" si="1495"/>
        <v>0</v>
      </c>
      <c r="Y804" s="7">
        <f t="shared" si="1495"/>
        <v>0</v>
      </c>
      <c r="Z804" s="7">
        <f t="shared" si="1495"/>
        <v>0</v>
      </c>
      <c r="AA804" s="7">
        <f t="shared" si="1495"/>
        <v>0</v>
      </c>
      <c r="AB804" s="7">
        <f t="shared" si="1495"/>
        <v>0</v>
      </c>
      <c r="AC804" s="67"/>
      <c r="AD804" s="55"/>
    </row>
    <row r="805" spans="1:30" s="52" customFormat="1">
      <c r="A805" s="103" t="s">
        <v>264</v>
      </c>
      <c r="B805" s="180">
        <v>6734704</v>
      </c>
      <c r="C805" s="211">
        <f t="shared" si="1465"/>
        <v>561225.32999999996</v>
      </c>
      <c r="D805" s="5"/>
      <c r="E805" s="5"/>
      <c r="F805" s="5"/>
      <c r="G805" s="5">
        <v>0.61080000000000001</v>
      </c>
      <c r="H805" s="5"/>
      <c r="I805" s="5"/>
      <c r="J805" s="5"/>
      <c r="K805" s="5"/>
      <c r="L805" s="5">
        <v>0.21870000000000001</v>
      </c>
      <c r="M805" s="5"/>
      <c r="N805" s="5">
        <v>0.13969999999999999</v>
      </c>
      <c r="O805" s="5"/>
      <c r="P805" s="5"/>
      <c r="Q805" s="5"/>
      <c r="R805" s="5"/>
      <c r="S805" s="5"/>
      <c r="T805" s="5"/>
      <c r="U805" s="5">
        <v>3.0800000000000001E-2</v>
      </c>
      <c r="V805" s="5"/>
      <c r="W805" s="5"/>
      <c r="X805" s="5"/>
      <c r="Y805" s="5"/>
      <c r="Z805" s="5"/>
      <c r="AA805" s="5"/>
      <c r="AB805" s="5"/>
      <c r="AC805" s="67"/>
      <c r="AD805" s="55"/>
    </row>
    <row r="806" spans="1:30" s="52" customFormat="1">
      <c r="A806" s="102"/>
      <c r="B806" s="30"/>
      <c r="C806" s="211"/>
      <c r="D806" s="7">
        <f t="shared" ref="D806" si="1496">$C805*D805</f>
        <v>0</v>
      </c>
      <c r="E806" s="7">
        <f t="shared" ref="E806" si="1497">$C805*E805</f>
        <v>0</v>
      </c>
      <c r="F806" s="7">
        <f t="shared" ref="F806:AB806" si="1498">$C805*F805</f>
        <v>0</v>
      </c>
      <c r="G806" s="7">
        <f t="shared" si="1498"/>
        <v>342796.43156399997</v>
      </c>
      <c r="H806" s="7">
        <f t="shared" si="1498"/>
        <v>0</v>
      </c>
      <c r="I806" s="7">
        <f t="shared" si="1498"/>
        <v>0</v>
      </c>
      <c r="J806" s="7">
        <f t="shared" si="1498"/>
        <v>0</v>
      </c>
      <c r="K806" s="7">
        <f t="shared" si="1498"/>
        <v>0</v>
      </c>
      <c r="L806" s="7">
        <f t="shared" si="1498"/>
        <v>122739.97967099999</v>
      </c>
      <c r="M806" s="7">
        <f t="shared" si="1498"/>
        <v>0</v>
      </c>
      <c r="N806" s="7">
        <f t="shared" si="1498"/>
        <v>78403.178600999992</v>
      </c>
      <c r="O806" s="7">
        <f t="shared" si="1498"/>
        <v>0</v>
      </c>
      <c r="P806" s="7">
        <f t="shared" si="1498"/>
        <v>0</v>
      </c>
      <c r="Q806" s="7">
        <f t="shared" si="1498"/>
        <v>0</v>
      </c>
      <c r="R806" s="7">
        <f t="shared" si="1498"/>
        <v>0</v>
      </c>
      <c r="S806" s="7">
        <f t="shared" si="1498"/>
        <v>0</v>
      </c>
      <c r="T806" s="7">
        <f t="shared" si="1498"/>
        <v>0</v>
      </c>
      <c r="U806" s="7">
        <f t="shared" si="1498"/>
        <v>17285.740163999999</v>
      </c>
      <c r="V806" s="7">
        <f t="shared" si="1498"/>
        <v>0</v>
      </c>
      <c r="W806" s="7">
        <f t="shared" si="1498"/>
        <v>0</v>
      </c>
      <c r="X806" s="7">
        <f t="shared" si="1498"/>
        <v>0</v>
      </c>
      <c r="Y806" s="7">
        <f t="shared" si="1498"/>
        <v>0</v>
      </c>
      <c r="Z806" s="7">
        <f t="shared" si="1498"/>
        <v>0</v>
      </c>
      <c r="AA806" s="7">
        <f t="shared" si="1498"/>
        <v>0</v>
      </c>
      <c r="AB806" s="7">
        <f t="shared" si="1498"/>
        <v>0</v>
      </c>
      <c r="AC806" s="67"/>
      <c r="AD806" s="55"/>
    </row>
    <row r="807" spans="1:30" s="52" customFormat="1">
      <c r="A807" s="103" t="s">
        <v>265</v>
      </c>
      <c r="B807" s="180">
        <v>522290</v>
      </c>
      <c r="C807" s="211">
        <f t="shared" si="1465"/>
        <v>43524.17</v>
      </c>
      <c r="D807" s="5"/>
      <c r="E807" s="5">
        <v>0.97989999999999999</v>
      </c>
      <c r="F807" s="5"/>
      <c r="G807" s="5"/>
      <c r="H807" s="5"/>
      <c r="I807" s="5"/>
      <c r="J807" s="5"/>
      <c r="K807" s="5">
        <v>2.01E-2</v>
      </c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7"/>
      <c r="AD807" s="55"/>
    </row>
    <row r="808" spans="1:30" s="52" customFormat="1">
      <c r="A808" s="102"/>
      <c r="B808" s="30"/>
      <c r="C808" s="211"/>
      <c r="D808" s="7">
        <f t="shared" ref="D808" si="1499">$C807*D807</f>
        <v>0</v>
      </c>
      <c r="E808" s="7">
        <f t="shared" ref="E808" si="1500">$C807*E807</f>
        <v>42649.334182999999</v>
      </c>
      <c r="F808" s="7">
        <f t="shared" ref="F808:AB808" si="1501">$C807*F807</f>
        <v>0</v>
      </c>
      <c r="G808" s="7">
        <f t="shared" si="1501"/>
        <v>0</v>
      </c>
      <c r="H808" s="7">
        <f t="shared" si="1501"/>
        <v>0</v>
      </c>
      <c r="I808" s="7">
        <f t="shared" si="1501"/>
        <v>0</v>
      </c>
      <c r="J808" s="7">
        <f t="shared" si="1501"/>
        <v>0</v>
      </c>
      <c r="K808" s="7">
        <f t="shared" si="1501"/>
        <v>874.83581699999991</v>
      </c>
      <c r="L808" s="7">
        <f t="shared" si="1501"/>
        <v>0</v>
      </c>
      <c r="M808" s="7">
        <f t="shared" si="1501"/>
        <v>0</v>
      </c>
      <c r="N808" s="7">
        <f t="shared" si="1501"/>
        <v>0</v>
      </c>
      <c r="O808" s="7">
        <f t="shared" si="1501"/>
        <v>0</v>
      </c>
      <c r="P808" s="7">
        <f t="shared" si="1501"/>
        <v>0</v>
      </c>
      <c r="Q808" s="7">
        <f t="shared" si="1501"/>
        <v>0</v>
      </c>
      <c r="R808" s="7">
        <f t="shared" si="1501"/>
        <v>0</v>
      </c>
      <c r="S808" s="7">
        <f t="shared" si="1501"/>
        <v>0</v>
      </c>
      <c r="T808" s="7">
        <f t="shared" si="1501"/>
        <v>0</v>
      </c>
      <c r="U808" s="7">
        <f t="shared" si="1501"/>
        <v>0</v>
      </c>
      <c r="V808" s="7">
        <f t="shared" si="1501"/>
        <v>0</v>
      </c>
      <c r="W808" s="7">
        <f t="shared" si="1501"/>
        <v>0</v>
      </c>
      <c r="X808" s="7">
        <f t="shared" si="1501"/>
        <v>0</v>
      </c>
      <c r="Y808" s="7">
        <f t="shared" si="1501"/>
        <v>0</v>
      </c>
      <c r="Z808" s="7">
        <f t="shared" si="1501"/>
        <v>0</v>
      </c>
      <c r="AA808" s="7">
        <f t="shared" si="1501"/>
        <v>0</v>
      </c>
      <c r="AB808" s="7">
        <f t="shared" si="1501"/>
        <v>0</v>
      </c>
      <c r="AC808" s="67"/>
      <c r="AD808" s="55"/>
    </row>
    <row r="809" spans="1:30" s="52" customFormat="1">
      <c r="A809" s="96" t="s">
        <v>294</v>
      </c>
      <c r="B809" s="180">
        <v>205909.5</v>
      </c>
      <c r="C809" s="211">
        <f t="shared" si="1465"/>
        <v>17159.13</v>
      </c>
      <c r="D809" s="170">
        <v>1.6500000000000001E-2</v>
      </c>
      <c r="E809" s="170">
        <v>0.1368</v>
      </c>
      <c r="F809" s="170">
        <v>5.7599999999999998E-2</v>
      </c>
      <c r="G809" s="170">
        <v>8.0399999999999999E-2</v>
      </c>
      <c r="H809" s="170">
        <v>4.1099999999999998E-2</v>
      </c>
      <c r="I809" s="170">
        <v>0.13389999999999999</v>
      </c>
      <c r="J809" s="170">
        <v>2.12E-2</v>
      </c>
      <c r="K809" s="170">
        <v>3.2500000000000001E-2</v>
      </c>
      <c r="L809" s="170">
        <v>1.7100000000000001E-2</v>
      </c>
      <c r="M809" s="170">
        <v>2.5999999999999999E-2</v>
      </c>
      <c r="N809" s="170">
        <v>0.13320000000000001</v>
      </c>
      <c r="O809" s="170">
        <v>1.89E-2</v>
      </c>
      <c r="P809" s="170">
        <v>0</v>
      </c>
      <c r="Q809" s="170">
        <v>3.8600000000000002E-2</v>
      </c>
      <c r="R809" s="170">
        <v>1.9E-2</v>
      </c>
      <c r="S809" s="170">
        <v>4.1999999999999997E-3</v>
      </c>
      <c r="T809" s="170">
        <v>5.3999999999999999E-2</v>
      </c>
      <c r="U809" s="170">
        <v>1.78E-2</v>
      </c>
      <c r="V809" s="170">
        <v>3.6700000000000003E-2</v>
      </c>
      <c r="W809" s="170">
        <v>4.7199999999999999E-2</v>
      </c>
      <c r="X809" s="170">
        <v>6.3899999999999998E-2</v>
      </c>
      <c r="Y809" s="170">
        <v>2.5999999999999999E-3</v>
      </c>
      <c r="Z809" s="171">
        <v>0</v>
      </c>
      <c r="AA809" s="171">
        <v>8.0000000000000004E-4</v>
      </c>
      <c r="AB809" s="171">
        <v>0</v>
      </c>
      <c r="AC809" s="67"/>
      <c r="AD809" s="55"/>
    </row>
    <row r="810" spans="1:30" s="52" customFormat="1">
      <c r="A810" s="97"/>
      <c r="B810" s="30"/>
      <c r="C810" s="211"/>
      <c r="D810" s="6">
        <f t="shared" ref="D810" si="1502">$C809*D809</f>
        <v>283.12564500000002</v>
      </c>
      <c r="E810" s="6">
        <f t="shared" ref="E810" si="1503">$C809*E809</f>
        <v>2347.3689840000002</v>
      </c>
      <c r="F810" s="6">
        <f t="shared" ref="F810:AB810" si="1504">$C809*F809</f>
        <v>988.36588800000004</v>
      </c>
      <c r="G810" s="6">
        <f t="shared" si="1504"/>
        <v>1379.5940520000001</v>
      </c>
      <c r="H810" s="6">
        <f t="shared" si="1504"/>
        <v>705.24024299999996</v>
      </c>
      <c r="I810" s="6">
        <f t="shared" si="1504"/>
        <v>2297.6075070000002</v>
      </c>
      <c r="J810" s="6">
        <f t="shared" si="1504"/>
        <v>363.77355600000004</v>
      </c>
      <c r="K810" s="6">
        <f t="shared" si="1504"/>
        <v>557.67172500000004</v>
      </c>
      <c r="L810" s="6">
        <f t="shared" si="1504"/>
        <v>293.42112300000002</v>
      </c>
      <c r="M810" s="6">
        <f t="shared" si="1504"/>
        <v>446.13738000000001</v>
      </c>
      <c r="N810" s="6">
        <f t="shared" si="1504"/>
        <v>2285.5961160000002</v>
      </c>
      <c r="O810" s="6">
        <f t="shared" si="1504"/>
        <v>324.30755700000003</v>
      </c>
      <c r="P810" s="6">
        <f t="shared" si="1504"/>
        <v>0</v>
      </c>
      <c r="Q810" s="6">
        <f t="shared" si="1504"/>
        <v>662.34241800000007</v>
      </c>
      <c r="R810" s="6">
        <f t="shared" si="1504"/>
        <v>326.02347000000003</v>
      </c>
      <c r="S810" s="6">
        <f t="shared" si="1504"/>
        <v>72.068346000000005</v>
      </c>
      <c r="T810" s="6">
        <f t="shared" si="1504"/>
        <v>926.59302000000002</v>
      </c>
      <c r="U810" s="6">
        <f t="shared" si="1504"/>
        <v>305.43251400000003</v>
      </c>
      <c r="V810" s="6">
        <f t="shared" si="1504"/>
        <v>629.74007100000006</v>
      </c>
      <c r="W810" s="6">
        <f t="shared" si="1504"/>
        <v>809.91093599999999</v>
      </c>
      <c r="X810" s="6">
        <f t="shared" si="1504"/>
        <v>1096.4684070000001</v>
      </c>
      <c r="Y810" s="6">
        <f t="shared" si="1504"/>
        <v>44.613737999999998</v>
      </c>
      <c r="Z810" s="6">
        <f t="shared" si="1504"/>
        <v>0</v>
      </c>
      <c r="AA810" s="6">
        <f t="shared" si="1504"/>
        <v>13.727304000000002</v>
      </c>
      <c r="AB810" s="6">
        <f t="shared" si="1504"/>
        <v>0</v>
      </c>
      <c r="AC810" s="67"/>
      <c r="AD810" s="55"/>
    </row>
    <row r="811" spans="1:30" s="52" customFormat="1">
      <c r="A811" s="96" t="s">
        <v>467</v>
      </c>
      <c r="B811" s="203">
        <v>205909.5</v>
      </c>
      <c r="C811" s="211">
        <f t="shared" si="1465"/>
        <v>17159.13</v>
      </c>
      <c r="D811" s="5"/>
      <c r="E811" s="171">
        <v>1E-3</v>
      </c>
      <c r="F811" s="5"/>
      <c r="G811" s="5"/>
      <c r="H811" s="171">
        <v>0.43259999999999998</v>
      </c>
      <c r="I811" s="5"/>
      <c r="J811" s="171">
        <v>0</v>
      </c>
      <c r="K811" s="171">
        <v>1E-3</v>
      </c>
      <c r="L811" s="5"/>
      <c r="M811" s="5"/>
      <c r="N811" s="171">
        <v>0</v>
      </c>
      <c r="O811" s="171">
        <v>5.9999999999999995E-4</v>
      </c>
      <c r="P811" s="5"/>
      <c r="Q811" s="5"/>
      <c r="R811" s="5"/>
      <c r="S811" s="5"/>
      <c r="T811" s="5"/>
      <c r="U811" s="5"/>
      <c r="V811" s="171">
        <v>0.56479999999999997</v>
      </c>
      <c r="W811" s="5"/>
      <c r="X811" s="5"/>
      <c r="Y811" s="5"/>
      <c r="Z811" s="5"/>
      <c r="AA811" s="5"/>
      <c r="AB811" s="5"/>
      <c r="AC811" s="67"/>
      <c r="AD811" s="55"/>
    </row>
    <row r="812" spans="1:30" s="52" customFormat="1">
      <c r="A812" s="97"/>
      <c r="B812" s="12"/>
      <c r="C812" s="211"/>
      <c r="D812" s="6">
        <f t="shared" ref="D812" si="1505">$C811*D811</f>
        <v>0</v>
      </c>
      <c r="E812" s="6">
        <f t="shared" ref="E812" si="1506">$C811*E811</f>
        <v>17.159130000000001</v>
      </c>
      <c r="F812" s="6">
        <f t="shared" ref="F812:O812" si="1507">$C811*F811</f>
        <v>0</v>
      </c>
      <c r="G812" s="6">
        <f t="shared" si="1507"/>
        <v>0</v>
      </c>
      <c r="H812" s="6">
        <f t="shared" si="1507"/>
        <v>7423.0396380000002</v>
      </c>
      <c r="I812" s="6">
        <f t="shared" si="1507"/>
        <v>0</v>
      </c>
      <c r="J812" s="6">
        <f t="shared" si="1507"/>
        <v>0</v>
      </c>
      <c r="K812" s="6">
        <f t="shared" si="1507"/>
        <v>17.159130000000001</v>
      </c>
      <c r="L812" s="6">
        <f t="shared" si="1507"/>
        <v>0</v>
      </c>
      <c r="M812" s="6">
        <f t="shared" si="1507"/>
        <v>0</v>
      </c>
      <c r="N812" s="6">
        <f t="shared" si="1507"/>
        <v>0</v>
      </c>
      <c r="O812" s="6">
        <f t="shared" si="1507"/>
        <v>10.295477999999999</v>
      </c>
      <c r="P812" s="6">
        <f t="shared" ref="P812" si="1508">$C811*P811</f>
        <v>0</v>
      </c>
      <c r="Q812" s="6">
        <f t="shared" ref="Q812" si="1509">$C811*Q811</f>
        <v>0</v>
      </c>
      <c r="R812" s="6">
        <f t="shared" ref="R812:AB812" si="1510">$C811*R811</f>
        <v>0</v>
      </c>
      <c r="S812" s="6">
        <f t="shared" si="1510"/>
        <v>0</v>
      </c>
      <c r="T812" s="6">
        <f t="shared" si="1510"/>
        <v>0</v>
      </c>
      <c r="U812" s="6">
        <f t="shared" si="1510"/>
        <v>0</v>
      </c>
      <c r="V812" s="6">
        <f t="shared" si="1510"/>
        <v>9691.4766240000008</v>
      </c>
      <c r="W812" s="6">
        <f t="shared" si="1510"/>
        <v>0</v>
      </c>
      <c r="X812" s="6">
        <f t="shared" si="1510"/>
        <v>0</v>
      </c>
      <c r="Y812" s="6">
        <f t="shared" si="1510"/>
        <v>0</v>
      </c>
      <c r="Z812" s="6">
        <f t="shared" si="1510"/>
        <v>0</v>
      </c>
      <c r="AA812" s="6">
        <f t="shared" si="1510"/>
        <v>0</v>
      </c>
      <c r="AB812" s="6">
        <f t="shared" si="1510"/>
        <v>0</v>
      </c>
      <c r="AC812" s="67"/>
      <c r="AD812" s="55"/>
    </row>
    <row r="813" spans="1:30" s="52" customFormat="1">
      <c r="A813" s="103" t="s">
        <v>295</v>
      </c>
      <c r="B813" s="180">
        <v>1805714</v>
      </c>
      <c r="C813" s="211">
        <f t="shared" si="1465"/>
        <v>150476.17000000001</v>
      </c>
      <c r="D813" s="170">
        <v>1.6500000000000001E-2</v>
      </c>
      <c r="E813" s="170">
        <v>0.1368</v>
      </c>
      <c r="F813" s="170">
        <v>5.7599999999999998E-2</v>
      </c>
      <c r="G813" s="170">
        <v>8.0399999999999999E-2</v>
      </c>
      <c r="H813" s="170">
        <v>4.1099999999999998E-2</v>
      </c>
      <c r="I813" s="170">
        <v>0.13389999999999999</v>
      </c>
      <c r="J813" s="170">
        <v>2.12E-2</v>
      </c>
      <c r="K813" s="170">
        <v>3.2500000000000001E-2</v>
      </c>
      <c r="L813" s="170">
        <v>1.7100000000000001E-2</v>
      </c>
      <c r="M813" s="170">
        <v>2.5999999999999999E-2</v>
      </c>
      <c r="N813" s="170">
        <v>0.13320000000000001</v>
      </c>
      <c r="O813" s="170">
        <v>1.89E-2</v>
      </c>
      <c r="P813" s="170">
        <v>0</v>
      </c>
      <c r="Q813" s="170">
        <v>3.8600000000000002E-2</v>
      </c>
      <c r="R813" s="170">
        <v>1.9E-2</v>
      </c>
      <c r="S813" s="170">
        <v>4.1999999999999997E-3</v>
      </c>
      <c r="T813" s="170">
        <v>5.3999999999999999E-2</v>
      </c>
      <c r="U813" s="170">
        <v>1.78E-2</v>
      </c>
      <c r="V813" s="170">
        <v>3.6700000000000003E-2</v>
      </c>
      <c r="W813" s="170">
        <v>4.7199999999999999E-2</v>
      </c>
      <c r="X813" s="170">
        <v>6.3899999999999998E-2</v>
      </c>
      <c r="Y813" s="170">
        <v>2.5999999999999999E-3</v>
      </c>
      <c r="Z813" s="171">
        <v>0</v>
      </c>
      <c r="AA813" s="171">
        <v>8.0000000000000004E-4</v>
      </c>
      <c r="AB813" s="171">
        <v>0</v>
      </c>
      <c r="AC813" s="67"/>
      <c r="AD813" s="55"/>
    </row>
    <row r="814" spans="1:30" s="52" customFormat="1">
      <c r="A814" s="102"/>
      <c r="B814" s="30"/>
      <c r="C814" s="211"/>
      <c r="D814" s="7">
        <f t="shared" ref="D814" si="1511">$C813*D813</f>
        <v>2482.8568050000003</v>
      </c>
      <c r="E814" s="7">
        <f t="shared" ref="E814" si="1512">$C813*E813</f>
        <v>20585.140056000004</v>
      </c>
      <c r="F814" s="7">
        <f t="shared" ref="F814:AB814" si="1513">$C813*F813</f>
        <v>8667.4273919999996</v>
      </c>
      <c r="G814" s="7">
        <f t="shared" si="1513"/>
        <v>12098.284068000001</v>
      </c>
      <c r="H814" s="7">
        <f t="shared" si="1513"/>
        <v>6184.5705870000002</v>
      </c>
      <c r="I814" s="7">
        <f t="shared" si="1513"/>
        <v>20148.759162999999</v>
      </c>
      <c r="J814" s="7">
        <f t="shared" si="1513"/>
        <v>3190.0948040000003</v>
      </c>
      <c r="K814" s="7">
        <f t="shared" si="1513"/>
        <v>4890.4755250000007</v>
      </c>
      <c r="L814" s="7">
        <f t="shared" si="1513"/>
        <v>2573.1425070000005</v>
      </c>
      <c r="M814" s="7">
        <f t="shared" si="1513"/>
        <v>3912.38042</v>
      </c>
      <c r="N814" s="7">
        <f t="shared" si="1513"/>
        <v>20043.425844000005</v>
      </c>
      <c r="O814" s="7">
        <f t="shared" si="1513"/>
        <v>2843.9996130000004</v>
      </c>
      <c r="P814" s="7">
        <f t="shared" si="1513"/>
        <v>0</v>
      </c>
      <c r="Q814" s="7">
        <f t="shared" si="1513"/>
        <v>5808.3801620000013</v>
      </c>
      <c r="R814" s="7">
        <f t="shared" si="1513"/>
        <v>2859.0472300000001</v>
      </c>
      <c r="S814" s="7">
        <f t="shared" si="1513"/>
        <v>631.99991399999999</v>
      </c>
      <c r="T814" s="7">
        <f t="shared" si="1513"/>
        <v>8125.7131800000006</v>
      </c>
      <c r="U814" s="7">
        <f t="shared" si="1513"/>
        <v>2678.4758260000003</v>
      </c>
      <c r="V814" s="7">
        <f t="shared" si="1513"/>
        <v>5522.4754390000007</v>
      </c>
      <c r="W814" s="7">
        <f t="shared" si="1513"/>
        <v>7102.4752240000007</v>
      </c>
      <c r="X814" s="7">
        <f t="shared" si="1513"/>
        <v>9615.4272630000014</v>
      </c>
      <c r="Y814" s="7">
        <f t="shared" si="1513"/>
        <v>391.23804200000001</v>
      </c>
      <c r="Z814" s="7">
        <f t="shared" si="1513"/>
        <v>0</v>
      </c>
      <c r="AA814" s="7">
        <f t="shared" si="1513"/>
        <v>120.38093600000002</v>
      </c>
      <c r="AB814" s="7">
        <f t="shared" si="1513"/>
        <v>0</v>
      </c>
      <c r="AC814" s="67"/>
      <c r="AD814" s="55"/>
    </row>
    <row r="815" spans="1:30" s="52" customFormat="1">
      <c r="A815" s="103" t="s">
        <v>302</v>
      </c>
      <c r="B815" s="180">
        <v>1805714</v>
      </c>
      <c r="C815" s="211">
        <f t="shared" si="1465"/>
        <v>150476.17000000001</v>
      </c>
      <c r="D815" s="5"/>
      <c r="E815" s="171">
        <v>1E-3</v>
      </c>
      <c r="F815" s="5"/>
      <c r="G815" s="5"/>
      <c r="H815" s="171">
        <v>0.43259999999999998</v>
      </c>
      <c r="I815" s="5"/>
      <c r="J815" s="171">
        <v>0</v>
      </c>
      <c r="K815" s="171">
        <v>1E-3</v>
      </c>
      <c r="L815" s="5"/>
      <c r="M815" s="5"/>
      <c r="N815" s="171">
        <v>0</v>
      </c>
      <c r="O815" s="171">
        <v>5.9999999999999995E-4</v>
      </c>
      <c r="P815" s="5"/>
      <c r="Q815" s="5"/>
      <c r="R815" s="5"/>
      <c r="S815" s="5"/>
      <c r="T815" s="5"/>
      <c r="U815" s="5"/>
      <c r="V815" s="171">
        <v>0.56479999999999997</v>
      </c>
      <c r="W815" s="5"/>
      <c r="X815" s="5"/>
      <c r="Y815" s="5"/>
      <c r="Z815" s="5"/>
      <c r="AA815" s="5"/>
      <c r="AB815" s="5"/>
      <c r="AC815" s="67"/>
      <c r="AD815" s="55"/>
    </row>
    <row r="816" spans="1:30" s="52" customFormat="1">
      <c r="A816" s="102"/>
      <c r="B816" s="30"/>
      <c r="C816" s="211"/>
      <c r="D816" s="7">
        <f t="shared" ref="D816" si="1514">$C815*D815</f>
        <v>0</v>
      </c>
      <c r="E816" s="7">
        <f t="shared" ref="E816" si="1515">$C815*E815</f>
        <v>150.47617000000002</v>
      </c>
      <c r="F816" s="7">
        <f t="shared" ref="F816:AB816" si="1516">$C815*F815</f>
        <v>0</v>
      </c>
      <c r="G816" s="7">
        <f t="shared" si="1516"/>
        <v>0</v>
      </c>
      <c r="H816" s="7">
        <f t="shared" si="1516"/>
        <v>65095.991142000006</v>
      </c>
      <c r="I816" s="7">
        <f t="shared" si="1516"/>
        <v>0</v>
      </c>
      <c r="J816" s="7">
        <f t="shared" si="1516"/>
        <v>0</v>
      </c>
      <c r="K816" s="7">
        <f t="shared" si="1516"/>
        <v>150.47617000000002</v>
      </c>
      <c r="L816" s="7">
        <f t="shared" si="1516"/>
        <v>0</v>
      </c>
      <c r="M816" s="7">
        <f t="shared" si="1516"/>
        <v>0</v>
      </c>
      <c r="N816" s="7">
        <f t="shared" si="1516"/>
        <v>0</v>
      </c>
      <c r="O816" s="7">
        <f t="shared" si="1516"/>
        <v>90.285702000000001</v>
      </c>
      <c r="P816" s="7">
        <f t="shared" si="1516"/>
        <v>0</v>
      </c>
      <c r="Q816" s="7">
        <f t="shared" si="1516"/>
        <v>0</v>
      </c>
      <c r="R816" s="7">
        <f t="shared" si="1516"/>
        <v>0</v>
      </c>
      <c r="S816" s="7">
        <f t="shared" si="1516"/>
        <v>0</v>
      </c>
      <c r="T816" s="7">
        <f t="shared" si="1516"/>
        <v>0</v>
      </c>
      <c r="U816" s="7">
        <f t="shared" si="1516"/>
        <v>0</v>
      </c>
      <c r="V816" s="7">
        <f t="shared" si="1516"/>
        <v>84988.940816000002</v>
      </c>
      <c r="W816" s="7">
        <f t="shared" si="1516"/>
        <v>0</v>
      </c>
      <c r="X816" s="7">
        <f t="shared" si="1516"/>
        <v>0</v>
      </c>
      <c r="Y816" s="7">
        <f t="shared" si="1516"/>
        <v>0</v>
      </c>
      <c r="Z816" s="7">
        <f t="shared" si="1516"/>
        <v>0</v>
      </c>
      <c r="AA816" s="7">
        <f t="shared" si="1516"/>
        <v>0</v>
      </c>
      <c r="AB816" s="7">
        <f t="shared" si="1516"/>
        <v>0</v>
      </c>
      <c r="AC816" s="67"/>
      <c r="AD816" s="55"/>
    </row>
    <row r="817" spans="1:30" s="52" customFormat="1">
      <c r="A817" s="96" t="s">
        <v>296</v>
      </c>
      <c r="B817" s="180">
        <v>322317.5</v>
      </c>
      <c r="C817" s="211">
        <f t="shared" si="1465"/>
        <v>26859.79</v>
      </c>
      <c r="D817" s="170">
        <v>1.6500000000000001E-2</v>
      </c>
      <c r="E817" s="170">
        <v>0.1368</v>
      </c>
      <c r="F817" s="170">
        <v>5.7599999999999998E-2</v>
      </c>
      <c r="G817" s="170">
        <v>8.0399999999999999E-2</v>
      </c>
      <c r="H817" s="170">
        <v>4.1099999999999998E-2</v>
      </c>
      <c r="I817" s="170">
        <v>0.13389999999999999</v>
      </c>
      <c r="J817" s="170">
        <v>2.12E-2</v>
      </c>
      <c r="K817" s="170">
        <v>3.2500000000000001E-2</v>
      </c>
      <c r="L817" s="170">
        <v>1.7100000000000001E-2</v>
      </c>
      <c r="M817" s="170">
        <v>2.5999999999999999E-2</v>
      </c>
      <c r="N817" s="170">
        <v>0.13320000000000001</v>
      </c>
      <c r="O817" s="170">
        <v>1.89E-2</v>
      </c>
      <c r="P817" s="170">
        <v>0</v>
      </c>
      <c r="Q817" s="170">
        <v>3.8600000000000002E-2</v>
      </c>
      <c r="R817" s="170">
        <v>1.9E-2</v>
      </c>
      <c r="S817" s="170">
        <v>4.1999999999999997E-3</v>
      </c>
      <c r="T817" s="170">
        <v>5.3999999999999999E-2</v>
      </c>
      <c r="U817" s="170">
        <v>1.78E-2</v>
      </c>
      <c r="V817" s="170">
        <v>3.6700000000000003E-2</v>
      </c>
      <c r="W817" s="170">
        <v>4.7199999999999999E-2</v>
      </c>
      <c r="X817" s="170">
        <v>6.3899999999999998E-2</v>
      </c>
      <c r="Y817" s="170">
        <v>2.5999999999999999E-3</v>
      </c>
      <c r="Z817" s="171">
        <v>0</v>
      </c>
      <c r="AA817" s="171">
        <v>8.0000000000000004E-4</v>
      </c>
      <c r="AB817" s="171">
        <v>0</v>
      </c>
      <c r="AC817" s="67"/>
      <c r="AD817" s="55"/>
    </row>
    <row r="818" spans="1:30" s="52" customFormat="1">
      <c r="A818" s="97"/>
      <c r="B818" s="30"/>
      <c r="C818" s="211"/>
      <c r="D818" s="6">
        <f t="shared" ref="D818" si="1517">$C817*D817</f>
        <v>443.18653500000005</v>
      </c>
      <c r="E818" s="6">
        <f t="shared" ref="E818" si="1518">$C817*E817</f>
        <v>3674.4192720000001</v>
      </c>
      <c r="F818" s="6">
        <f t="shared" ref="F818:AB818" si="1519">$C817*F817</f>
        <v>1547.123904</v>
      </c>
      <c r="G818" s="6">
        <f t="shared" si="1519"/>
        <v>2159.5271160000002</v>
      </c>
      <c r="H818" s="6">
        <f t="shared" si="1519"/>
        <v>1103.937369</v>
      </c>
      <c r="I818" s="6">
        <f t="shared" si="1519"/>
        <v>3596.525881</v>
      </c>
      <c r="J818" s="6">
        <f t="shared" si="1519"/>
        <v>569.427548</v>
      </c>
      <c r="K818" s="6">
        <f t="shared" si="1519"/>
        <v>872.94317500000011</v>
      </c>
      <c r="L818" s="6">
        <f t="shared" si="1519"/>
        <v>459.30240900000001</v>
      </c>
      <c r="M818" s="6">
        <f t="shared" si="1519"/>
        <v>698.35454000000004</v>
      </c>
      <c r="N818" s="6">
        <f t="shared" si="1519"/>
        <v>3577.7240280000005</v>
      </c>
      <c r="O818" s="6">
        <f t="shared" si="1519"/>
        <v>507.65003100000001</v>
      </c>
      <c r="P818" s="6">
        <f t="shared" si="1519"/>
        <v>0</v>
      </c>
      <c r="Q818" s="6">
        <f t="shared" si="1519"/>
        <v>1036.7878940000001</v>
      </c>
      <c r="R818" s="6">
        <f t="shared" si="1519"/>
        <v>510.33600999999999</v>
      </c>
      <c r="S818" s="6">
        <f t="shared" si="1519"/>
        <v>112.81111799999999</v>
      </c>
      <c r="T818" s="6">
        <f t="shared" si="1519"/>
        <v>1450.42866</v>
      </c>
      <c r="U818" s="6">
        <f t="shared" si="1519"/>
        <v>478.10426200000001</v>
      </c>
      <c r="V818" s="6">
        <f t="shared" si="1519"/>
        <v>985.75429300000008</v>
      </c>
      <c r="W818" s="6">
        <f t="shared" si="1519"/>
        <v>1267.7820879999999</v>
      </c>
      <c r="X818" s="6">
        <f t="shared" si="1519"/>
        <v>1716.3405809999999</v>
      </c>
      <c r="Y818" s="6">
        <f t="shared" si="1519"/>
        <v>69.835453999999999</v>
      </c>
      <c r="Z818" s="6">
        <f t="shared" si="1519"/>
        <v>0</v>
      </c>
      <c r="AA818" s="6">
        <f t="shared" si="1519"/>
        <v>21.487832000000001</v>
      </c>
      <c r="AB818" s="6">
        <f t="shared" si="1519"/>
        <v>0</v>
      </c>
      <c r="AC818" s="67"/>
      <c r="AD818" s="55"/>
    </row>
    <row r="819" spans="1:30" s="52" customFormat="1">
      <c r="A819" s="96" t="s">
        <v>452</v>
      </c>
      <c r="B819" s="203">
        <v>322317.5</v>
      </c>
      <c r="C819" s="211">
        <f t="shared" si="1465"/>
        <v>26859.79</v>
      </c>
      <c r="D819" s="5"/>
      <c r="E819" s="5">
        <v>1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67"/>
      <c r="AD819" s="55"/>
    </row>
    <row r="820" spans="1:30" s="52" customFormat="1">
      <c r="A820" s="97"/>
      <c r="B820" s="12"/>
      <c r="C820" s="211"/>
      <c r="D820" s="6">
        <f t="shared" ref="D820" si="1520">$C819*D819</f>
        <v>0</v>
      </c>
      <c r="E820" s="6">
        <f t="shared" ref="E820" si="1521">$C819*E819</f>
        <v>26859.79</v>
      </c>
      <c r="F820" s="6">
        <f t="shared" ref="F820:O820" si="1522">$C819*F819</f>
        <v>0</v>
      </c>
      <c r="G820" s="6">
        <f t="shared" si="1522"/>
        <v>0</v>
      </c>
      <c r="H820" s="6">
        <f t="shared" si="1522"/>
        <v>0</v>
      </c>
      <c r="I820" s="6">
        <f t="shared" si="1522"/>
        <v>0</v>
      </c>
      <c r="J820" s="6">
        <f t="shared" si="1522"/>
        <v>0</v>
      </c>
      <c r="K820" s="6">
        <f t="shared" si="1522"/>
        <v>0</v>
      </c>
      <c r="L820" s="6">
        <f t="shared" si="1522"/>
        <v>0</v>
      </c>
      <c r="M820" s="6">
        <f t="shared" si="1522"/>
        <v>0</v>
      </c>
      <c r="N820" s="6">
        <f t="shared" si="1522"/>
        <v>0</v>
      </c>
      <c r="O820" s="6">
        <f t="shared" si="1522"/>
        <v>0</v>
      </c>
      <c r="P820" s="6">
        <f t="shared" ref="P820" si="1523">$C819*P819</f>
        <v>0</v>
      </c>
      <c r="Q820" s="6">
        <f t="shared" ref="Q820" si="1524">$C819*Q819</f>
        <v>0</v>
      </c>
      <c r="R820" s="6">
        <f t="shared" ref="R820:AB820" si="1525">$C819*R819</f>
        <v>0</v>
      </c>
      <c r="S820" s="6">
        <f t="shared" si="1525"/>
        <v>0</v>
      </c>
      <c r="T820" s="6">
        <f t="shared" si="1525"/>
        <v>0</v>
      </c>
      <c r="U820" s="6">
        <f t="shared" si="1525"/>
        <v>0</v>
      </c>
      <c r="V820" s="6">
        <f t="shared" si="1525"/>
        <v>0</v>
      </c>
      <c r="W820" s="6">
        <f t="shared" si="1525"/>
        <v>0</v>
      </c>
      <c r="X820" s="6">
        <f t="shared" si="1525"/>
        <v>0</v>
      </c>
      <c r="Y820" s="6">
        <f t="shared" si="1525"/>
        <v>0</v>
      </c>
      <c r="Z820" s="6">
        <f t="shared" si="1525"/>
        <v>0</v>
      </c>
      <c r="AA820" s="6">
        <f t="shared" si="1525"/>
        <v>0</v>
      </c>
      <c r="AB820" s="6">
        <f t="shared" si="1525"/>
        <v>0</v>
      </c>
      <c r="AC820" s="67"/>
      <c r="AD820" s="55"/>
    </row>
    <row r="821" spans="1:30" s="52" customFormat="1">
      <c r="A821" s="103" t="s">
        <v>297</v>
      </c>
      <c r="B821" s="180">
        <v>10083408</v>
      </c>
      <c r="C821" s="211">
        <f t="shared" si="1465"/>
        <v>840284</v>
      </c>
      <c r="D821" s="5"/>
      <c r="E821" s="5"/>
      <c r="F821" s="5">
        <v>1</v>
      </c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67"/>
      <c r="AD821" s="55"/>
    </row>
    <row r="822" spans="1:30" s="52" customFormat="1">
      <c r="A822" s="102"/>
      <c r="B822" s="30"/>
      <c r="C822" s="211"/>
      <c r="D822" s="7">
        <f t="shared" ref="D822" si="1526">$C821*D821</f>
        <v>0</v>
      </c>
      <c r="E822" s="7">
        <f t="shared" ref="E822" si="1527">$C821*E821</f>
        <v>0</v>
      </c>
      <c r="F822" s="7">
        <f t="shared" ref="F822:AB822" si="1528">$C821*F821</f>
        <v>840284</v>
      </c>
      <c r="G822" s="7">
        <f t="shared" si="1528"/>
        <v>0</v>
      </c>
      <c r="H822" s="7">
        <f t="shared" si="1528"/>
        <v>0</v>
      </c>
      <c r="I822" s="7">
        <f t="shared" si="1528"/>
        <v>0</v>
      </c>
      <c r="J822" s="7">
        <f t="shared" si="1528"/>
        <v>0</v>
      </c>
      <c r="K822" s="7">
        <f t="shared" si="1528"/>
        <v>0</v>
      </c>
      <c r="L822" s="7">
        <f t="shared" si="1528"/>
        <v>0</v>
      </c>
      <c r="M822" s="7">
        <f t="shared" si="1528"/>
        <v>0</v>
      </c>
      <c r="N822" s="7">
        <f t="shared" si="1528"/>
        <v>0</v>
      </c>
      <c r="O822" s="7">
        <f t="shared" si="1528"/>
        <v>0</v>
      </c>
      <c r="P822" s="7">
        <f t="shared" si="1528"/>
        <v>0</v>
      </c>
      <c r="Q822" s="7">
        <f t="shared" si="1528"/>
        <v>0</v>
      </c>
      <c r="R822" s="7">
        <f t="shared" si="1528"/>
        <v>0</v>
      </c>
      <c r="S822" s="7">
        <f t="shared" si="1528"/>
        <v>0</v>
      </c>
      <c r="T822" s="7">
        <f t="shared" si="1528"/>
        <v>0</v>
      </c>
      <c r="U822" s="7">
        <f t="shared" si="1528"/>
        <v>0</v>
      </c>
      <c r="V822" s="7">
        <f t="shared" si="1528"/>
        <v>0</v>
      </c>
      <c r="W822" s="7">
        <f t="shared" si="1528"/>
        <v>0</v>
      </c>
      <c r="X822" s="7">
        <f t="shared" si="1528"/>
        <v>0</v>
      </c>
      <c r="Y822" s="7">
        <f t="shared" si="1528"/>
        <v>0</v>
      </c>
      <c r="Z822" s="7">
        <f t="shared" si="1528"/>
        <v>0</v>
      </c>
      <c r="AA822" s="7">
        <f t="shared" si="1528"/>
        <v>0</v>
      </c>
      <c r="AB822" s="7">
        <f t="shared" si="1528"/>
        <v>0</v>
      </c>
      <c r="AC822" s="67"/>
      <c r="AD822" s="55"/>
    </row>
    <row r="823" spans="1:30" s="52" customFormat="1">
      <c r="A823" s="103" t="s">
        <v>298</v>
      </c>
      <c r="B823" s="180">
        <v>3431384.5</v>
      </c>
      <c r="C823" s="211">
        <f t="shared" si="1465"/>
        <v>285948.71000000002</v>
      </c>
      <c r="D823" s="170">
        <v>1.6500000000000001E-2</v>
      </c>
      <c r="E823" s="170">
        <v>0.1368</v>
      </c>
      <c r="F823" s="170">
        <v>5.7599999999999998E-2</v>
      </c>
      <c r="G823" s="170">
        <v>8.0399999999999999E-2</v>
      </c>
      <c r="H823" s="170">
        <v>4.1099999999999998E-2</v>
      </c>
      <c r="I823" s="170">
        <v>0.13389999999999999</v>
      </c>
      <c r="J823" s="170">
        <v>2.12E-2</v>
      </c>
      <c r="K823" s="170">
        <v>3.2500000000000001E-2</v>
      </c>
      <c r="L823" s="170">
        <v>1.7100000000000001E-2</v>
      </c>
      <c r="M823" s="170">
        <v>2.5999999999999999E-2</v>
      </c>
      <c r="N823" s="170">
        <v>0.13320000000000001</v>
      </c>
      <c r="O823" s="170">
        <v>1.89E-2</v>
      </c>
      <c r="P823" s="170">
        <v>0</v>
      </c>
      <c r="Q823" s="170">
        <v>3.8600000000000002E-2</v>
      </c>
      <c r="R823" s="170">
        <v>1.9E-2</v>
      </c>
      <c r="S823" s="170">
        <v>4.1999999999999997E-3</v>
      </c>
      <c r="T823" s="170">
        <v>5.3999999999999999E-2</v>
      </c>
      <c r="U823" s="170">
        <v>1.78E-2</v>
      </c>
      <c r="V823" s="170">
        <v>3.6700000000000003E-2</v>
      </c>
      <c r="W823" s="170">
        <v>4.7199999999999999E-2</v>
      </c>
      <c r="X823" s="170">
        <v>6.3899999999999998E-2</v>
      </c>
      <c r="Y823" s="170">
        <v>2.5999999999999999E-3</v>
      </c>
      <c r="Z823" s="171">
        <v>0</v>
      </c>
      <c r="AA823" s="171">
        <v>8.0000000000000004E-4</v>
      </c>
      <c r="AB823" s="171">
        <v>0</v>
      </c>
      <c r="AC823" s="67"/>
      <c r="AD823" s="55"/>
    </row>
    <row r="824" spans="1:30" s="52" customFormat="1">
      <c r="A824" s="102"/>
      <c r="B824" s="30"/>
      <c r="C824" s="211"/>
      <c r="D824" s="7">
        <f t="shared" ref="D824" si="1529">$C823*D823</f>
        <v>4718.1537150000004</v>
      </c>
      <c r="E824" s="7">
        <f t="shared" ref="E824" si="1530">$C823*E823</f>
        <v>39117.783528000007</v>
      </c>
      <c r="F824" s="7">
        <f t="shared" ref="F824:AB824" si="1531">$C823*F823</f>
        <v>16470.645696</v>
      </c>
      <c r="G824" s="7">
        <f t="shared" si="1531"/>
        <v>22990.276284000003</v>
      </c>
      <c r="H824" s="7">
        <f t="shared" si="1531"/>
        <v>11752.491981000001</v>
      </c>
      <c r="I824" s="7">
        <f t="shared" si="1531"/>
        <v>38288.532269000003</v>
      </c>
      <c r="J824" s="7">
        <f t="shared" si="1531"/>
        <v>6062.1126520000007</v>
      </c>
      <c r="K824" s="7">
        <f t="shared" si="1531"/>
        <v>9293.3330750000005</v>
      </c>
      <c r="L824" s="7">
        <f t="shared" si="1531"/>
        <v>4889.7229410000009</v>
      </c>
      <c r="M824" s="7">
        <f t="shared" si="1531"/>
        <v>7434.6664600000004</v>
      </c>
      <c r="N824" s="7">
        <f t="shared" si="1531"/>
        <v>38088.36817200001</v>
      </c>
      <c r="O824" s="7">
        <f t="shared" si="1531"/>
        <v>5404.4306190000007</v>
      </c>
      <c r="P824" s="7">
        <f t="shared" si="1531"/>
        <v>0</v>
      </c>
      <c r="Q824" s="7">
        <f t="shared" si="1531"/>
        <v>11037.620206000001</v>
      </c>
      <c r="R824" s="7">
        <f t="shared" si="1531"/>
        <v>5433.02549</v>
      </c>
      <c r="S824" s="7">
        <f t="shared" si="1531"/>
        <v>1200.984582</v>
      </c>
      <c r="T824" s="7">
        <f t="shared" si="1531"/>
        <v>15441.23034</v>
      </c>
      <c r="U824" s="7">
        <f t="shared" si="1531"/>
        <v>5089.8870380000008</v>
      </c>
      <c r="V824" s="7">
        <f t="shared" si="1531"/>
        <v>10494.317657000001</v>
      </c>
      <c r="W824" s="7">
        <f t="shared" si="1531"/>
        <v>13496.779112</v>
      </c>
      <c r="X824" s="7">
        <f t="shared" si="1531"/>
        <v>18272.122568999999</v>
      </c>
      <c r="Y824" s="7">
        <f t="shared" si="1531"/>
        <v>743.46664599999997</v>
      </c>
      <c r="Z824" s="7">
        <f t="shared" si="1531"/>
        <v>0</v>
      </c>
      <c r="AA824" s="7">
        <f t="shared" si="1531"/>
        <v>228.75896800000004</v>
      </c>
      <c r="AB824" s="7">
        <f t="shared" si="1531"/>
        <v>0</v>
      </c>
      <c r="AC824" s="67"/>
      <c r="AD824" s="55"/>
    </row>
    <row r="825" spans="1:30" s="52" customFormat="1">
      <c r="A825" s="103" t="s">
        <v>303</v>
      </c>
      <c r="B825" s="180">
        <v>3431384.5</v>
      </c>
      <c r="C825" s="211">
        <f t="shared" si="1465"/>
        <v>285948.71000000002</v>
      </c>
      <c r="D825" s="5"/>
      <c r="E825" s="171">
        <v>2.8E-3</v>
      </c>
      <c r="F825" s="171">
        <v>0</v>
      </c>
      <c r="G825" s="171">
        <v>1.8E-3</v>
      </c>
      <c r="H825" s="171">
        <v>0.43009999999999998</v>
      </c>
      <c r="I825" s="5"/>
      <c r="J825" s="171">
        <v>6.9999999999999999E-4</v>
      </c>
      <c r="K825" s="171">
        <v>1.6999999999999999E-3</v>
      </c>
      <c r="L825" s="5"/>
      <c r="M825" s="5"/>
      <c r="N825" s="171">
        <v>0</v>
      </c>
      <c r="O825" s="171">
        <v>1E-3</v>
      </c>
      <c r="P825" s="5"/>
      <c r="Q825" s="5"/>
      <c r="R825" s="5"/>
      <c r="S825" s="5"/>
      <c r="T825" s="5"/>
      <c r="U825" s="5"/>
      <c r="V825" s="171">
        <v>0.56189999999999996</v>
      </c>
      <c r="W825" s="5"/>
      <c r="X825" s="5"/>
      <c r="Y825" s="5"/>
      <c r="Z825" s="5"/>
      <c r="AA825" s="5"/>
      <c r="AB825" s="5"/>
      <c r="AC825" s="67"/>
      <c r="AD825" s="55"/>
    </row>
    <row r="826" spans="1:30" s="52" customFormat="1">
      <c r="A826" s="102"/>
      <c r="B826" s="30"/>
      <c r="C826" s="211"/>
      <c r="D826" s="7">
        <f>$C825*D825</f>
        <v>0</v>
      </c>
      <c r="E826" s="7">
        <f>$C825*E825</f>
        <v>800.65638800000011</v>
      </c>
      <c r="F826" s="7">
        <f t="shared" ref="F826" si="1532">$C825*F825</f>
        <v>0</v>
      </c>
      <c r="G826" s="7">
        <f t="shared" ref="G826" si="1533">$C825*G825</f>
        <v>514.70767799999999</v>
      </c>
      <c r="H826" s="7">
        <f t="shared" ref="H826:AB826" si="1534">$C825*H825</f>
        <v>122986.540171</v>
      </c>
      <c r="I826" s="7">
        <f t="shared" si="1534"/>
        <v>0</v>
      </c>
      <c r="J826" s="7">
        <f t="shared" si="1534"/>
        <v>200.16409700000003</v>
      </c>
      <c r="K826" s="7">
        <f t="shared" si="1534"/>
        <v>486.11280700000003</v>
      </c>
      <c r="L826" s="7">
        <f t="shared" si="1534"/>
        <v>0</v>
      </c>
      <c r="M826" s="7">
        <f t="shared" si="1534"/>
        <v>0</v>
      </c>
      <c r="N826" s="7">
        <f t="shared" si="1534"/>
        <v>0</v>
      </c>
      <c r="O826" s="7">
        <f t="shared" si="1534"/>
        <v>285.94871000000001</v>
      </c>
      <c r="P826" s="7">
        <f t="shared" si="1534"/>
        <v>0</v>
      </c>
      <c r="Q826" s="7">
        <f t="shared" si="1534"/>
        <v>0</v>
      </c>
      <c r="R826" s="7">
        <f t="shared" si="1534"/>
        <v>0</v>
      </c>
      <c r="S826" s="7">
        <f t="shared" si="1534"/>
        <v>0</v>
      </c>
      <c r="T826" s="7">
        <f t="shared" si="1534"/>
        <v>0</v>
      </c>
      <c r="U826" s="7">
        <f t="shared" si="1534"/>
        <v>0</v>
      </c>
      <c r="V826" s="7">
        <f t="shared" si="1534"/>
        <v>160674.58014899999</v>
      </c>
      <c r="W826" s="7">
        <f t="shared" si="1534"/>
        <v>0</v>
      </c>
      <c r="X826" s="7">
        <f t="shared" si="1534"/>
        <v>0</v>
      </c>
      <c r="Y826" s="7">
        <f t="shared" si="1534"/>
        <v>0</v>
      </c>
      <c r="Z826" s="7">
        <f t="shared" si="1534"/>
        <v>0</v>
      </c>
      <c r="AA826" s="7">
        <f t="shared" si="1534"/>
        <v>0</v>
      </c>
      <c r="AB826" s="7">
        <f t="shared" si="1534"/>
        <v>0</v>
      </c>
      <c r="AC826" s="67"/>
      <c r="AD826" s="55"/>
    </row>
    <row r="827" spans="1:30" s="52" customFormat="1">
      <c r="A827" s="103" t="s">
        <v>299</v>
      </c>
      <c r="B827" s="180">
        <v>6631516</v>
      </c>
      <c r="C827" s="211">
        <f t="shared" si="1465"/>
        <v>552626.32999999996</v>
      </c>
      <c r="D827" s="40"/>
      <c r="E827" s="40">
        <v>0.93610000000000004</v>
      </c>
      <c r="F827" s="40"/>
      <c r="G827" s="40">
        <v>2.9899999999999999E-2</v>
      </c>
      <c r="H827" s="40"/>
      <c r="I827" s="40">
        <v>2.07E-2</v>
      </c>
      <c r="J827" s="40"/>
      <c r="K827" s="40"/>
      <c r="L827" s="40"/>
      <c r="M827" s="40"/>
      <c r="N827" s="40"/>
      <c r="O827" s="40"/>
      <c r="P827" s="40">
        <v>2.9999999999999997E-4</v>
      </c>
      <c r="Q827" s="40"/>
      <c r="R827" s="40"/>
      <c r="S827" s="40"/>
      <c r="T827" s="40"/>
      <c r="U827" s="40">
        <v>3.0999999999999999E-3</v>
      </c>
      <c r="V827" s="40"/>
      <c r="W827" s="40"/>
      <c r="X827" s="40">
        <v>9.1999999999999998E-3</v>
      </c>
      <c r="Y827" s="40">
        <v>4.0000000000000002E-4</v>
      </c>
      <c r="Z827" s="40">
        <v>2.9999999999999997E-4</v>
      </c>
      <c r="AA827" s="40">
        <v>0</v>
      </c>
      <c r="AB827" s="40">
        <v>0</v>
      </c>
      <c r="AC827" s="67"/>
      <c r="AD827" s="55"/>
    </row>
    <row r="828" spans="1:30" s="52" customFormat="1">
      <c r="A828" s="102"/>
      <c r="B828" s="30"/>
      <c r="C828" s="211"/>
      <c r="D828" s="146">
        <f t="shared" ref="D828" si="1535">$C827*D827</f>
        <v>0</v>
      </c>
      <c r="E828" s="146">
        <f t="shared" ref="E828" si="1536">$C827*E827</f>
        <v>517313.50751299999</v>
      </c>
      <c r="F828" s="146">
        <f t="shared" ref="F828:AB828" si="1537">$C827*F827</f>
        <v>0</v>
      </c>
      <c r="G828" s="146">
        <f t="shared" si="1537"/>
        <v>16523.527266999998</v>
      </c>
      <c r="H828" s="146">
        <f t="shared" si="1537"/>
        <v>0</v>
      </c>
      <c r="I828" s="146">
        <f t="shared" si="1537"/>
        <v>11439.365030999999</v>
      </c>
      <c r="J828" s="146">
        <f t="shared" si="1537"/>
        <v>0</v>
      </c>
      <c r="K828" s="146">
        <f t="shared" si="1537"/>
        <v>0</v>
      </c>
      <c r="L828" s="146">
        <f t="shared" si="1537"/>
        <v>0</v>
      </c>
      <c r="M828" s="146">
        <f t="shared" si="1537"/>
        <v>0</v>
      </c>
      <c r="N828" s="146">
        <f t="shared" si="1537"/>
        <v>0</v>
      </c>
      <c r="O828" s="146">
        <f t="shared" si="1537"/>
        <v>0</v>
      </c>
      <c r="P828" s="146">
        <f t="shared" si="1537"/>
        <v>165.78789899999998</v>
      </c>
      <c r="Q828" s="146">
        <f t="shared" si="1537"/>
        <v>0</v>
      </c>
      <c r="R828" s="146">
        <f t="shared" si="1537"/>
        <v>0</v>
      </c>
      <c r="S828" s="146">
        <f t="shared" si="1537"/>
        <v>0</v>
      </c>
      <c r="T828" s="146">
        <f t="shared" si="1537"/>
        <v>0</v>
      </c>
      <c r="U828" s="146">
        <f t="shared" si="1537"/>
        <v>1713.1416229999998</v>
      </c>
      <c r="V828" s="146">
        <f t="shared" si="1537"/>
        <v>0</v>
      </c>
      <c r="W828" s="146">
        <f t="shared" si="1537"/>
        <v>0</v>
      </c>
      <c r="X828" s="146">
        <f t="shared" si="1537"/>
        <v>5084.1622359999992</v>
      </c>
      <c r="Y828" s="146">
        <f t="shared" si="1537"/>
        <v>221.050532</v>
      </c>
      <c r="Z828" s="146">
        <f t="shared" si="1537"/>
        <v>165.78789899999998</v>
      </c>
      <c r="AA828" s="146">
        <f t="shared" si="1537"/>
        <v>0</v>
      </c>
      <c r="AB828" s="146">
        <f t="shared" si="1537"/>
        <v>0</v>
      </c>
      <c r="AC828" s="67"/>
      <c r="AD828" s="55"/>
    </row>
    <row r="829" spans="1:30" s="52" customFormat="1">
      <c r="A829" s="96" t="s">
        <v>300</v>
      </c>
      <c r="B829" s="180">
        <v>3203403.5</v>
      </c>
      <c r="C829" s="211">
        <f t="shared" si="1465"/>
        <v>266950.28999999998</v>
      </c>
      <c r="D829" s="170">
        <v>1.6500000000000001E-2</v>
      </c>
      <c r="E829" s="170">
        <v>0.1368</v>
      </c>
      <c r="F829" s="170">
        <v>5.7599999999999998E-2</v>
      </c>
      <c r="G829" s="170">
        <v>8.0399999999999999E-2</v>
      </c>
      <c r="H829" s="170">
        <v>4.1099999999999998E-2</v>
      </c>
      <c r="I829" s="170">
        <v>0.13389999999999999</v>
      </c>
      <c r="J829" s="170">
        <v>2.12E-2</v>
      </c>
      <c r="K829" s="170">
        <v>3.2500000000000001E-2</v>
      </c>
      <c r="L829" s="170">
        <v>1.7100000000000001E-2</v>
      </c>
      <c r="M829" s="170">
        <v>2.5999999999999999E-2</v>
      </c>
      <c r="N829" s="170">
        <v>0.13320000000000001</v>
      </c>
      <c r="O829" s="170">
        <v>1.89E-2</v>
      </c>
      <c r="P829" s="170">
        <v>0</v>
      </c>
      <c r="Q829" s="170">
        <v>3.8600000000000002E-2</v>
      </c>
      <c r="R829" s="170">
        <v>1.9E-2</v>
      </c>
      <c r="S829" s="170">
        <v>4.1999999999999997E-3</v>
      </c>
      <c r="T829" s="170">
        <v>5.3999999999999999E-2</v>
      </c>
      <c r="U829" s="170">
        <v>1.78E-2</v>
      </c>
      <c r="V829" s="170">
        <v>3.6700000000000003E-2</v>
      </c>
      <c r="W829" s="170">
        <v>4.7199999999999999E-2</v>
      </c>
      <c r="X829" s="170">
        <v>6.3899999999999998E-2</v>
      </c>
      <c r="Y829" s="170">
        <v>2.5999999999999999E-3</v>
      </c>
      <c r="Z829" s="171">
        <v>0</v>
      </c>
      <c r="AA829" s="171">
        <v>8.0000000000000004E-4</v>
      </c>
      <c r="AB829" s="171">
        <v>0</v>
      </c>
      <c r="AC829" s="67"/>
      <c r="AD829" s="55"/>
    </row>
    <row r="830" spans="1:30" s="52" customFormat="1">
      <c r="A830" s="97"/>
      <c r="B830" s="30"/>
      <c r="C830" s="211"/>
      <c r="D830" s="6">
        <f t="shared" ref="D830" si="1538">$C829*D829</f>
        <v>4404.6797850000003</v>
      </c>
      <c r="E830" s="6">
        <f t="shared" ref="E830" si="1539">$C829*E829</f>
        <v>36518.799672000001</v>
      </c>
      <c r="F830" s="6">
        <f t="shared" ref="F830:AB830" si="1540">$C829*F829</f>
        <v>15376.336703999998</v>
      </c>
      <c r="G830" s="6">
        <f t="shared" si="1540"/>
        <v>21462.803315999998</v>
      </c>
      <c r="H830" s="6">
        <f t="shared" si="1540"/>
        <v>10971.656918999999</v>
      </c>
      <c r="I830" s="6">
        <f t="shared" si="1540"/>
        <v>35744.643830999994</v>
      </c>
      <c r="J830" s="6">
        <f t="shared" si="1540"/>
        <v>5659.3461479999996</v>
      </c>
      <c r="K830" s="6">
        <f t="shared" si="1540"/>
        <v>8675.8844250000002</v>
      </c>
      <c r="L830" s="6">
        <f t="shared" si="1540"/>
        <v>4564.8499590000001</v>
      </c>
      <c r="M830" s="6">
        <f t="shared" si="1540"/>
        <v>6940.7075399999994</v>
      </c>
      <c r="N830" s="6">
        <f t="shared" si="1540"/>
        <v>35557.778628</v>
      </c>
      <c r="O830" s="6">
        <f t="shared" si="1540"/>
        <v>5045.3604809999997</v>
      </c>
      <c r="P830" s="6">
        <f t="shared" si="1540"/>
        <v>0</v>
      </c>
      <c r="Q830" s="6">
        <f t="shared" si="1540"/>
        <v>10304.281193999999</v>
      </c>
      <c r="R830" s="6">
        <f t="shared" si="1540"/>
        <v>5072.0555099999992</v>
      </c>
      <c r="S830" s="6">
        <f t="shared" si="1540"/>
        <v>1121.1912179999999</v>
      </c>
      <c r="T830" s="6">
        <f t="shared" si="1540"/>
        <v>14415.315659999998</v>
      </c>
      <c r="U830" s="6">
        <f t="shared" si="1540"/>
        <v>4751.7151619999995</v>
      </c>
      <c r="V830" s="6">
        <f t="shared" si="1540"/>
        <v>9797.0756430000001</v>
      </c>
      <c r="W830" s="6">
        <f t="shared" si="1540"/>
        <v>12600.053687999998</v>
      </c>
      <c r="X830" s="6">
        <f t="shared" si="1540"/>
        <v>17058.123530999997</v>
      </c>
      <c r="Y830" s="6">
        <f t="shared" si="1540"/>
        <v>694.07075399999997</v>
      </c>
      <c r="Z830" s="6">
        <f t="shared" si="1540"/>
        <v>0</v>
      </c>
      <c r="AA830" s="6">
        <f t="shared" si="1540"/>
        <v>213.56023199999998</v>
      </c>
      <c r="AB830" s="6">
        <f t="shared" si="1540"/>
        <v>0</v>
      </c>
      <c r="AC830" s="67"/>
      <c r="AD830" s="55"/>
    </row>
    <row r="831" spans="1:30" s="52" customFormat="1">
      <c r="A831" s="96" t="s">
        <v>453</v>
      </c>
      <c r="B831" s="203">
        <v>3203403.5</v>
      </c>
      <c r="C831" s="211">
        <f t="shared" si="1465"/>
        <v>266950.28999999998</v>
      </c>
      <c r="D831" s="5"/>
      <c r="E831" s="171">
        <v>0.74350000000000005</v>
      </c>
      <c r="F831" s="5"/>
      <c r="G831" s="5"/>
      <c r="H831" s="5"/>
      <c r="I831" s="5"/>
      <c r="J831" s="171">
        <v>0.10639999999999999</v>
      </c>
      <c r="K831" s="171">
        <v>0.14680000000000001</v>
      </c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171">
        <v>3.3E-3</v>
      </c>
      <c r="Z831" s="5"/>
      <c r="AA831" s="5"/>
      <c r="AB831" s="5"/>
      <c r="AC831" s="67"/>
      <c r="AD831" s="55"/>
    </row>
    <row r="832" spans="1:30" s="52" customFormat="1">
      <c r="A832" s="97"/>
      <c r="B832" s="12"/>
      <c r="C832" s="211"/>
      <c r="D832" s="6">
        <f t="shared" ref="D832" si="1541">$C831*D831</f>
        <v>0</v>
      </c>
      <c r="E832" s="6">
        <f t="shared" ref="E832" si="1542">$C831*E831</f>
        <v>198477.54061500001</v>
      </c>
      <c r="F832" s="6">
        <f t="shared" ref="F832:O832" si="1543">$C831*F831</f>
        <v>0</v>
      </c>
      <c r="G832" s="6">
        <f t="shared" si="1543"/>
        <v>0</v>
      </c>
      <c r="H832" s="6">
        <f t="shared" si="1543"/>
        <v>0</v>
      </c>
      <c r="I832" s="6">
        <f t="shared" si="1543"/>
        <v>0</v>
      </c>
      <c r="J832" s="6">
        <f t="shared" si="1543"/>
        <v>28403.510855999997</v>
      </c>
      <c r="K832" s="6">
        <f t="shared" si="1543"/>
        <v>39188.302572000001</v>
      </c>
      <c r="L832" s="6">
        <f t="shared" si="1543"/>
        <v>0</v>
      </c>
      <c r="M832" s="6">
        <f t="shared" si="1543"/>
        <v>0</v>
      </c>
      <c r="N832" s="6">
        <f t="shared" si="1543"/>
        <v>0</v>
      </c>
      <c r="O832" s="6">
        <f t="shared" si="1543"/>
        <v>0</v>
      </c>
      <c r="P832" s="6">
        <f t="shared" ref="P832" si="1544">$C831*P831</f>
        <v>0</v>
      </c>
      <c r="Q832" s="6">
        <f t="shared" ref="Q832" si="1545">$C831*Q831</f>
        <v>0</v>
      </c>
      <c r="R832" s="6">
        <f t="shared" ref="R832:AB832" si="1546">$C831*R831</f>
        <v>0</v>
      </c>
      <c r="S832" s="6">
        <f t="shared" si="1546"/>
        <v>0</v>
      </c>
      <c r="T832" s="6">
        <f t="shared" si="1546"/>
        <v>0</v>
      </c>
      <c r="U832" s="6">
        <f t="shared" si="1546"/>
        <v>0</v>
      </c>
      <c r="V832" s="6">
        <f t="shared" si="1546"/>
        <v>0</v>
      </c>
      <c r="W832" s="6">
        <f t="shared" si="1546"/>
        <v>0</v>
      </c>
      <c r="X832" s="6">
        <f t="shared" si="1546"/>
        <v>0</v>
      </c>
      <c r="Y832" s="6">
        <f t="shared" si="1546"/>
        <v>880.93595699999992</v>
      </c>
      <c r="Z832" s="6">
        <f t="shared" si="1546"/>
        <v>0</v>
      </c>
      <c r="AA832" s="6">
        <f t="shared" si="1546"/>
        <v>0</v>
      </c>
      <c r="AB832" s="6">
        <f t="shared" si="1546"/>
        <v>0</v>
      </c>
      <c r="AC832" s="67"/>
      <c r="AD832" s="55"/>
    </row>
    <row r="833" spans="1:30" s="52" customFormat="1">
      <c r="A833" s="103" t="s">
        <v>301</v>
      </c>
      <c r="B833" s="180">
        <v>5840710</v>
      </c>
      <c r="C833" s="211">
        <f t="shared" si="1465"/>
        <v>486725.83</v>
      </c>
      <c r="D833" s="40">
        <v>4.1000000000000003E-3</v>
      </c>
      <c r="E833" s="40">
        <v>0.87219999999999998</v>
      </c>
      <c r="F833" s="40"/>
      <c r="G833" s="40"/>
      <c r="H833" s="40">
        <v>1.03E-2</v>
      </c>
      <c r="I833" s="40">
        <v>3.3799999999999997E-2</v>
      </c>
      <c r="J833" s="40">
        <v>1.23E-2</v>
      </c>
      <c r="K833" s="40"/>
      <c r="L833" s="40">
        <v>1.46E-2</v>
      </c>
      <c r="M833" s="40">
        <v>5.4000000000000003E-3</v>
      </c>
      <c r="N833" s="40"/>
      <c r="O833" s="40"/>
      <c r="P833" s="40">
        <v>4.0000000000000002E-4</v>
      </c>
      <c r="Q833" s="40">
        <v>8.9999999999999993E-3</v>
      </c>
      <c r="R833" s="40"/>
      <c r="S833" s="40">
        <v>8.9999999999999998E-4</v>
      </c>
      <c r="T833" s="40">
        <v>1.18E-2</v>
      </c>
      <c r="U833" s="40"/>
      <c r="V833" s="40">
        <v>9.4000000000000004E-3</v>
      </c>
      <c r="W833" s="40"/>
      <c r="X833" s="40">
        <v>1.4800000000000001E-2</v>
      </c>
      <c r="Y833" s="40">
        <v>5.9999999999999995E-4</v>
      </c>
      <c r="Z833" s="40">
        <v>4.0000000000000002E-4</v>
      </c>
      <c r="AA833" s="40">
        <v>0</v>
      </c>
      <c r="AB833" s="40">
        <v>0</v>
      </c>
      <c r="AC833" s="67"/>
      <c r="AD833" s="55"/>
    </row>
    <row r="834" spans="1:30" s="52" customFormat="1">
      <c r="A834" s="102"/>
      <c r="B834" s="30"/>
      <c r="C834" s="211"/>
      <c r="D834" s="146">
        <f t="shared" ref="D834" si="1547">$C833*D833</f>
        <v>1995.5759030000002</v>
      </c>
      <c r="E834" s="146">
        <f t="shared" ref="E834" si="1548">$C833*E833</f>
        <v>424522.26892599999</v>
      </c>
      <c r="F834" s="146">
        <f t="shared" ref="F834:AB834" si="1549">$C833*F833</f>
        <v>0</v>
      </c>
      <c r="G834" s="146">
        <f t="shared" si="1549"/>
        <v>0</v>
      </c>
      <c r="H834" s="146">
        <f t="shared" si="1549"/>
        <v>5013.2760490000001</v>
      </c>
      <c r="I834" s="146">
        <f t="shared" si="1549"/>
        <v>16451.333053999999</v>
      </c>
      <c r="J834" s="146">
        <f t="shared" si="1549"/>
        <v>5986.7277090000007</v>
      </c>
      <c r="K834" s="146">
        <f t="shared" si="1549"/>
        <v>0</v>
      </c>
      <c r="L834" s="146">
        <f t="shared" si="1549"/>
        <v>7106.197118</v>
      </c>
      <c r="M834" s="146">
        <f t="shared" si="1549"/>
        <v>2628.3194820000003</v>
      </c>
      <c r="N834" s="146">
        <f t="shared" si="1549"/>
        <v>0</v>
      </c>
      <c r="O834" s="146">
        <f t="shared" si="1549"/>
        <v>0</v>
      </c>
      <c r="P834" s="146">
        <f t="shared" si="1549"/>
        <v>194.69033200000001</v>
      </c>
      <c r="Q834" s="146">
        <f t="shared" si="1549"/>
        <v>4380.5324700000001</v>
      </c>
      <c r="R834" s="146">
        <f t="shared" si="1549"/>
        <v>0</v>
      </c>
      <c r="S834" s="146">
        <f t="shared" si="1549"/>
        <v>438.053247</v>
      </c>
      <c r="T834" s="146">
        <f t="shared" si="1549"/>
        <v>5743.3647940000001</v>
      </c>
      <c r="U834" s="146">
        <f t="shared" si="1549"/>
        <v>0</v>
      </c>
      <c r="V834" s="146">
        <f t="shared" si="1549"/>
        <v>4575.2228020000002</v>
      </c>
      <c r="W834" s="146">
        <f t="shared" si="1549"/>
        <v>0</v>
      </c>
      <c r="X834" s="146">
        <f t="shared" si="1549"/>
        <v>7203.5422840000001</v>
      </c>
      <c r="Y834" s="146">
        <f t="shared" si="1549"/>
        <v>292.03549799999996</v>
      </c>
      <c r="Z834" s="146">
        <f t="shared" si="1549"/>
        <v>194.69033200000001</v>
      </c>
      <c r="AA834" s="146">
        <f t="shared" si="1549"/>
        <v>0</v>
      </c>
      <c r="AB834" s="146">
        <f t="shared" si="1549"/>
        <v>0</v>
      </c>
      <c r="AC834" s="67"/>
      <c r="AD834" s="55"/>
    </row>
    <row r="835" spans="1:30" s="52" customFormat="1">
      <c r="A835" s="103" t="s">
        <v>309</v>
      </c>
      <c r="B835" s="180">
        <v>30080</v>
      </c>
      <c r="C835" s="211">
        <f t="shared" si="1465"/>
        <v>2506.67</v>
      </c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10">
        <v>0.753</v>
      </c>
      <c r="O835" s="33"/>
      <c r="P835" s="33"/>
      <c r="Q835" s="33"/>
      <c r="R835" s="33"/>
      <c r="S835" s="33"/>
      <c r="T835" s="33"/>
      <c r="U835" s="33"/>
      <c r="V835" s="10">
        <v>0.247</v>
      </c>
      <c r="W835" s="33"/>
      <c r="X835" s="33"/>
      <c r="Y835" s="33"/>
      <c r="Z835" s="33"/>
      <c r="AA835" s="33"/>
      <c r="AB835" s="33"/>
      <c r="AC835" s="67"/>
      <c r="AD835" s="55"/>
    </row>
    <row r="836" spans="1:30" s="52" customFormat="1">
      <c r="A836" s="102"/>
      <c r="B836" s="30"/>
      <c r="C836" s="211"/>
      <c r="D836" s="7">
        <f t="shared" ref="D836" si="1550">$C835*D835</f>
        <v>0</v>
      </c>
      <c r="E836" s="7">
        <f t="shared" ref="E836" si="1551">$C835*E835</f>
        <v>0</v>
      </c>
      <c r="F836" s="7">
        <f t="shared" ref="F836:AB836" si="1552">$C835*F835</f>
        <v>0</v>
      </c>
      <c r="G836" s="7">
        <f t="shared" si="1552"/>
        <v>0</v>
      </c>
      <c r="H836" s="7">
        <f t="shared" si="1552"/>
        <v>0</v>
      </c>
      <c r="I836" s="7">
        <f t="shared" si="1552"/>
        <v>0</v>
      </c>
      <c r="J836" s="7">
        <f t="shared" si="1552"/>
        <v>0</v>
      </c>
      <c r="K836" s="7">
        <f t="shared" si="1552"/>
        <v>0</v>
      </c>
      <c r="L836" s="7">
        <f t="shared" si="1552"/>
        <v>0</v>
      </c>
      <c r="M836" s="7">
        <f t="shared" si="1552"/>
        <v>0</v>
      </c>
      <c r="N836" s="7">
        <f t="shared" si="1552"/>
        <v>1887.52251</v>
      </c>
      <c r="O836" s="7">
        <f t="shared" si="1552"/>
        <v>0</v>
      </c>
      <c r="P836" s="7">
        <f t="shared" si="1552"/>
        <v>0</v>
      </c>
      <c r="Q836" s="7">
        <f t="shared" si="1552"/>
        <v>0</v>
      </c>
      <c r="R836" s="7">
        <f t="shared" si="1552"/>
        <v>0</v>
      </c>
      <c r="S836" s="7">
        <f t="shared" si="1552"/>
        <v>0</v>
      </c>
      <c r="T836" s="7">
        <f t="shared" si="1552"/>
        <v>0</v>
      </c>
      <c r="U836" s="7">
        <f t="shared" si="1552"/>
        <v>0</v>
      </c>
      <c r="V836" s="7">
        <f t="shared" si="1552"/>
        <v>619.14749000000006</v>
      </c>
      <c r="W836" s="7">
        <f t="shared" si="1552"/>
        <v>0</v>
      </c>
      <c r="X836" s="7">
        <f t="shared" si="1552"/>
        <v>0</v>
      </c>
      <c r="Y836" s="7">
        <f t="shared" si="1552"/>
        <v>0</v>
      </c>
      <c r="Z836" s="7">
        <f t="shared" si="1552"/>
        <v>0</v>
      </c>
      <c r="AA836" s="7">
        <f t="shared" si="1552"/>
        <v>0</v>
      </c>
      <c r="AB836" s="7">
        <f t="shared" si="1552"/>
        <v>0</v>
      </c>
      <c r="AC836" s="67"/>
      <c r="AD836" s="55"/>
    </row>
    <row r="837" spans="1:30" s="52" customFormat="1">
      <c r="A837" s="96" t="s">
        <v>310</v>
      </c>
      <c r="B837" s="180">
        <v>4206175</v>
      </c>
      <c r="C837" s="211">
        <f t="shared" si="1465"/>
        <v>350514.58</v>
      </c>
      <c r="D837" s="38">
        <v>7.1000000000000004E-3</v>
      </c>
      <c r="E837" s="38">
        <v>0.75060000000000004</v>
      </c>
      <c r="F837" s="38">
        <v>1.2500000000000001E-2</v>
      </c>
      <c r="G837" s="38"/>
      <c r="H837" s="38">
        <v>1.8100000000000002E-2</v>
      </c>
      <c r="I837" s="38">
        <v>5.91E-2</v>
      </c>
      <c r="J837" s="38">
        <v>8.6E-3</v>
      </c>
      <c r="K837" s="38"/>
      <c r="L837" s="38">
        <v>1.23E-2</v>
      </c>
      <c r="M837" s="38">
        <v>9.4999999999999998E-3</v>
      </c>
      <c r="N837" s="38">
        <v>3.8899999999999997E-2</v>
      </c>
      <c r="O837" s="38"/>
      <c r="P837" s="38">
        <v>6.9999999999999999E-4</v>
      </c>
      <c r="Q837" s="38">
        <v>1.5800000000000002E-2</v>
      </c>
      <c r="R837" s="38"/>
      <c r="S837" s="38">
        <v>1.5E-3</v>
      </c>
      <c r="T837" s="38">
        <v>2.0799999999999999E-2</v>
      </c>
      <c r="U837" s="38"/>
      <c r="V837" s="38">
        <v>1.66E-2</v>
      </c>
      <c r="W837" s="38"/>
      <c r="X837" s="38">
        <v>2.6200000000000001E-2</v>
      </c>
      <c r="Y837" s="38">
        <v>1E-3</v>
      </c>
      <c r="Z837" s="40">
        <v>6.9999999999999999E-4</v>
      </c>
      <c r="AA837" s="40">
        <v>0</v>
      </c>
      <c r="AB837" s="40">
        <v>0</v>
      </c>
      <c r="AC837" s="67"/>
      <c r="AD837" s="55"/>
    </row>
    <row r="838" spans="1:30" s="52" customFormat="1">
      <c r="A838" s="97"/>
      <c r="B838" s="30"/>
      <c r="C838" s="211"/>
      <c r="D838" s="39">
        <f t="shared" ref="D838" si="1553">$C837*D837</f>
        <v>2488.6535180000001</v>
      </c>
      <c r="E838" s="39">
        <f t="shared" ref="E838" si="1554">$C837*E837</f>
        <v>263096.24374800001</v>
      </c>
      <c r="F838" s="39">
        <f t="shared" ref="F838:AB838" si="1555">$C837*F837</f>
        <v>4381.4322500000007</v>
      </c>
      <c r="G838" s="39">
        <f t="shared" si="1555"/>
        <v>0</v>
      </c>
      <c r="H838" s="39">
        <f t="shared" si="1555"/>
        <v>6344.3138980000012</v>
      </c>
      <c r="I838" s="39">
        <f t="shared" si="1555"/>
        <v>20715.411678</v>
      </c>
      <c r="J838" s="39">
        <f t="shared" si="1555"/>
        <v>3014.4253880000001</v>
      </c>
      <c r="K838" s="39">
        <f t="shared" si="1555"/>
        <v>0</v>
      </c>
      <c r="L838" s="39">
        <f t="shared" si="1555"/>
        <v>4311.329334</v>
      </c>
      <c r="M838" s="39">
        <f t="shared" si="1555"/>
        <v>3329.8885100000002</v>
      </c>
      <c r="N838" s="39">
        <f t="shared" si="1555"/>
        <v>13635.017162</v>
      </c>
      <c r="O838" s="39">
        <f t="shared" si="1555"/>
        <v>0</v>
      </c>
      <c r="P838" s="39">
        <f t="shared" si="1555"/>
        <v>245.36020600000001</v>
      </c>
      <c r="Q838" s="39">
        <f t="shared" si="1555"/>
        <v>5538.1303640000006</v>
      </c>
      <c r="R838" s="39">
        <f t="shared" si="1555"/>
        <v>0</v>
      </c>
      <c r="S838" s="39">
        <f t="shared" si="1555"/>
        <v>525.77187000000004</v>
      </c>
      <c r="T838" s="39">
        <f t="shared" si="1555"/>
        <v>7290.7032639999998</v>
      </c>
      <c r="U838" s="39">
        <f t="shared" si="1555"/>
        <v>0</v>
      </c>
      <c r="V838" s="39">
        <f t="shared" si="1555"/>
        <v>5818.5420280000008</v>
      </c>
      <c r="W838" s="39">
        <f t="shared" si="1555"/>
        <v>0</v>
      </c>
      <c r="X838" s="39">
        <f t="shared" si="1555"/>
        <v>9183.4819960000004</v>
      </c>
      <c r="Y838" s="39">
        <f t="shared" si="1555"/>
        <v>350.51458000000002</v>
      </c>
      <c r="Z838" s="39">
        <f t="shared" si="1555"/>
        <v>245.36020600000001</v>
      </c>
      <c r="AA838" s="39">
        <f t="shared" si="1555"/>
        <v>0</v>
      </c>
      <c r="AB838" s="39">
        <f t="shared" si="1555"/>
        <v>0</v>
      </c>
      <c r="AC838" s="67"/>
      <c r="AD838" s="55"/>
    </row>
    <row r="839" spans="1:30" s="52" customFormat="1">
      <c r="A839" s="103" t="s">
        <v>311</v>
      </c>
      <c r="B839" s="180">
        <v>807932.5</v>
      </c>
      <c r="C839" s="211">
        <f t="shared" si="1465"/>
        <v>67327.710000000006</v>
      </c>
      <c r="D839" s="170">
        <v>1.6500000000000001E-2</v>
      </c>
      <c r="E839" s="170">
        <v>0.1368</v>
      </c>
      <c r="F839" s="170">
        <v>5.7599999999999998E-2</v>
      </c>
      <c r="G839" s="170">
        <v>8.0399999999999999E-2</v>
      </c>
      <c r="H839" s="170">
        <v>4.1099999999999998E-2</v>
      </c>
      <c r="I839" s="170">
        <v>0.13389999999999999</v>
      </c>
      <c r="J839" s="170">
        <v>2.12E-2</v>
      </c>
      <c r="K839" s="170">
        <v>3.2500000000000001E-2</v>
      </c>
      <c r="L839" s="170">
        <v>1.7100000000000001E-2</v>
      </c>
      <c r="M839" s="170">
        <v>2.5999999999999999E-2</v>
      </c>
      <c r="N839" s="170">
        <v>0.13320000000000001</v>
      </c>
      <c r="O839" s="170">
        <v>1.89E-2</v>
      </c>
      <c r="P839" s="170">
        <v>0</v>
      </c>
      <c r="Q839" s="170">
        <v>3.8600000000000002E-2</v>
      </c>
      <c r="R839" s="170">
        <v>1.9E-2</v>
      </c>
      <c r="S839" s="170">
        <v>4.1999999999999997E-3</v>
      </c>
      <c r="T839" s="170">
        <v>5.3999999999999999E-2</v>
      </c>
      <c r="U839" s="170">
        <v>1.78E-2</v>
      </c>
      <c r="V839" s="170">
        <v>3.6700000000000003E-2</v>
      </c>
      <c r="W839" s="170">
        <v>4.7199999999999999E-2</v>
      </c>
      <c r="X839" s="170">
        <v>6.3899999999999998E-2</v>
      </c>
      <c r="Y839" s="170">
        <v>2.5999999999999999E-3</v>
      </c>
      <c r="Z839" s="171">
        <v>0</v>
      </c>
      <c r="AA839" s="171">
        <v>8.0000000000000004E-4</v>
      </c>
      <c r="AB839" s="171">
        <v>0</v>
      </c>
      <c r="AC839" s="67"/>
      <c r="AD839" s="55"/>
    </row>
    <row r="840" spans="1:30" s="52" customFormat="1">
      <c r="A840" s="102"/>
      <c r="B840" s="30"/>
      <c r="C840" s="211"/>
      <c r="D840" s="7">
        <f t="shared" ref="D840" si="1556">$C839*D839</f>
        <v>1110.9072150000002</v>
      </c>
      <c r="E840" s="7">
        <f t="shared" ref="E840" si="1557">$C839*E839</f>
        <v>9210.4307280000012</v>
      </c>
      <c r="F840" s="7">
        <f t="shared" ref="F840:AB840" si="1558">$C839*F839</f>
        <v>3878.0760960000002</v>
      </c>
      <c r="G840" s="7">
        <f t="shared" si="1558"/>
        <v>5413.1478840000009</v>
      </c>
      <c r="H840" s="7">
        <f t="shared" si="1558"/>
        <v>2767.1688810000001</v>
      </c>
      <c r="I840" s="7">
        <f t="shared" si="1558"/>
        <v>9015.1803689999997</v>
      </c>
      <c r="J840" s="7">
        <f t="shared" si="1558"/>
        <v>1427.3474520000002</v>
      </c>
      <c r="K840" s="7">
        <f t="shared" si="1558"/>
        <v>2188.1505750000001</v>
      </c>
      <c r="L840" s="7">
        <f t="shared" si="1558"/>
        <v>1151.3038410000001</v>
      </c>
      <c r="M840" s="7">
        <f t="shared" si="1558"/>
        <v>1750.5204600000002</v>
      </c>
      <c r="N840" s="7">
        <f t="shared" si="1558"/>
        <v>8968.0509720000009</v>
      </c>
      <c r="O840" s="7">
        <f t="shared" si="1558"/>
        <v>1272.4937190000001</v>
      </c>
      <c r="P840" s="7">
        <f t="shared" si="1558"/>
        <v>0</v>
      </c>
      <c r="Q840" s="7">
        <f t="shared" si="1558"/>
        <v>2598.8496060000002</v>
      </c>
      <c r="R840" s="7">
        <f t="shared" si="1558"/>
        <v>1279.22649</v>
      </c>
      <c r="S840" s="7">
        <f t="shared" si="1558"/>
        <v>282.77638200000001</v>
      </c>
      <c r="T840" s="7">
        <f t="shared" si="1558"/>
        <v>3635.6963400000004</v>
      </c>
      <c r="U840" s="7">
        <f t="shared" si="1558"/>
        <v>1198.4332380000001</v>
      </c>
      <c r="V840" s="7">
        <f t="shared" si="1558"/>
        <v>2470.9269570000006</v>
      </c>
      <c r="W840" s="7">
        <f t="shared" si="1558"/>
        <v>3177.8679120000002</v>
      </c>
      <c r="X840" s="7">
        <f t="shared" si="1558"/>
        <v>4302.2406690000007</v>
      </c>
      <c r="Y840" s="7">
        <f t="shared" si="1558"/>
        <v>175.05204600000002</v>
      </c>
      <c r="Z840" s="7">
        <f t="shared" si="1558"/>
        <v>0</v>
      </c>
      <c r="AA840" s="7">
        <f t="shared" si="1558"/>
        <v>53.862168000000011</v>
      </c>
      <c r="AB840" s="7">
        <f t="shared" si="1558"/>
        <v>0</v>
      </c>
      <c r="AC840" s="67"/>
      <c r="AD840" s="55"/>
    </row>
    <row r="841" spans="1:30" s="52" customFormat="1">
      <c r="A841" s="103" t="s">
        <v>313</v>
      </c>
      <c r="B841" s="180">
        <v>807932.5</v>
      </c>
      <c r="C841" s="211">
        <f t="shared" si="1465"/>
        <v>67327.710000000006</v>
      </c>
      <c r="D841" s="33"/>
      <c r="E841" s="46">
        <v>1</v>
      </c>
      <c r="F841" s="33"/>
      <c r="G841" s="33"/>
      <c r="H841" s="33"/>
      <c r="I841" s="33"/>
      <c r="J841" s="33"/>
      <c r="K841" s="33"/>
      <c r="L841" s="33"/>
      <c r="M841" s="33"/>
      <c r="N841" s="10"/>
      <c r="O841" s="33"/>
      <c r="P841" s="33"/>
      <c r="Q841" s="33"/>
      <c r="R841" s="33"/>
      <c r="S841" s="33"/>
      <c r="T841" s="33"/>
      <c r="U841" s="33"/>
      <c r="V841" s="10"/>
      <c r="W841" s="33"/>
      <c r="X841" s="33"/>
      <c r="Y841" s="33"/>
      <c r="Z841" s="33"/>
      <c r="AA841" s="33"/>
      <c r="AB841" s="33"/>
      <c r="AC841" s="67"/>
      <c r="AD841" s="55"/>
    </row>
    <row r="842" spans="1:30" s="52" customFormat="1">
      <c r="A842" s="102"/>
      <c r="B842" s="30"/>
      <c r="C842" s="211"/>
      <c r="D842" s="7">
        <f t="shared" ref="D842" si="1559">$C841*D841</f>
        <v>0</v>
      </c>
      <c r="E842" s="7">
        <f t="shared" ref="E842" si="1560">$C841*E841</f>
        <v>67327.710000000006</v>
      </c>
      <c r="F842" s="7">
        <f t="shared" ref="F842:AB842" si="1561">$C841*F841</f>
        <v>0</v>
      </c>
      <c r="G842" s="7">
        <f t="shared" si="1561"/>
        <v>0</v>
      </c>
      <c r="H842" s="7">
        <f t="shared" si="1561"/>
        <v>0</v>
      </c>
      <c r="I842" s="7">
        <f t="shared" si="1561"/>
        <v>0</v>
      </c>
      <c r="J842" s="7">
        <f t="shared" si="1561"/>
        <v>0</v>
      </c>
      <c r="K842" s="7">
        <f t="shared" si="1561"/>
        <v>0</v>
      </c>
      <c r="L842" s="7">
        <f t="shared" si="1561"/>
        <v>0</v>
      </c>
      <c r="M842" s="7">
        <f t="shared" si="1561"/>
        <v>0</v>
      </c>
      <c r="N842" s="7">
        <f t="shared" si="1561"/>
        <v>0</v>
      </c>
      <c r="O842" s="7">
        <f t="shared" si="1561"/>
        <v>0</v>
      </c>
      <c r="P842" s="7">
        <f t="shared" si="1561"/>
        <v>0</v>
      </c>
      <c r="Q842" s="7">
        <f t="shared" si="1561"/>
        <v>0</v>
      </c>
      <c r="R842" s="7">
        <f t="shared" si="1561"/>
        <v>0</v>
      </c>
      <c r="S842" s="7">
        <f t="shared" si="1561"/>
        <v>0</v>
      </c>
      <c r="T842" s="7">
        <f t="shared" si="1561"/>
        <v>0</v>
      </c>
      <c r="U842" s="7">
        <f t="shared" si="1561"/>
        <v>0</v>
      </c>
      <c r="V842" s="7">
        <f t="shared" si="1561"/>
        <v>0</v>
      </c>
      <c r="W842" s="7">
        <f t="shared" si="1561"/>
        <v>0</v>
      </c>
      <c r="X842" s="7">
        <f t="shared" si="1561"/>
        <v>0</v>
      </c>
      <c r="Y842" s="7">
        <f t="shared" si="1561"/>
        <v>0</v>
      </c>
      <c r="Z842" s="7">
        <f t="shared" si="1561"/>
        <v>0</v>
      </c>
      <c r="AA842" s="7">
        <f t="shared" si="1561"/>
        <v>0</v>
      </c>
      <c r="AB842" s="7">
        <f t="shared" si="1561"/>
        <v>0</v>
      </c>
      <c r="AC842" s="67"/>
      <c r="AD842" s="55"/>
    </row>
    <row r="843" spans="1:30" s="52" customFormat="1">
      <c r="A843" s="103" t="s">
        <v>312</v>
      </c>
      <c r="B843" s="180">
        <v>1254844</v>
      </c>
      <c r="C843" s="211">
        <f t="shared" si="1465"/>
        <v>104570.33</v>
      </c>
      <c r="D843" s="170">
        <v>1.6500000000000001E-2</v>
      </c>
      <c r="E843" s="170">
        <v>0.1368</v>
      </c>
      <c r="F843" s="170">
        <v>5.7599999999999998E-2</v>
      </c>
      <c r="G843" s="170">
        <v>8.0399999999999999E-2</v>
      </c>
      <c r="H843" s="170">
        <v>4.1099999999999998E-2</v>
      </c>
      <c r="I843" s="170">
        <v>0.13389999999999999</v>
      </c>
      <c r="J843" s="170">
        <v>2.12E-2</v>
      </c>
      <c r="K843" s="170">
        <v>3.2500000000000001E-2</v>
      </c>
      <c r="L843" s="170">
        <v>1.7100000000000001E-2</v>
      </c>
      <c r="M843" s="170">
        <v>2.5999999999999999E-2</v>
      </c>
      <c r="N843" s="170">
        <v>0.13320000000000001</v>
      </c>
      <c r="O843" s="170">
        <v>1.89E-2</v>
      </c>
      <c r="P843" s="170">
        <v>0</v>
      </c>
      <c r="Q843" s="170">
        <v>3.8600000000000002E-2</v>
      </c>
      <c r="R843" s="170">
        <v>1.9E-2</v>
      </c>
      <c r="S843" s="170">
        <v>4.1999999999999997E-3</v>
      </c>
      <c r="T843" s="170">
        <v>5.3999999999999999E-2</v>
      </c>
      <c r="U843" s="170">
        <v>1.78E-2</v>
      </c>
      <c r="V843" s="170">
        <v>3.6700000000000003E-2</v>
      </c>
      <c r="W843" s="170">
        <v>4.7199999999999999E-2</v>
      </c>
      <c r="X843" s="170">
        <v>6.3899999999999998E-2</v>
      </c>
      <c r="Y843" s="170">
        <v>2.5999999999999999E-3</v>
      </c>
      <c r="Z843" s="171">
        <v>0</v>
      </c>
      <c r="AA843" s="171">
        <v>8.0000000000000004E-4</v>
      </c>
      <c r="AB843" s="171">
        <v>0</v>
      </c>
      <c r="AC843" s="67"/>
      <c r="AD843" s="55"/>
    </row>
    <row r="844" spans="1:30" s="52" customFormat="1">
      <c r="A844" s="102"/>
      <c r="B844" s="30"/>
      <c r="C844" s="211"/>
      <c r="D844" s="7">
        <f t="shared" ref="D844" si="1562">$C843*D843</f>
        <v>1725.4104450000002</v>
      </c>
      <c r="E844" s="7">
        <f t="shared" ref="E844" si="1563">$C843*E843</f>
        <v>14305.221144000001</v>
      </c>
      <c r="F844" s="7">
        <f t="shared" ref="F844:AB844" si="1564">$C843*F843</f>
        <v>6023.2510080000002</v>
      </c>
      <c r="G844" s="7">
        <f t="shared" si="1564"/>
        <v>8407.4545319999997</v>
      </c>
      <c r="H844" s="7">
        <f t="shared" si="1564"/>
        <v>4297.8405629999997</v>
      </c>
      <c r="I844" s="7">
        <f t="shared" si="1564"/>
        <v>14001.967187</v>
      </c>
      <c r="J844" s="7">
        <f t="shared" si="1564"/>
        <v>2216.8909960000001</v>
      </c>
      <c r="K844" s="7">
        <f t="shared" si="1564"/>
        <v>3398.5357250000002</v>
      </c>
      <c r="L844" s="7">
        <f t="shared" si="1564"/>
        <v>1788.1526430000001</v>
      </c>
      <c r="M844" s="7">
        <f t="shared" si="1564"/>
        <v>2718.8285799999999</v>
      </c>
      <c r="N844" s="7">
        <f t="shared" si="1564"/>
        <v>13928.767956000002</v>
      </c>
      <c r="O844" s="7">
        <f t="shared" si="1564"/>
        <v>1976.3792370000001</v>
      </c>
      <c r="P844" s="7">
        <f t="shared" si="1564"/>
        <v>0</v>
      </c>
      <c r="Q844" s="7">
        <f t="shared" si="1564"/>
        <v>4036.4147380000004</v>
      </c>
      <c r="R844" s="7">
        <f t="shared" si="1564"/>
        <v>1986.83627</v>
      </c>
      <c r="S844" s="7">
        <f t="shared" si="1564"/>
        <v>439.19538599999998</v>
      </c>
      <c r="T844" s="7">
        <f t="shared" si="1564"/>
        <v>5646.7978199999998</v>
      </c>
      <c r="U844" s="7">
        <f t="shared" si="1564"/>
        <v>1861.351874</v>
      </c>
      <c r="V844" s="7">
        <f t="shared" si="1564"/>
        <v>3837.7311110000005</v>
      </c>
      <c r="W844" s="7">
        <f t="shared" si="1564"/>
        <v>4935.7195760000004</v>
      </c>
      <c r="X844" s="7">
        <f t="shared" si="1564"/>
        <v>6682.0440870000002</v>
      </c>
      <c r="Y844" s="7">
        <f t="shared" si="1564"/>
        <v>271.882858</v>
      </c>
      <c r="Z844" s="7">
        <f t="shared" si="1564"/>
        <v>0</v>
      </c>
      <c r="AA844" s="7">
        <f t="shared" si="1564"/>
        <v>83.656264000000007</v>
      </c>
      <c r="AB844" s="7">
        <f t="shared" si="1564"/>
        <v>0</v>
      </c>
      <c r="AC844" s="67"/>
      <c r="AD844" s="55"/>
    </row>
    <row r="845" spans="1:30" s="52" customFormat="1">
      <c r="A845" s="103" t="s">
        <v>314</v>
      </c>
      <c r="B845" s="180">
        <v>1254844</v>
      </c>
      <c r="C845" s="211">
        <f t="shared" si="1465"/>
        <v>104570.33</v>
      </c>
      <c r="D845" s="31"/>
      <c r="E845" s="46">
        <v>1</v>
      </c>
      <c r="F845" s="33"/>
      <c r="G845" s="33"/>
      <c r="H845" s="33"/>
      <c r="I845" s="33"/>
      <c r="J845" s="33"/>
      <c r="K845" s="33"/>
      <c r="L845" s="33"/>
      <c r="M845" s="33"/>
      <c r="N845" s="10"/>
      <c r="O845" s="33"/>
      <c r="P845" s="33"/>
      <c r="Q845" s="33"/>
      <c r="R845" s="33"/>
      <c r="S845" s="33"/>
      <c r="T845" s="33"/>
      <c r="U845" s="33"/>
      <c r="V845" s="10"/>
      <c r="W845" s="33"/>
      <c r="X845" s="33"/>
      <c r="Y845" s="33"/>
      <c r="Z845" s="33"/>
      <c r="AA845" s="33"/>
      <c r="AB845" s="33"/>
      <c r="AC845" s="67"/>
      <c r="AD845" s="55"/>
    </row>
    <row r="846" spans="1:30" s="52" customFormat="1">
      <c r="A846" s="102"/>
      <c r="B846" s="30"/>
      <c r="C846" s="211"/>
      <c r="D846" s="63">
        <f t="shared" ref="D846" si="1565">$C845*D845</f>
        <v>0</v>
      </c>
      <c r="E846" s="6">
        <f t="shared" ref="E846" si="1566">$C845*E845</f>
        <v>104570.33</v>
      </c>
      <c r="F846" s="6">
        <f t="shared" ref="F846:AB846" si="1567">$C845*F845</f>
        <v>0</v>
      </c>
      <c r="G846" s="6">
        <f t="shared" si="1567"/>
        <v>0</v>
      </c>
      <c r="H846" s="6">
        <f t="shared" si="1567"/>
        <v>0</v>
      </c>
      <c r="I846" s="6">
        <f t="shared" si="1567"/>
        <v>0</v>
      </c>
      <c r="J846" s="6">
        <f t="shared" si="1567"/>
        <v>0</v>
      </c>
      <c r="K846" s="6">
        <f t="shared" si="1567"/>
        <v>0</v>
      </c>
      <c r="L846" s="6">
        <f t="shared" si="1567"/>
        <v>0</v>
      </c>
      <c r="M846" s="6">
        <f t="shared" si="1567"/>
        <v>0</v>
      </c>
      <c r="N846" s="6">
        <f t="shared" si="1567"/>
        <v>0</v>
      </c>
      <c r="O846" s="6">
        <f t="shared" si="1567"/>
        <v>0</v>
      </c>
      <c r="P846" s="6">
        <f t="shared" si="1567"/>
        <v>0</v>
      </c>
      <c r="Q846" s="6">
        <f t="shared" si="1567"/>
        <v>0</v>
      </c>
      <c r="R846" s="6">
        <f t="shared" si="1567"/>
        <v>0</v>
      </c>
      <c r="S846" s="6">
        <f t="shared" si="1567"/>
        <v>0</v>
      </c>
      <c r="T846" s="6">
        <f t="shared" si="1567"/>
        <v>0</v>
      </c>
      <c r="U846" s="6">
        <f t="shared" si="1567"/>
        <v>0</v>
      </c>
      <c r="V846" s="6">
        <f t="shared" si="1567"/>
        <v>0</v>
      </c>
      <c r="W846" s="6">
        <f t="shared" si="1567"/>
        <v>0</v>
      </c>
      <c r="X846" s="6">
        <f t="shared" si="1567"/>
        <v>0</v>
      </c>
      <c r="Y846" s="6">
        <f t="shared" si="1567"/>
        <v>0</v>
      </c>
      <c r="Z846" s="6">
        <f t="shared" si="1567"/>
        <v>0</v>
      </c>
      <c r="AA846" s="6">
        <f t="shared" si="1567"/>
        <v>0</v>
      </c>
      <c r="AB846" s="6">
        <f t="shared" si="1567"/>
        <v>0</v>
      </c>
      <c r="AC846" s="67"/>
      <c r="AD846" s="55"/>
    </row>
    <row r="847" spans="1:30" s="52" customFormat="1">
      <c r="A847" s="103" t="s">
        <v>380</v>
      </c>
      <c r="B847" s="180">
        <v>4305795</v>
      </c>
      <c r="C847" s="211">
        <f t="shared" si="1465"/>
        <v>358816.25</v>
      </c>
      <c r="D847" s="31"/>
      <c r="E847" s="46">
        <v>1</v>
      </c>
      <c r="F847" s="33"/>
      <c r="G847" s="33"/>
      <c r="H847" s="33"/>
      <c r="I847" s="33"/>
      <c r="J847" s="33"/>
      <c r="K847" s="33"/>
      <c r="L847" s="33"/>
      <c r="M847" s="33"/>
      <c r="N847" s="10"/>
      <c r="O847" s="33"/>
      <c r="P847" s="33"/>
      <c r="Q847" s="33"/>
      <c r="R847" s="33"/>
      <c r="S847" s="33"/>
      <c r="T847" s="33"/>
      <c r="U847" s="33"/>
      <c r="V847" s="10"/>
      <c r="W847" s="33"/>
      <c r="X847" s="33"/>
      <c r="Y847" s="33"/>
      <c r="Z847" s="33"/>
      <c r="AA847" s="33"/>
      <c r="AB847" s="33"/>
      <c r="AC847" s="67"/>
      <c r="AD847" s="55"/>
    </row>
    <row r="848" spans="1:30" s="52" customFormat="1">
      <c r="A848" s="102"/>
      <c r="B848" s="30"/>
      <c r="C848" s="211"/>
      <c r="D848" s="63">
        <f t="shared" ref="D848" si="1568">$C847*D847</f>
        <v>0</v>
      </c>
      <c r="E848" s="6">
        <f t="shared" ref="E848" si="1569">$C847*E847</f>
        <v>358816.25</v>
      </c>
      <c r="F848" s="6">
        <f t="shared" ref="F848:AB848" si="1570">$C847*F847</f>
        <v>0</v>
      </c>
      <c r="G848" s="6">
        <f t="shared" si="1570"/>
        <v>0</v>
      </c>
      <c r="H848" s="6">
        <f t="shared" si="1570"/>
        <v>0</v>
      </c>
      <c r="I848" s="6">
        <f t="shared" si="1570"/>
        <v>0</v>
      </c>
      <c r="J848" s="6">
        <f t="shared" si="1570"/>
        <v>0</v>
      </c>
      <c r="K848" s="6">
        <f t="shared" si="1570"/>
        <v>0</v>
      </c>
      <c r="L848" s="6">
        <f t="shared" si="1570"/>
        <v>0</v>
      </c>
      <c r="M848" s="6">
        <f t="shared" si="1570"/>
        <v>0</v>
      </c>
      <c r="N848" s="6">
        <f t="shared" si="1570"/>
        <v>0</v>
      </c>
      <c r="O848" s="6">
        <f t="shared" si="1570"/>
        <v>0</v>
      </c>
      <c r="P848" s="6">
        <f t="shared" si="1570"/>
        <v>0</v>
      </c>
      <c r="Q848" s="6">
        <f t="shared" si="1570"/>
        <v>0</v>
      </c>
      <c r="R848" s="6">
        <f t="shared" si="1570"/>
        <v>0</v>
      </c>
      <c r="S848" s="6">
        <f t="shared" si="1570"/>
        <v>0</v>
      </c>
      <c r="T848" s="6">
        <f t="shared" si="1570"/>
        <v>0</v>
      </c>
      <c r="U848" s="6">
        <f t="shared" si="1570"/>
        <v>0</v>
      </c>
      <c r="V848" s="6">
        <f t="shared" si="1570"/>
        <v>0</v>
      </c>
      <c r="W848" s="6">
        <f t="shared" si="1570"/>
        <v>0</v>
      </c>
      <c r="X848" s="6">
        <f t="shared" si="1570"/>
        <v>0</v>
      </c>
      <c r="Y848" s="6">
        <f t="shared" si="1570"/>
        <v>0</v>
      </c>
      <c r="Z848" s="6">
        <f t="shared" si="1570"/>
        <v>0</v>
      </c>
      <c r="AA848" s="6">
        <f t="shared" si="1570"/>
        <v>0</v>
      </c>
      <c r="AB848" s="6">
        <f t="shared" si="1570"/>
        <v>0</v>
      </c>
      <c r="AC848" s="67"/>
      <c r="AD848" s="55"/>
    </row>
    <row r="849" spans="1:30" s="52" customFormat="1">
      <c r="A849" s="103" t="s">
        <v>377</v>
      </c>
      <c r="B849" s="180">
        <v>4305795</v>
      </c>
      <c r="C849" s="211">
        <f t="shared" si="1465"/>
        <v>358816.25</v>
      </c>
      <c r="D849" s="170">
        <v>1.6500000000000001E-2</v>
      </c>
      <c r="E849" s="170">
        <v>0.1368</v>
      </c>
      <c r="F849" s="170">
        <v>5.7599999999999998E-2</v>
      </c>
      <c r="G849" s="170">
        <v>8.0399999999999999E-2</v>
      </c>
      <c r="H849" s="170">
        <v>4.1099999999999998E-2</v>
      </c>
      <c r="I849" s="170">
        <v>0.13389999999999999</v>
      </c>
      <c r="J849" s="170">
        <v>2.12E-2</v>
      </c>
      <c r="K849" s="170">
        <v>3.2500000000000001E-2</v>
      </c>
      <c r="L849" s="170">
        <v>1.7100000000000001E-2</v>
      </c>
      <c r="M849" s="170">
        <v>2.5999999999999999E-2</v>
      </c>
      <c r="N849" s="170">
        <v>0.13320000000000001</v>
      </c>
      <c r="O849" s="170">
        <v>1.89E-2</v>
      </c>
      <c r="P849" s="170">
        <v>0</v>
      </c>
      <c r="Q849" s="170">
        <v>3.8600000000000002E-2</v>
      </c>
      <c r="R849" s="170">
        <v>1.9E-2</v>
      </c>
      <c r="S849" s="170">
        <v>4.1999999999999997E-3</v>
      </c>
      <c r="T849" s="170">
        <v>5.3999999999999999E-2</v>
      </c>
      <c r="U849" s="170">
        <v>1.78E-2</v>
      </c>
      <c r="V849" s="170">
        <v>3.6700000000000003E-2</v>
      </c>
      <c r="W849" s="170">
        <v>4.7199999999999999E-2</v>
      </c>
      <c r="X849" s="170">
        <v>6.3899999999999998E-2</v>
      </c>
      <c r="Y849" s="170">
        <v>2.5999999999999999E-3</v>
      </c>
      <c r="Z849" s="171">
        <v>0</v>
      </c>
      <c r="AA849" s="171">
        <v>8.0000000000000004E-4</v>
      </c>
      <c r="AB849" s="171">
        <v>0</v>
      </c>
      <c r="AC849" s="67"/>
      <c r="AD849" s="55"/>
    </row>
    <row r="850" spans="1:30" s="52" customFormat="1">
      <c r="A850" s="102"/>
      <c r="B850" s="30"/>
      <c r="C850" s="211"/>
      <c r="D850" s="63">
        <f t="shared" ref="D850" si="1571">$C849*D849</f>
        <v>5920.4681250000003</v>
      </c>
      <c r="E850" s="6">
        <f t="shared" ref="E850" si="1572">$C849*E849</f>
        <v>49086.063000000002</v>
      </c>
      <c r="F850" s="6">
        <f t="shared" ref="F850:AB850" si="1573">$C849*F849</f>
        <v>20667.815999999999</v>
      </c>
      <c r="G850" s="6">
        <f t="shared" si="1573"/>
        <v>28848.826499999999</v>
      </c>
      <c r="H850" s="6">
        <f t="shared" si="1573"/>
        <v>14747.347874999999</v>
      </c>
      <c r="I850" s="6">
        <f t="shared" si="1573"/>
        <v>48045.495874999993</v>
      </c>
      <c r="J850" s="6">
        <f t="shared" si="1573"/>
        <v>7606.9044999999996</v>
      </c>
      <c r="K850" s="6">
        <f t="shared" si="1573"/>
        <v>11661.528125000001</v>
      </c>
      <c r="L850" s="6">
        <f t="shared" si="1573"/>
        <v>6135.7578750000002</v>
      </c>
      <c r="M850" s="6">
        <f t="shared" si="1573"/>
        <v>9329.2224999999999</v>
      </c>
      <c r="N850" s="6">
        <f t="shared" si="1573"/>
        <v>47794.324500000002</v>
      </c>
      <c r="O850" s="6">
        <f t="shared" si="1573"/>
        <v>6781.627125</v>
      </c>
      <c r="P850" s="6">
        <f t="shared" si="1573"/>
        <v>0</v>
      </c>
      <c r="Q850" s="6">
        <f t="shared" si="1573"/>
        <v>13850.307250000002</v>
      </c>
      <c r="R850" s="6">
        <f t="shared" si="1573"/>
        <v>6817.50875</v>
      </c>
      <c r="S850" s="6">
        <f t="shared" si="1573"/>
        <v>1507.0282499999998</v>
      </c>
      <c r="T850" s="6">
        <f t="shared" si="1573"/>
        <v>19376.077499999999</v>
      </c>
      <c r="U850" s="6">
        <f t="shared" si="1573"/>
        <v>6386.9292500000001</v>
      </c>
      <c r="V850" s="6">
        <f t="shared" si="1573"/>
        <v>13168.556375000002</v>
      </c>
      <c r="W850" s="6">
        <f t="shared" si="1573"/>
        <v>16936.127</v>
      </c>
      <c r="X850" s="6">
        <f t="shared" si="1573"/>
        <v>22928.358375</v>
      </c>
      <c r="Y850" s="6">
        <f t="shared" si="1573"/>
        <v>932.92224999999996</v>
      </c>
      <c r="Z850" s="6">
        <f t="shared" si="1573"/>
        <v>0</v>
      </c>
      <c r="AA850" s="6">
        <f t="shared" si="1573"/>
        <v>287.053</v>
      </c>
      <c r="AB850" s="6">
        <f t="shared" si="1573"/>
        <v>0</v>
      </c>
      <c r="AC850" s="67"/>
      <c r="AD850" s="55"/>
    </row>
    <row r="851" spans="1:30" s="52" customFormat="1">
      <c r="A851" s="103" t="s">
        <v>381</v>
      </c>
      <c r="B851" s="180">
        <v>589711</v>
      </c>
      <c r="C851" s="211">
        <f t="shared" ref="C851:C863" si="1574">ROUND(B851/12,2)</f>
        <v>49142.58</v>
      </c>
      <c r="D851" s="31"/>
      <c r="E851" s="46">
        <v>1</v>
      </c>
      <c r="F851" s="33"/>
      <c r="G851" s="33"/>
      <c r="H851" s="33"/>
      <c r="I851" s="33"/>
      <c r="J851" s="33"/>
      <c r="K851" s="33"/>
      <c r="L851" s="33"/>
      <c r="M851" s="33"/>
      <c r="N851" s="10"/>
      <c r="O851" s="33"/>
      <c r="P851" s="33"/>
      <c r="Q851" s="33"/>
      <c r="R851" s="33"/>
      <c r="S851" s="33"/>
      <c r="T851" s="33"/>
      <c r="U851" s="33"/>
      <c r="V851" s="10"/>
      <c r="W851" s="33"/>
      <c r="X851" s="33"/>
      <c r="Y851" s="33"/>
      <c r="Z851" s="33"/>
      <c r="AA851" s="33"/>
      <c r="AB851" s="33"/>
      <c r="AC851" s="67"/>
      <c r="AD851" s="55"/>
    </row>
    <row r="852" spans="1:30" s="52" customFormat="1">
      <c r="A852" s="102"/>
      <c r="B852" s="30"/>
      <c r="C852" s="211"/>
      <c r="D852" s="63">
        <f t="shared" ref="D852" si="1575">$C851*D851</f>
        <v>0</v>
      </c>
      <c r="E852" s="6">
        <f t="shared" ref="E852" si="1576">$C851*E851</f>
        <v>49142.58</v>
      </c>
      <c r="F852" s="6">
        <f t="shared" ref="F852:AB852" si="1577">$C851*F851</f>
        <v>0</v>
      </c>
      <c r="G852" s="6">
        <f t="shared" si="1577"/>
        <v>0</v>
      </c>
      <c r="H852" s="6">
        <f t="shared" si="1577"/>
        <v>0</v>
      </c>
      <c r="I852" s="6">
        <f t="shared" si="1577"/>
        <v>0</v>
      </c>
      <c r="J852" s="6">
        <f t="shared" si="1577"/>
        <v>0</v>
      </c>
      <c r="K852" s="6">
        <f t="shared" si="1577"/>
        <v>0</v>
      </c>
      <c r="L852" s="6">
        <f t="shared" si="1577"/>
        <v>0</v>
      </c>
      <c r="M852" s="6">
        <f t="shared" si="1577"/>
        <v>0</v>
      </c>
      <c r="N852" s="6">
        <f t="shared" si="1577"/>
        <v>0</v>
      </c>
      <c r="O852" s="6">
        <f t="shared" si="1577"/>
        <v>0</v>
      </c>
      <c r="P852" s="6">
        <f t="shared" si="1577"/>
        <v>0</v>
      </c>
      <c r="Q852" s="6">
        <f t="shared" si="1577"/>
        <v>0</v>
      </c>
      <c r="R852" s="6">
        <f t="shared" si="1577"/>
        <v>0</v>
      </c>
      <c r="S852" s="6">
        <f t="shared" si="1577"/>
        <v>0</v>
      </c>
      <c r="T852" s="6">
        <f t="shared" si="1577"/>
        <v>0</v>
      </c>
      <c r="U852" s="6">
        <f t="shared" si="1577"/>
        <v>0</v>
      </c>
      <c r="V852" s="6">
        <f t="shared" si="1577"/>
        <v>0</v>
      </c>
      <c r="W852" s="6">
        <f t="shared" si="1577"/>
        <v>0</v>
      </c>
      <c r="X852" s="6">
        <f t="shared" si="1577"/>
        <v>0</v>
      </c>
      <c r="Y852" s="6">
        <f t="shared" si="1577"/>
        <v>0</v>
      </c>
      <c r="Z852" s="6">
        <f t="shared" si="1577"/>
        <v>0</v>
      </c>
      <c r="AA852" s="6">
        <f t="shared" si="1577"/>
        <v>0</v>
      </c>
      <c r="AB852" s="6">
        <f t="shared" si="1577"/>
        <v>0</v>
      </c>
      <c r="AC852" s="67"/>
      <c r="AD852" s="55"/>
    </row>
    <row r="853" spans="1:30" s="52" customFormat="1">
      <c r="A853" s="103" t="s">
        <v>379</v>
      </c>
      <c r="B853" s="180">
        <v>589711</v>
      </c>
      <c r="C853" s="211">
        <f t="shared" si="1574"/>
        <v>49142.58</v>
      </c>
      <c r="D853" s="170">
        <v>1.6500000000000001E-2</v>
      </c>
      <c r="E853" s="170">
        <v>0.1368</v>
      </c>
      <c r="F853" s="170">
        <v>5.7599999999999998E-2</v>
      </c>
      <c r="G853" s="170">
        <v>8.0399999999999999E-2</v>
      </c>
      <c r="H853" s="170">
        <v>4.1099999999999998E-2</v>
      </c>
      <c r="I853" s="170">
        <v>0.13389999999999999</v>
      </c>
      <c r="J853" s="170">
        <v>2.12E-2</v>
      </c>
      <c r="K853" s="170">
        <v>3.2500000000000001E-2</v>
      </c>
      <c r="L853" s="170">
        <v>1.7100000000000001E-2</v>
      </c>
      <c r="M853" s="170">
        <v>2.5999999999999999E-2</v>
      </c>
      <c r="N853" s="170">
        <v>0.13320000000000001</v>
      </c>
      <c r="O853" s="170">
        <v>1.89E-2</v>
      </c>
      <c r="P853" s="170">
        <v>0</v>
      </c>
      <c r="Q853" s="170">
        <v>3.8600000000000002E-2</v>
      </c>
      <c r="R853" s="170">
        <v>1.9E-2</v>
      </c>
      <c r="S853" s="170">
        <v>4.1999999999999997E-3</v>
      </c>
      <c r="T853" s="170">
        <v>5.3999999999999999E-2</v>
      </c>
      <c r="U853" s="170">
        <v>1.78E-2</v>
      </c>
      <c r="V853" s="170">
        <v>3.6700000000000003E-2</v>
      </c>
      <c r="W853" s="170">
        <v>4.7199999999999999E-2</v>
      </c>
      <c r="X853" s="170">
        <v>6.3899999999999998E-2</v>
      </c>
      <c r="Y853" s="170">
        <v>2.5999999999999999E-3</v>
      </c>
      <c r="Z853" s="171">
        <v>0</v>
      </c>
      <c r="AA853" s="171">
        <v>8.0000000000000004E-4</v>
      </c>
      <c r="AB853" s="171">
        <v>0</v>
      </c>
      <c r="AC853" s="67"/>
      <c r="AD853" s="55"/>
    </row>
    <row r="854" spans="1:30" s="52" customFormat="1">
      <c r="A854" s="104"/>
      <c r="B854" s="76"/>
      <c r="C854" s="211"/>
      <c r="D854" s="63">
        <f t="shared" ref="D854" si="1578">$C853*D853</f>
        <v>810.85257000000001</v>
      </c>
      <c r="E854" s="6">
        <f t="shared" ref="E854" si="1579">$C853*E853</f>
        <v>6722.7049440000001</v>
      </c>
      <c r="F854" s="6">
        <f t="shared" ref="F854:AB854" si="1580">$C853*F853</f>
        <v>2830.6126079999999</v>
      </c>
      <c r="G854" s="6">
        <f t="shared" si="1580"/>
        <v>3951.0634319999999</v>
      </c>
      <c r="H854" s="6">
        <f t="shared" si="1580"/>
        <v>2019.7600379999999</v>
      </c>
      <c r="I854" s="6">
        <f t="shared" si="1580"/>
        <v>6580.1914619999998</v>
      </c>
      <c r="J854" s="6">
        <f t="shared" si="1580"/>
        <v>1041.822696</v>
      </c>
      <c r="K854" s="6">
        <f t="shared" si="1580"/>
        <v>1597.1338500000002</v>
      </c>
      <c r="L854" s="6">
        <f t="shared" si="1580"/>
        <v>840.33811800000001</v>
      </c>
      <c r="M854" s="6">
        <f t="shared" si="1580"/>
        <v>1277.7070799999999</v>
      </c>
      <c r="N854" s="6">
        <f t="shared" si="1580"/>
        <v>6545.7916560000012</v>
      </c>
      <c r="O854" s="6">
        <f t="shared" si="1580"/>
        <v>928.79476199999999</v>
      </c>
      <c r="P854" s="6">
        <f t="shared" si="1580"/>
        <v>0</v>
      </c>
      <c r="Q854" s="6">
        <f t="shared" si="1580"/>
        <v>1896.9035880000001</v>
      </c>
      <c r="R854" s="6">
        <f t="shared" si="1580"/>
        <v>933.70902000000001</v>
      </c>
      <c r="S854" s="6">
        <f t="shared" si="1580"/>
        <v>206.39883599999999</v>
      </c>
      <c r="T854" s="6">
        <f t="shared" si="1580"/>
        <v>2653.6993200000002</v>
      </c>
      <c r="U854" s="6">
        <f t="shared" si="1580"/>
        <v>874.73792400000002</v>
      </c>
      <c r="V854" s="6">
        <f t="shared" si="1580"/>
        <v>1803.5326860000002</v>
      </c>
      <c r="W854" s="6">
        <f t="shared" si="1580"/>
        <v>2319.5297759999999</v>
      </c>
      <c r="X854" s="6">
        <f t="shared" si="1580"/>
        <v>3140.2108619999999</v>
      </c>
      <c r="Y854" s="6">
        <f t="shared" si="1580"/>
        <v>127.770708</v>
      </c>
      <c r="Z854" s="6">
        <f t="shared" si="1580"/>
        <v>0</v>
      </c>
      <c r="AA854" s="6">
        <f t="shared" si="1580"/>
        <v>39.314064000000002</v>
      </c>
      <c r="AB854" s="6">
        <f t="shared" si="1580"/>
        <v>0</v>
      </c>
      <c r="AC854" s="67"/>
      <c r="AD854" s="55"/>
    </row>
    <row r="855" spans="1:30" s="52" customFormat="1">
      <c r="A855" s="103" t="s">
        <v>471</v>
      </c>
      <c r="B855" s="180">
        <v>573841</v>
      </c>
      <c r="C855" s="211">
        <f t="shared" si="1574"/>
        <v>47820.08</v>
      </c>
      <c r="D855" s="170">
        <v>1.6500000000000001E-2</v>
      </c>
      <c r="E855" s="170">
        <v>0.1368</v>
      </c>
      <c r="F855" s="170">
        <v>5.7599999999999998E-2</v>
      </c>
      <c r="G855" s="170">
        <v>8.0399999999999999E-2</v>
      </c>
      <c r="H855" s="170">
        <v>4.1099999999999998E-2</v>
      </c>
      <c r="I855" s="170">
        <v>0.13389999999999999</v>
      </c>
      <c r="J855" s="170">
        <v>2.12E-2</v>
      </c>
      <c r="K855" s="170">
        <v>3.2500000000000001E-2</v>
      </c>
      <c r="L855" s="170">
        <v>1.7100000000000001E-2</v>
      </c>
      <c r="M855" s="170">
        <v>2.5999999999999999E-2</v>
      </c>
      <c r="N855" s="170">
        <v>0.13320000000000001</v>
      </c>
      <c r="O855" s="170">
        <v>1.89E-2</v>
      </c>
      <c r="P855" s="170">
        <v>0</v>
      </c>
      <c r="Q855" s="170">
        <v>3.8600000000000002E-2</v>
      </c>
      <c r="R855" s="170">
        <v>1.9E-2</v>
      </c>
      <c r="S855" s="170">
        <v>4.1999999999999997E-3</v>
      </c>
      <c r="T855" s="170">
        <v>5.3999999999999999E-2</v>
      </c>
      <c r="U855" s="170">
        <v>1.78E-2</v>
      </c>
      <c r="V855" s="170">
        <v>3.6700000000000003E-2</v>
      </c>
      <c r="W855" s="170">
        <v>4.7199999999999999E-2</v>
      </c>
      <c r="X855" s="170">
        <v>6.3899999999999998E-2</v>
      </c>
      <c r="Y855" s="170">
        <v>2.5999999999999999E-3</v>
      </c>
      <c r="Z855" s="171">
        <v>0</v>
      </c>
      <c r="AA855" s="171">
        <v>8.0000000000000004E-4</v>
      </c>
      <c r="AB855" s="171">
        <v>0</v>
      </c>
      <c r="AC855" s="67"/>
      <c r="AD855" s="55"/>
    </row>
    <row r="856" spans="1:30" s="52" customFormat="1">
      <c r="A856" s="102"/>
      <c r="B856" s="30"/>
      <c r="C856" s="211"/>
      <c r="D856" s="63">
        <f t="shared" ref="D856" si="1581">$C855*D855</f>
        <v>789.03132000000005</v>
      </c>
      <c r="E856" s="6">
        <f t="shared" ref="E856" si="1582">$C855*E855</f>
        <v>6541.7869440000004</v>
      </c>
      <c r="F856" s="6">
        <f t="shared" ref="F856:AB856" si="1583">$C855*F855</f>
        <v>2754.436608</v>
      </c>
      <c r="G856" s="6">
        <f t="shared" si="1583"/>
        <v>3844.7344320000002</v>
      </c>
      <c r="H856" s="6">
        <f t="shared" si="1583"/>
        <v>1965.4052879999999</v>
      </c>
      <c r="I856" s="6">
        <f t="shared" si="1583"/>
        <v>6403.1087120000002</v>
      </c>
      <c r="J856" s="6">
        <f t="shared" si="1583"/>
        <v>1013.785696</v>
      </c>
      <c r="K856" s="6">
        <f t="shared" si="1583"/>
        <v>1554.1526000000001</v>
      </c>
      <c r="L856" s="6">
        <f t="shared" si="1583"/>
        <v>817.72336800000005</v>
      </c>
      <c r="M856" s="6">
        <f t="shared" si="1583"/>
        <v>1243.3220799999999</v>
      </c>
      <c r="N856" s="6">
        <f t="shared" si="1583"/>
        <v>6369.6346560000011</v>
      </c>
      <c r="O856" s="6">
        <f t="shared" si="1583"/>
        <v>903.79951200000005</v>
      </c>
      <c r="P856" s="6">
        <f t="shared" si="1583"/>
        <v>0</v>
      </c>
      <c r="Q856" s="6">
        <f t="shared" si="1583"/>
        <v>1845.8550880000003</v>
      </c>
      <c r="R856" s="6">
        <f t="shared" si="1583"/>
        <v>908.58151999999995</v>
      </c>
      <c r="S856" s="6">
        <f t="shared" si="1583"/>
        <v>200.844336</v>
      </c>
      <c r="T856" s="6">
        <f t="shared" si="1583"/>
        <v>2582.2843200000002</v>
      </c>
      <c r="U856" s="6">
        <f t="shared" si="1583"/>
        <v>851.19742400000007</v>
      </c>
      <c r="V856" s="6">
        <f t="shared" si="1583"/>
        <v>1754.9969360000002</v>
      </c>
      <c r="W856" s="6">
        <f t="shared" si="1583"/>
        <v>2257.1077759999998</v>
      </c>
      <c r="X856" s="6">
        <f t="shared" si="1583"/>
        <v>3055.7031120000001</v>
      </c>
      <c r="Y856" s="6">
        <f t="shared" si="1583"/>
        <v>124.33220799999999</v>
      </c>
      <c r="Z856" s="6">
        <f t="shared" si="1583"/>
        <v>0</v>
      </c>
      <c r="AA856" s="6">
        <f t="shared" si="1583"/>
        <v>38.256064000000002</v>
      </c>
      <c r="AB856" s="6">
        <f t="shared" si="1583"/>
        <v>0</v>
      </c>
      <c r="AC856" s="67"/>
      <c r="AD856" s="55"/>
    </row>
    <row r="857" spans="1:30" s="52" customFormat="1">
      <c r="A857" s="103" t="s">
        <v>472</v>
      </c>
      <c r="B857" s="180">
        <v>573841</v>
      </c>
      <c r="C857" s="211">
        <f t="shared" si="1574"/>
        <v>47820.08</v>
      </c>
      <c r="D857" s="38"/>
      <c r="E857" s="38">
        <v>1</v>
      </c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5"/>
      <c r="AA857" s="5"/>
      <c r="AB857" s="5"/>
      <c r="AC857" s="67"/>
      <c r="AD857" s="55"/>
    </row>
    <row r="858" spans="1:30" s="52" customFormat="1">
      <c r="A858" s="102"/>
      <c r="B858" s="30"/>
      <c r="C858" s="211"/>
      <c r="D858" s="63">
        <f t="shared" ref="D858" si="1584">$C857*D857</f>
        <v>0</v>
      </c>
      <c r="E858" s="6">
        <f t="shared" ref="E858" si="1585">$C857*E857</f>
        <v>47820.08</v>
      </c>
      <c r="F858" s="6">
        <f t="shared" ref="F858:AB858" si="1586">$C857*F857</f>
        <v>0</v>
      </c>
      <c r="G858" s="6">
        <f t="shared" si="1586"/>
        <v>0</v>
      </c>
      <c r="H858" s="6">
        <f t="shared" si="1586"/>
        <v>0</v>
      </c>
      <c r="I858" s="6">
        <f t="shared" si="1586"/>
        <v>0</v>
      </c>
      <c r="J858" s="6">
        <f t="shared" si="1586"/>
        <v>0</v>
      </c>
      <c r="K858" s="6">
        <f t="shared" si="1586"/>
        <v>0</v>
      </c>
      <c r="L858" s="6">
        <f t="shared" si="1586"/>
        <v>0</v>
      </c>
      <c r="M858" s="6">
        <f t="shared" si="1586"/>
        <v>0</v>
      </c>
      <c r="N858" s="6">
        <f t="shared" si="1586"/>
        <v>0</v>
      </c>
      <c r="O858" s="6">
        <f t="shared" si="1586"/>
        <v>0</v>
      </c>
      <c r="P858" s="6">
        <f t="shared" si="1586"/>
        <v>0</v>
      </c>
      <c r="Q858" s="6">
        <f t="shared" si="1586"/>
        <v>0</v>
      </c>
      <c r="R858" s="6">
        <f t="shared" si="1586"/>
        <v>0</v>
      </c>
      <c r="S858" s="6">
        <f t="shared" si="1586"/>
        <v>0</v>
      </c>
      <c r="T858" s="6">
        <f t="shared" si="1586"/>
        <v>0</v>
      </c>
      <c r="U858" s="6">
        <f t="shared" si="1586"/>
        <v>0</v>
      </c>
      <c r="V858" s="6">
        <f t="shared" si="1586"/>
        <v>0</v>
      </c>
      <c r="W858" s="6">
        <f t="shared" si="1586"/>
        <v>0</v>
      </c>
      <c r="X858" s="6">
        <f t="shared" si="1586"/>
        <v>0</v>
      </c>
      <c r="Y858" s="6">
        <f t="shared" si="1586"/>
        <v>0</v>
      </c>
      <c r="Z858" s="6">
        <f t="shared" si="1586"/>
        <v>0</v>
      </c>
      <c r="AA858" s="6">
        <f t="shared" si="1586"/>
        <v>0</v>
      </c>
      <c r="AB858" s="6">
        <f t="shared" si="1586"/>
        <v>0</v>
      </c>
      <c r="AC858" s="67"/>
      <c r="AD858" s="55"/>
    </row>
    <row r="859" spans="1:30" s="52" customFormat="1">
      <c r="A859" s="103" t="s">
        <v>473</v>
      </c>
      <c r="B859" s="180">
        <v>93443</v>
      </c>
      <c r="C859" s="211">
        <f t="shared" si="1574"/>
        <v>7786.92</v>
      </c>
      <c r="D859" s="27"/>
      <c r="E859" s="175">
        <v>0.27089999999999997</v>
      </c>
      <c r="F859" s="10"/>
      <c r="G859" s="10"/>
      <c r="H859" s="10"/>
      <c r="I859" s="10"/>
      <c r="J859" s="175">
        <v>0.38640000000000002</v>
      </c>
      <c r="K859" s="175">
        <v>0.3427</v>
      </c>
      <c r="L859" s="10"/>
      <c r="M859" s="10"/>
      <c r="N859" s="10"/>
      <c r="O859" s="175">
        <v>0</v>
      </c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67"/>
      <c r="AD859" s="55"/>
    </row>
    <row r="860" spans="1:30" s="52" customFormat="1">
      <c r="A860" s="102"/>
      <c r="B860" s="30"/>
      <c r="C860" s="211"/>
      <c r="D860" s="63">
        <f t="shared" ref="D860" si="1587">$C859*D859</f>
        <v>0</v>
      </c>
      <c r="E860" s="6">
        <f t="shared" ref="E860" si="1588">$C859*E859</f>
        <v>2109.4766279999999</v>
      </c>
      <c r="F860" s="6">
        <f t="shared" ref="F860:AB860" si="1589">$C859*F859</f>
        <v>0</v>
      </c>
      <c r="G860" s="6">
        <f t="shared" si="1589"/>
        <v>0</v>
      </c>
      <c r="H860" s="6">
        <f t="shared" si="1589"/>
        <v>0</v>
      </c>
      <c r="I860" s="6">
        <f t="shared" si="1589"/>
        <v>0</v>
      </c>
      <c r="J860" s="6">
        <f t="shared" si="1589"/>
        <v>3008.8658880000003</v>
      </c>
      <c r="K860" s="6">
        <f t="shared" si="1589"/>
        <v>2668.5774839999999</v>
      </c>
      <c r="L860" s="6">
        <f t="shared" si="1589"/>
        <v>0</v>
      </c>
      <c r="M860" s="6">
        <f t="shared" si="1589"/>
        <v>0</v>
      </c>
      <c r="N860" s="6">
        <f t="shared" si="1589"/>
        <v>0</v>
      </c>
      <c r="O860" s="6">
        <f t="shared" si="1589"/>
        <v>0</v>
      </c>
      <c r="P860" s="6">
        <f t="shared" si="1589"/>
        <v>0</v>
      </c>
      <c r="Q860" s="6">
        <f t="shared" si="1589"/>
        <v>0</v>
      </c>
      <c r="R860" s="6">
        <f t="shared" si="1589"/>
        <v>0</v>
      </c>
      <c r="S860" s="6">
        <f t="shared" si="1589"/>
        <v>0</v>
      </c>
      <c r="T860" s="6">
        <f t="shared" si="1589"/>
        <v>0</v>
      </c>
      <c r="U860" s="6">
        <f t="shared" si="1589"/>
        <v>0</v>
      </c>
      <c r="V860" s="6">
        <f t="shared" si="1589"/>
        <v>0</v>
      </c>
      <c r="W860" s="6">
        <f t="shared" si="1589"/>
        <v>0</v>
      </c>
      <c r="X860" s="6">
        <f t="shared" si="1589"/>
        <v>0</v>
      </c>
      <c r="Y860" s="6">
        <f t="shared" si="1589"/>
        <v>0</v>
      </c>
      <c r="Z860" s="6">
        <f t="shared" si="1589"/>
        <v>0</v>
      </c>
      <c r="AA860" s="6">
        <f t="shared" si="1589"/>
        <v>0</v>
      </c>
      <c r="AB860" s="6">
        <f t="shared" si="1589"/>
        <v>0</v>
      </c>
      <c r="AC860" s="67"/>
      <c r="AD860" s="55"/>
    </row>
    <row r="861" spans="1:30" s="52" customFormat="1">
      <c r="A861" s="103" t="s">
        <v>474</v>
      </c>
      <c r="B861" s="180">
        <v>3750412</v>
      </c>
      <c r="C861" s="211">
        <f t="shared" si="1574"/>
        <v>312534.33</v>
      </c>
      <c r="D861" s="38"/>
      <c r="E861" s="170">
        <v>0.76060000000000005</v>
      </c>
      <c r="F861" s="38"/>
      <c r="G861" s="38"/>
      <c r="H861" s="38"/>
      <c r="I861" s="38"/>
      <c r="J861" s="170">
        <v>0.2394</v>
      </c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5"/>
      <c r="AA861" s="5"/>
      <c r="AB861" s="5"/>
      <c r="AC861" s="67"/>
      <c r="AD861" s="55"/>
    </row>
    <row r="862" spans="1:30" s="52" customFormat="1">
      <c r="A862" s="104"/>
      <c r="B862" s="76"/>
      <c r="C862" s="211"/>
      <c r="D862" s="63">
        <f t="shared" ref="D862:D864" si="1590">$C861*D861</f>
        <v>0</v>
      </c>
      <c r="E862" s="6">
        <f t="shared" ref="E862:T864" si="1591">$C861*E861</f>
        <v>237713.61139800004</v>
      </c>
      <c r="F862" s="6">
        <f t="shared" ref="F862:AB862" si="1592">$C861*F861</f>
        <v>0</v>
      </c>
      <c r="G862" s="6">
        <f t="shared" si="1592"/>
        <v>0</v>
      </c>
      <c r="H862" s="6">
        <f t="shared" si="1592"/>
        <v>0</v>
      </c>
      <c r="I862" s="6">
        <f t="shared" si="1592"/>
        <v>0</v>
      </c>
      <c r="J862" s="6">
        <f t="shared" si="1592"/>
        <v>74820.718602000008</v>
      </c>
      <c r="K862" s="6">
        <f t="shared" si="1592"/>
        <v>0</v>
      </c>
      <c r="L862" s="6">
        <f t="shared" si="1592"/>
        <v>0</v>
      </c>
      <c r="M862" s="6">
        <f t="shared" si="1592"/>
        <v>0</v>
      </c>
      <c r="N862" s="6">
        <f t="shared" si="1592"/>
        <v>0</v>
      </c>
      <c r="O862" s="6">
        <f t="shared" si="1592"/>
        <v>0</v>
      </c>
      <c r="P862" s="6">
        <f t="shared" si="1592"/>
        <v>0</v>
      </c>
      <c r="Q862" s="6">
        <f t="shared" si="1592"/>
        <v>0</v>
      </c>
      <c r="R862" s="6">
        <f t="shared" si="1592"/>
        <v>0</v>
      </c>
      <c r="S862" s="6">
        <f t="shared" si="1592"/>
        <v>0</v>
      </c>
      <c r="T862" s="6">
        <f t="shared" si="1592"/>
        <v>0</v>
      </c>
      <c r="U862" s="6">
        <f t="shared" si="1592"/>
        <v>0</v>
      </c>
      <c r="V862" s="6">
        <f t="shared" si="1592"/>
        <v>0</v>
      </c>
      <c r="W862" s="6">
        <f t="shared" si="1592"/>
        <v>0</v>
      </c>
      <c r="X862" s="6">
        <f t="shared" si="1592"/>
        <v>0</v>
      </c>
      <c r="Y862" s="6">
        <f t="shared" si="1592"/>
        <v>0</v>
      </c>
      <c r="Z862" s="6">
        <f t="shared" si="1592"/>
        <v>0</v>
      </c>
      <c r="AA862" s="6">
        <f t="shared" si="1592"/>
        <v>0</v>
      </c>
      <c r="AB862" s="6">
        <f t="shared" si="1592"/>
        <v>0</v>
      </c>
      <c r="AC862" s="67"/>
      <c r="AD862" s="55"/>
    </row>
    <row r="863" spans="1:30" s="52" customFormat="1">
      <c r="A863" s="205" t="s">
        <v>631</v>
      </c>
      <c r="B863" s="206">
        <v>3230889</v>
      </c>
      <c r="C863" s="214">
        <f t="shared" si="1574"/>
        <v>269240.75</v>
      </c>
      <c r="D863" s="185"/>
      <c r="E863" s="185">
        <v>5.96E-2</v>
      </c>
      <c r="F863" s="185"/>
      <c r="G863" s="185"/>
      <c r="H863" s="185"/>
      <c r="I863" s="185"/>
      <c r="J863" s="185"/>
      <c r="K863" s="185"/>
      <c r="L863" s="185"/>
      <c r="M863" s="185"/>
      <c r="N863" s="185"/>
      <c r="O863" s="185">
        <v>0.89890000000000003</v>
      </c>
      <c r="P863" s="185"/>
      <c r="Q863" s="185"/>
      <c r="R863" s="185"/>
      <c r="S863" s="185"/>
      <c r="T863" s="185"/>
      <c r="U863" s="185"/>
      <c r="V863" s="185"/>
      <c r="W863" s="185"/>
      <c r="X863" s="185"/>
      <c r="Y863" s="185"/>
      <c r="Z863" s="186"/>
      <c r="AA863" s="186">
        <v>4.1500000000000002E-2</v>
      </c>
      <c r="AB863" s="186"/>
      <c r="AC863" s="67"/>
      <c r="AD863" s="55"/>
    </row>
    <row r="864" spans="1:30" s="52" customFormat="1">
      <c r="A864" s="207"/>
      <c r="B864" s="208"/>
      <c r="C864" s="248" t="s">
        <v>165</v>
      </c>
      <c r="D864" s="209">
        <f t="shared" si="1590"/>
        <v>0</v>
      </c>
      <c r="E864" s="189">
        <f t="shared" si="1591"/>
        <v>16046.7487</v>
      </c>
      <c r="F864" s="189">
        <f t="shared" si="1591"/>
        <v>0</v>
      </c>
      <c r="G864" s="189">
        <f t="shared" si="1591"/>
        <v>0</v>
      </c>
      <c r="H864" s="189">
        <f t="shared" si="1591"/>
        <v>0</v>
      </c>
      <c r="I864" s="189">
        <f t="shared" si="1591"/>
        <v>0</v>
      </c>
      <c r="J864" s="189">
        <f t="shared" si="1591"/>
        <v>0</v>
      </c>
      <c r="K864" s="189">
        <f t="shared" si="1591"/>
        <v>0</v>
      </c>
      <c r="L864" s="189">
        <f t="shared" si="1591"/>
        <v>0</v>
      </c>
      <c r="M864" s="189">
        <f t="shared" si="1591"/>
        <v>0</v>
      </c>
      <c r="N864" s="189">
        <f t="shared" si="1591"/>
        <v>0</v>
      </c>
      <c r="O864" s="189">
        <f t="shared" si="1591"/>
        <v>242020.510175</v>
      </c>
      <c r="P864" s="189">
        <f t="shared" si="1591"/>
        <v>0</v>
      </c>
      <c r="Q864" s="189">
        <f t="shared" si="1591"/>
        <v>0</v>
      </c>
      <c r="R864" s="189">
        <f t="shared" si="1591"/>
        <v>0</v>
      </c>
      <c r="S864" s="189">
        <f t="shared" si="1591"/>
        <v>0</v>
      </c>
      <c r="T864" s="189">
        <f t="shared" si="1591"/>
        <v>0</v>
      </c>
      <c r="U864" s="189">
        <f t="shared" ref="U864:AB864" si="1593">$C863*U863</f>
        <v>0</v>
      </c>
      <c r="V864" s="189">
        <f t="shared" si="1593"/>
        <v>0</v>
      </c>
      <c r="W864" s="189">
        <f t="shared" si="1593"/>
        <v>0</v>
      </c>
      <c r="X864" s="189">
        <f t="shared" si="1593"/>
        <v>0</v>
      </c>
      <c r="Y864" s="189">
        <f t="shared" si="1593"/>
        <v>0</v>
      </c>
      <c r="Z864" s="189">
        <f t="shared" si="1593"/>
        <v>0</v>
      </c>
      <c r="AA864" s="189">
        <f t="shared" si="1593"/>
        <v>11173.491125</v>
      </c>
      <c r="AB864" s="189">
        <f t="shared" si="1593"/>
        <v>0</v>
      </c>
      <c r="AC864" s="67"/>
      <c r="AD864" s="55"/>
    </row>
    <row r="865" spans="1:30" s="52" customFormat="1">
      <c r="A865" s="16" t="s">
        <v>50</v>
      </c>
      <c r="B865" s="30">
        <f>SUM(B721:B863)</f>
        <v>203232820</v>
      </c>
      <c r="C865" s="84">
        <f>SUM(C721:C863)</f>
        <v>16936068.340000004</v>
      </c>
      <c r="D865" s="11">
        <f>D722+D724+D726+D728+D730+D732+D734+D736+D738+D740+D742+D744+D746+D748+D750+D752+D754+D756+D758+D760+D762+D764+D766+D768+D770+D772+D774+D776+D778+D780+D782+D784+D786+D788+D790+D792+D794+D796+D798+D800+D802+D804+D806+D808+D810+D812+D814+D816+D818+D820+D822+D824+D826+D828+D830+D832+D834+D836+D838+D840+D844+D842+D846+D848+D852+D850+D854+D856+D858+D860+D862+D864</f>
        <v>39011.69827600001</v>
      </c>
      <c r="E865" s="11">
        <f t="shared" ref="E865:AB865" si="1594">E722+E724+E726+E728+E730+E732+E734+E736+E738+E740+E742+E744+E746+E748+E750+E752+E754+E756+E758+E760+E762+E764+E766+E768+E770+E772+E774+E776+E778+E780+E782+E784+E786+E788+E790+E792+E794+E796+E798+E800+E802+E804+E806+E808+E810+E812+E814+E816+E818+E820+E822+E824+E826+E828+E830+E832+E834+E836+E838+E840+E844+E842+E846+E848+E852+E850+E854+E856+E858+E860+E862+E864</f>
        <v>10773681.588467</v>
      </c>
      <c r="F865" s="11">
        <f t="shared" si="1594"/>
        <v>1282242.3191699998</v>
      </c>
      <c r="G865" s="11">
        <f t="shared" si="1594"/>
        <v>1437964.2338969996</v>
      </c>
      <c r="H865" s="11">
        <f t="shared" si="1594"/>
        <v>293024.45978100004</v>
      </c>
      <c r="I865" s="11">
        <f t="shared" si="1594"/>
        <v>407806.11992899998</v>
      </c>
      <c r="J865" s="11">
        <f t="shared" si="1594"/>
        <v>377148.62528499996</v>
      </c>
      <c r="K865" s="11">
        <f t="shared" si="1594"/>
        <v>159178.197461</v>
      </c>
      <c r="L865" s="11">
        <f>L722+L724+L726+L728+L730+L732+L734+L736+L738+L740+L742+L744+L746+L748+L750+L752+L754+L756+L758+L760+L762+L764+L766+L768+L770+L772+L774+L776+L778+L780+L782+L784+L786+L788+L790+L792+L794+L796+L798+L800+L802+L804+L806+L808+L810+L812+L814+L816+L818+L820+L822+L824+L826+L828+L830+L832+L834+L836+L838+L840+L844+L842+L846+L848+L852+L850+L854+L856+L858+L860+L862+L864</f>
        <v>329677.2741310001</v>
      </c>
      <c r="M865" s="11">
        <f t="shared" si="1594"/>
        <v>60365.128611999993</v>
      </c>
      <c r="N865" s="11">
        <f t="shared" si="1594"/>
        <v>444136.29854500003</v>
      </c>
      <c r="O865" s="11">
        <f t="shared" si="1594"/>
        <v>282092.20374000003</v>
      </c>
      <c r="P865" s="11">
        <f t="shared" si="1594"/>
        <v>1635.013467</v>
      </c>
      <c r="Q865" s="11">
        <f t="shared" si="1594"/>
        <v>103027.84610400001</v>
      </c>
      <c r="R865" s="11">
        <f t="shared" si="1594"/>
        <v>39758.903530000003</v>
      </c>
      <c r="S865" s="11">
        <f t="shared" si="1594"/>
        <v>10995.093258999999</v>
      </c>
      <c r="T865" s="11">
        <f t="shared" si="1594"/>
        <v>126033.057038</v>
      </c>
      <c r="U865" s="11">
        <f t="shared" si="1594"/>
        <v>118045.031533</v>
      </c>
      <c r="V865" s="11">
        <f t="shared" si="1594"/>
        <v>350269.37105000002</v>
      </c>
      <c r="W865" s="11">
        <f t="shared" si="1594"/>
        <v>98769.486663999996</v>
      </c>
      <c r="X865" s="11">
        <f t="shared" si="1594"/>
        <v>178418.38942499997</v>
      </c>
      <c r="Y865" s="11">
        <f t="shared" si="1594"/>
        <v>8113.5276089999998</v>
      </c>
      <c r="Z865" s="11">
        <f t="shared" si="1594"/>
        <v>1522.0083590000002</v>
      </c>
      <c r="AA865" s="11">
        <f t="shared" si="1594"/>
        <v>13152.464668000001</v>
      </c>
      <c r="AB865" s="11">
        <f t="shared" si="1594"/>
        <v>0</v>
      </c>
      <c r="AC865" s="67"/>
      <c r="AD865" s="55"/>
    </row>
    <row r="866" spans="1:30" s="52" customFormat="1">
      <c r="A866" s="16"/>
      <c r="B866" s="68"/>
      <c r="C866" s="84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67"/>
      <c r="AD866" s="55"/>
    </row>
    <row r="867" spans="1:30" s="52" customFormat="1" ht="15.6">
      <c r="A867" s="88"/>
      <c r="B867" s="77"/>
      <c r="C867" s="84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67"/>
      <c r="AD867" s="55"/>
    </row>
    <row r="868" spans="1:30" s="52" customFormat="1" ht="13.8" thickBot="1">
      <c r="A868" s="82" t="s">
        <v>132</v>
      </c>
      <c r="B868" s="127"/>
      <c r="C868" s="234"/>
      <c r="D868" s="127"/>
      <c r="E868" s="1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67"/>
      <c r="AD868" s="55"/>
    </row>
    <row r="869" spans="1:30" s="52" customFormat="1" ht="13.8" thickBot="1">
      <c r="A869" s="113" t="s">
        <v>1</v>
      </c>
      <c r="B869" s="114" t="s">
        <v>2</v>
      </c>
      <c r="C869" s="239" t="s">
        <v>3</v>
      </c>
      <c r="D869" s="263" t="s">
        <v>4</v>
      </c>
      <c r="E869" s="264"/>
      <c r="F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V869" s="264"/>
      <c r="W869" s="264"/>
      <c r="X869" s="264"/>
      <c r="Y869" s="264"/>
      <c r="Z869" s="123"/>
      <c r="AA869" s="123"/>
      <c r="AB869" s="123"/>
      <c r="AC869" s="67"/>
      <c r="AD869" s="55"/>
    </row>
    <row r="870" spans="1:30" s="52" customFormat="1">
      <c r="A870" s="115" t="s">
        <v>5</v>
      </c>
      <c r="B870" s="116" t="s">
        <v>6</v>
      </c>
      <c r="C870" s="240" t="s">
        <v>6</v>
      </c>
      <c r="D870" s="117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9"/>
      <c r="Z870" s="116" t="s">
        <v>7</v>
      </c>
      <c r="AA870" s="116"/>
      <c r="AB870" s="116"/>
      <c r="AC870" s="67"/>
      <c r="AD870" s="55"/>
    </row>
    <row r="871" spans="1:30" s="52" customFormat="1">
      <c r="A871" s="115" t="s">
        <v>8</v>
      </c>
      <c r="B871" s="116" t="s">
        <v>9</v>
      </c>
      <c r="C871" s="240" t="s">
        <v>9</v>
      </c>
      <c r="D871" s="120" t="s">
        <v>10</v>
      </c>
      <c r="E871" s="116" t="s">
        <v>11</v>
      </c>
      <c r="F871" s="116" t="s">
        <v>12</v>
      </c>
      <c r="G871" s="116" t="s">
        <v>13</v>
      </c>
      <c r="H871" s="116" t="s">
        <v>14</v>
      </c>
      <c r="I871" s="116" t="s">
        <v>15</v>
      </c>
      <c r="J871" s="116" t="s">
        <v>16</v>
      </c>
      <c r="K871" s="116" t="s">
        <v>17</v>
      </c>
      <c r="L871" s="116" t="s">
        <v>18</v>
      </c>
      <c r="M871" s="116" t="s">
        <v>19</v>
      </c>
      <c r="N871" s="116" t="s">
        <v>20</v>
      </c>
      <c r="O871" s="116" t="s">
        <v>175</v>
      </c>
      <c r="P871" s="116" t="s">
        <v>21</v>
      </c>
      <c r="Q871" s="116" t="s">
        <v>22</v>
      </c>
      <c r="R871" s="116" t="s">
        <v>23</v>
      </c>
      <c r="S871" s="116" t="s">
        <v>24</v>
      </c>
      <c r="T871" s="116" t="s">
        <v>25</v>
      </c>
      <c r="U871" s="116" t="s">
        <v>26</v>
      </c>
      <c r="V871" s="116" t="s">
        <v>27</v>
      </c>
      <c r="W871" s="116" t="s">
        <v>28</v>
      </c>
      <c r="X871" s="116" t="s">
        <v>29</v>
      </c>
      <c r="Y871" s="116" t="s">
        <v>30</v>
      </c>
      <c r="Z871" s="116" t="s">
        <v>31</v>
      </c>
      <c r="AA871" s="116" t="s">
        <v>493</v>
      </c>
      <c r="AB871" s="116" t="s">
        <v>476</v>
      </c>
      <c r="AC871" s="67"/>
      <c r="AD871" s="55"/>
    </row>
    <row r="872" spans="1:30" s="52" customFormat="1">
      <c r="A872" s="115"/>
      <c r="B872" s="116"/>
      <c r="C872" s="240" t="s">
        <v>617</v>
      </c>
      <c r="D872" s="121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67"/>
      <c r="AD872" s="55"/>
    </row>
    <row r="873" spans="1:30" s="52" customFormat="1">
      <c r="A873" s="96" t="s">
        <v>133</v>
      </c>
      <c r="B873" s="168">
        <v>443066</v>
      </c>
      <c r="C873" s="242">
        <f>ROUND(B873/12,2)</f>
        <v>36922.17</v>
      </c>
      <c r="D873" s="5">
        <v>0.89870000000000005</v>
      </c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>
        <v>9.4799999999999995E-2</v>
      </c>
      <c r="R873" s="5"/>
      <c r="S873" s="5">
        <v>6.4999999999999997E-3</v>
      </c>
      <c r="T873" s="5"/>
      <c r="U873" s="5"/>
      <c r="V873" s="5"/>
      <c r="W873" s="5"/>
      <c r="X873" s="5"/>
      <c r="Y873" s="5"/>
      <c r="Z873" s="5"/>
      <c r="AA873" s="5"/>
      <c r="AB873" s="5"/>
      <c r="AC873" s="67"/>
      <c r="AD873" s="55"/>
    </row>
    <row r="874" spans="1:30" s="52" customFormat="1">
      <c r="A874" s="97"/>
      <c r="B874" s="12"/>
      <c r="C874" s="242"/>
      <c r="D874" s="6">
        <f t="shared" ref="D874" si="1595">$C873*D873</f>
        <v>33181.954179</v>
      </c>
      <c r="E874" s="6">
        <f t="shared" ref="E874" si="1596">$C873*E873</f>
        <v>0</v>
      </c>
      <c r="F874" s="6">
        <f t="shared" ref="F874:AB874" si="1597">$C873*F873</f>
        <v>0</v>
      </c>
      <c r="G874" s="6">
        <f t="shared" si="1597"/>
        <v>0</v>
      </c>
      <c r="H874" s="6">
        <f t="shared" si="1597"/>
        <v>0</v>
      </c>
      <c r="I874" s="6">
        <f t="shared" si="1597"/>
        <v>0</v>
      </c>
      <c r="J874" s="6">
        <f t="shared" si="1597"/>
        <v>0</v>
      </c>
      <c r="K874" s="6">
        <f t="shared" si="1597"/>
        <v>0</v>
      </c>
      <c r="L874" s="6">
        <f t="shared" si="1597"/>
        <v>0</v>
      </c>
      <c r="M874" s="6">
        <f t="shared" si="1597"/>
        <v>0</v>
      </c>
      <c r="N874" s="6">
        <f t="shared" si="1597"/>
        <v>0</v>
      </c>
      <c r="O874" s="6">
        <f t="shared" si="1597"/>
        <v>0</v>
      </c>
      <c r="P874" s="6">
        <f t="shared" si="1597"/>
        <v>0</v>
      </c>
      <c r="Q874" s="6">
        <f t="shared" si="1597"/>
        <v>3500.2217159999996</v>
      </c>
      <c r="R874" s="6">
        <f t="shared" si="1597"/>
        <v>0</v>
      </c>
      <c r="S874" s="6">
        <f t="shared" si="1597"/>
        <v>239.99410499999999</v>
      </c>
      <c r="T874" s="6">
        <f t="shared" si="1597"/>
        <v>0</v>
      </c>
      <c r="U874" s="6">
        <f t="shared" si="1597"/>
        <v>0</v>
      </c>
      <c r="V874" s="6">
        <f t="shared" si="1597"/>
        <v>0</v>
      </c>
      <c r="W874" s="6">
        <f t="shared" si="1597"/>
        <v>0</v>
      </c>
      <c r="X874" s="6">
        <f t="shared" si="1597"/>
        <v>0</v>
      </c>
      <c r="Y874" s="6">
        <f t="shared" si="1597"/>
        <v>0</v>
      </c>
      <c r="Z874" s="6">
        <f t="shared" si="1597"/>
        <v>0</v>
      </c>
      <c r="AA874" s="6">
        <f t="shared" si="1597"/>
        <v>0</v>
      </c>
      <c r="AB874" s="6">
        <f t="shared" si="1597"/>
        <v>0</v>
      </c>
      <c r="AC874" s="67"/>
      <c r="AD874" s="55"/>
    </row>
    <row r="875" spans="1:30" s="52" customFormat="1">
      <c r="A875" s="96" t="s">
        <v>134</v>
      </c>
      <c r="B875" s="168">
        <v>678062</v>
      </c>
      <c r="C875" s="242">
        <f>ROUND(B875/12,2)</f>
        <v>56505.17</v>
      </c>
      <c r="D875" s="40">
        <v>0.91279999999999994</v>
      </c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>
        <v>8.2900000000000001E-2</v>
      </c>
      <c r="Y875" s="40">
        <v>2.3E-3</v>
      </c>
      <c r="Z875" s="40">
        <v>2E-3</v>
      </c>
      <c r="AA875" s="40">
        <v>0</v>
      </c>
      <c r="AB875" s="40">
        <v>0</v>
      </c>
      <c r="AC875" s="67"/>
      <c r="AD875" s="55"/>
    </row>
    <row r="876" spans="1:30" s="52" customFormat="1">
      <c r="A876" s="97"/>
      <c r="B876" s="12"/>
      <c r="C876" s="242"/>
      <c r="D876" s="39">
        <f t="shared" ref="D876" si="1598">$C875*D875</f>
        <v>51577.919175999996</v>
      </c>
      <c r="E876" s="39">
        <f t="shared" ref="E876" si="1599">$C875*E875</f>
        <v>0</v>
      </c>
      <c r="F876" s="39">
        <f t="shared" ref="F876:AB876" si="1600">$C875*F875</f>
        <v>0</v>
      </c>
      <c r="G876" s="39">
        <f t="shared" si="1600"/>
        <v>0</v>
      </c>
      <c r="H876" s="39">
        <f t="shared" si="1600"/>
        <v>0</v>
      </c>
      <c r="I876" s="39">
        <f t="shared" si="1600"/>
        <v>0</v>
      </c>
      <c r="J876" s="39">
        <f t="shared" si="1600"/>
        <v>0</v>
      </c>
      <c r="K876" s="39">
        <f t="shared" si="1600"/>
        <v>0</v>
      </c>
      <c r="L876" s="39">
        <f t="shared" si="1600"/>
        <v>0</v>
      </c>
      <c r="M876" s="39">
        <f t="shared" si="1600"/>
        <v>0</v>
      </c>
      <c r="N876" s="39">
        <f t="shared" si="1600"/>
        <v>0</v>
      </c>
      <c r="O876" s="39">
        <f t="shared" si="1600"/>
        <v>0</v>
      </c>
      <c r="P876" s="39">
        <f t="shared" si="1600"/>
        <v>0</v>
      </c>
      <c r="Q876" s="39">
        <f t="shared" si="1600"/>
        <v>0</v>
      </c>
      <c r="R876" s="39">
        <f t="shared" si="1600"/>
        <v>0</v>
      </c>
      <c r="S876" s="39">
        <f t="shared" si="1600"/>
        <v>0</v>
      </c>
      <c r="T876" s="39">
        <f t="shared" si="1600"/>
        <v>0</v>
      </c>
      <c r="U876" s="39">
        <f t="shared" si="1600"/>
        <v>0</v>
      </c>
      <c r="V876" s="39">
        <f t="shared" si="1600"/>
        <v>0</v>
      </c>
      <c r="W876" s="39">
        <f t="shared" si="1600"/>
        <v>0</v>
      </c>
      <c r="X876" s="39">
        <f t="shared" si="1600"/>
        <v>4684.278593</v>
      </c>
      <c r="Y876" s="39">
        <f t="shared" si="1600"/>
        <v>129.96189099999998</v>
      </c>
      <c r="Z876" s="39">
        <f t="shared" si="1600"/>
        <v>113.01034</v>
      </c>
      <c r="AA876" s="39">
        <f t="shared" si="1600"/>
        <v>0</v>
      </c>
      <c r="AB876" s="39">
        <f t="shared" si="1600"/>
        <v>0</v>
      </c>
      <c r="AC876" s="67"/>
      <c r="AD876" s="55"/>
    </row>
    <row r="877" spans="1:30" s="52" customFormat="1">
      <c r="A877" s="96" t="s">
        <v>135</v>
      </c>
      <c r="B877" s="168">
        <v>1153534</v>
      </c>
      <c r="C877" s="242">
        <f>ROUND(B877/12,2)</f>
        <v>96127.83</v>
      </c>
      <c r="D877" s="5">
        <v>0.65229999999999999</v>
      </c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19"/>
      <c r="P877" s="19"/>
      <c r="Q877" s="19">
        <v>0.25869999999999999</v>
      </c>
      <c r="R877" s="5"/>
      <c r="S877" s="19">
        <v>2.5499999999999998E-2</v>
      </c>
      <c r="T877" s="5"/>
      <c r="U877" s="5"/>
      <c r="V877" s="5"/>
      <c r="W877" s="5"/>
      <c r="X877" s="19">
        <v>6.3500000000000001E-2</v>
      </c>
      <c r="Y877" s="5"/>
      <c r="Z877" s="5"/>
      <c r="AA877" s="5"/>
      <c r="AB877" s="5"/>
      <c r="AC877" s="67"/>
      <c r="AD877" s="55"/>
    </row>
    <row r="878" spans="1:30" s="52" customFormat="1">
      <c r="A878" s="98"/>
      <c r="B878" s="11"/>
      <c r="C878" s="242"/>
      <c r="D878" s="6">
        <f t="shared" ref="D878" si="1601">$C877*D877</f>
        <v>62704.183509000002</v>
      </c>
      <c r="E878" s="6">
        <f t="shared" ref="E878" si="1602">$C877*E877</f>
        <v>0</v>
      </c>
      <c r="F878" s="6">
        <f t="shared" ref="F878:AB878" si="1603">$C877*F877</f>
        <v>0</v>
      </c>
      <c r="G878" s="6">
        <f t="shared" si="1603"/>
        <v>0</v>
      </c>
      <c r="H878" s="6">
        <f t="shared" si="1603"/>
        <v>0</v>
      </c>
      <c r="I878" s="6">
        <f t="shared" si="1603"/>
        <v>0</v>
      </c>
      <c r="J878" s="6">
        <f t="shared" si="1603"/>
        <v>0</v>
      </c>
      <c r="K878" s="6">
        <f t="shared" si="1603"/>
        <v>0</v>
      </c>
      <c r="L878" s="6">
        <f t="shared" si="1603"/>
        <v>0</v>
      </c>
      <c r="M878" s="6">
        <f t="shared" si="1603"/>
        <v>0</v>
      </c>
      <c r="N878" s="6">
        <f t="shared" si="1603"/>
        <v>0</v>
      </c>
      <c r="O878" s="6">
        <f t="shared" si="1603"/>
        <v>0</v>
      </c>
      <c r="P878" s="6">
        <f t="shared" si="1603"/>
        <v>0</v>
      </c>
      <c r="Q878" s="6">
        <f t="shared" si="1603"/>
        <v>24868.269620999999</v>
      </c>
      <c r="R878" s="6">
        <f t="shared" si="1603"/>
        <v>0</v>
      </c>
      <c r="S878" s="6">
        <f t="shared" si="1603"/>
        <v>2451.259665</v>
      </c>
      <c r="T878" s="6">
        <f t="shared" si="1603"/>
        <v>0</v>
      </c>
      <c r="U878" s="6">
        <f t="shared" si="1603"/>
        <v>0</v>
      </c>
      <c r="V878" s="6">
        <f t="shared" si="1603"/>
        <v>0</v>
      </c>
      <c r="W878" s="6">
        <f t="shared" si="1603"/>
        <v>0</v>
      </c>
      <c r="X878" s="6">
        <f t="shared" si="1603"/>
        <v>6104.1172050000005</v>
      </c>
      <c r="Y878" s="6">
        <f t="shared" si="1603"/>
        <v>0</v>
      </c>
      <c r="Z878" s="6">
        <f t="shared" si="1603"/>
        <v>0</v>
      </c>
      <c r="AA878" s="6">
        <f t="shared" si="1603"/>
        <v>0</v>
      </c>
      <c r="AB878" s="6">
        <f t="shared" si="1603"/>
        <v>0</v>
      </c>
      <c r="AC878" s="67"/>
      <c r="AD878" s="55"/>
    </row>
    <row r="879" spans="1:30" s="52" customFormat="1">
      <c r="A879" s="96" t="s">
        <v>136</v>
      </c>
      <c r="B879" s="29">
        <f xml:space="preserve"> 2307551/2</f>
        <v>1153775.5</v>
      </c>
      <c r="C879" s="242">
        <f t="shared" ref="C879:C891" si="1604">ROUND(B879/12,2)</f>
        <v>96147.96</v>
      </c>
      <c r="D879" s="170">
        <v>1.6500000000000001E-2</v>
      </c>
      <c r="E879" s="170">
        <v>0.1368</v>
      </c>
      <c r="F879" s="170">
        <v>5.7599999999999998E-2</v>
      </c>
      <c r="G879" s="170">
        <v>8.0399999999999999E-2</v>
      </c>
      <c r="H879" s="170">
        <v>4.1099999999999998E-2</v>
      </c>
      <c r="I879" s="170">
        <v>0.13389999999999999</v>
      </c>
      <c r="J879" s="170">
        <v>2.12E-2</v>
      </c>
      <c r="K879" s="170">
        <v>3.2500000000000001E-2</v>
      </c>
      <c r="L879" s="170">
        <v>1.7100000000000001E-2</v>
      </c>
      <c r="M879" s="170">
        <v>2.5999999999999999E-2</v>
      </c>
      <c r="N879" s="170">
        <v>0.13320000000000001</v>
      </c>
      <c r="O879" s="170">
        <v>1.89E-2</v>
      </c>
      <c r="P879" s="170">
        <v>0</v>
      </c>
      <c r="Q879" s="170">
        <v>3.8600000000000002E-2</v>
      </c>
      <c r="R879" s="170">
        <v>1.9E-2</v>
      </c>
      <c r="S879" s="170">
        <v>4.1999999999999997E-3</v>
      </c>
      <c r="T879" s="170">
        <v>5.3999999999999999E-2</v>
      </c>
      <c r="U879" s="170">
        <v>1.78E-2</v>
      </c>
      <c r="V879" s="170">
        <v>3.6700000000000003E-2</v>
      </c>
      <c r="W879" s="170">
        <v>4.7199999999999999E-2</v>
      </c>
      <c r="X879" s="170">
        <v>6.3899999999999998E-2</v>
      </c>
      <c r="Y879" s="170">
        <v>2.5999999999999999E-3</v>
      </c>
      <c r="Z879" s="171">
        <v>0</v>
      </c>
      <c r="AA879" s="171">
        <v>8.0000000000000004E-4</v>
      </c>
      <c r="AB879" s="171">
        <v>0</v>
      </c>
      <c r="AC879" s="67"/>
      <c r="AD879" s="55"/>
    </row>
    <row r="880" spans="1:30" s="52" customFormat="1">
      <c r="A880" s="97"/>
      <c r="B880" s="30"/>
      <c r="C880" s="242"/>
      <c r="D880" s="6">
        <f t="shared" ref="D880" si="1605">$C879*D879</f>
        <v>1586.4413400000001</v>
      </c>
      <c r="E880" s="6">
        <f t="shared" ref="E880" si="1606">$C879*E879</f>
        <v>13153.040928000002</v>
      </c>
      <c r="F880" s="6">
        <f t="shared" ref="F880:O880" si="1607">$C879*F879</f>
        <v>5538.122496</v>
      </c>
      <c r="G880" s="6">
        <f t="shared" si="1607"/>
        <v>7730.2959840000003</v>
      </c>
      <c r="H880" s="6">
        <f t="shared" si="1607"/>
        <v>3951.6811560000001</v>
      </c>
      <c r="I880" s="6">
        <f t="shared" si="1607"/>
        <v>12874.211843999999</v>
      </c>
      <c r="J880" s="6">
        <f t="shared" si="1607"/>
        <v>2038.3367520000002</v>
      </c>
      <c r="K880" s="6">
        <f t="shared" si="1607"/>
        <v>3124.8087000000005</v>
      </c>
      <c r="L880" s="6">
        <f t="shared" si="1607"/>
        <v>1644.1301160000003</v>
      </c>
      <c r="M880" s="6">
        <f t="shared" si="1607"/>
        <v>2499.8469599999999</v>
      </c>
      <c r="N880" s="6">
        <f t="shared" si="1607"/>
        <v>12806.908272000002</v>
      </c>
      <c r="O880" s="6">
        <f t="shared" si="1607"/>
        <v>1817.1964440000002</v>
      </c>
      <c r="P880" s="6">
        <f t="shared" ref="P880" si="1608">$C879*P879</f>
        <v>0</v>
      </c>
      <c r="Q880" s="6">
        <f t="shared" ref="Q880" si="1609">$C879*Q879</f>
        <v>3711.3112560000004</v>
      </c>
      <c r="R880" s="6">
        <f t="shared" ref="R880:AB880" si="1610">$C879*R879</f>
        <v>1826.81124</v>
      </c>
      <c r="S880" s="6">
        <f t="shared" si="1610"/>
        <v>403.82143200000002</v>
      </c>
      <c r="T880" s="6">
        <f t="shared" si="1610"/>
        <v>5191.9898400000002</v>
      </c>
      <c r="U880" s="6">
        <f t="shared" si="1610"/>
        <v>1711.4336880000001</v>
      </c>
      <c r="V880" s="6">
        <f t="shared" si="1610"/>
        <v>3528.6301320000007</v>
      </c>
      <c r="W880" s="6">
        <f t="shared" si="1610"/>
        <v>4538.183712</v>
      </c>
      <c r="X880" s="6">
        <f t="shared" si="1610"/>
        <v>6143.854644</v>
      </c>
      <c r="Y880" s="6">
        <f t="shared" si="1610"/>
        <v>249.98469600000001</v>
      </c>
      <c r="Z880" s="6">
        <f t="shared" si="1610"/>
        <v>0</v>
      </c>
      <c r="AA880" s="6">
        <f t="shared" si="1610"/>
        <v>76.918368000000015</v>
      </c>
      <c r="AB880" s="6">
        <f t="shared" si="1610"/>
        <v>0</v>
      </c>
      <c r="AC880" s="67"/>
      <c r="AD880" s="55"/>
    </row>
    <row r="881" spans="1:30" s="52" customFormat="1">
      <c r="A881" s="96" t="s">
        <v>454</v>
      </c>
      <c r="B881" s="29">
        <f xml:space="preserve"> 2307551/2</f>
        <v>1153775.5</v>
      </c>
      <c r="C881" s="242">
        <f t="shared" si="1604"/>
        <v>96147.96</v>
      </c>
      <c r="D881" s="171">
        <v>0.81710000000000005</v>
      </c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171">
        <v>0.18290000000000001</v>
      </c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67"/>
      <c r="AD881" s="55"/>
    </row>
    <row r="882" spans="1:30" s="52" customFormat="1">
      <c r="A882" s="97"/>
      <c r="B882" s="12"/>
      <c r="C882" s="242"/>
      <c r="D882" s="6">
        <f t="shared" ref="D882" si="1611">$C881*D881</f>
        <v>78562.498116000017</v>
      </c>
      <c r="E882" s="6">
        <f t="shared" ref="E882" si="1612">$C881*E881</f>
        <v>0</v>
      </c>
      <c r="F882" s="6">
        <f t="shared" ref="F882:O882" si="1613">$C881*F881</f>
        <v>0</v>
      </c>
      <c r="G882" s="6">
        <f t="shared" si="1613"/>
        <v>0</v>
      </c>
      <c r="H882" s="6">
        <f t="shared" si="1613"/>
        <v>0</v>
      </c>
      <c r="I882" s="6">
        <f t="shared" si="1613"/>
        <v>0</v>
      </c>
      <c r="J882" s="6">
        <f t="shared" si="1613"/>
        <v>0</v>
      </c>
      <c r="K882" s="6">
        <f t="shared" si="1613"/>
        <v>0</v>
      </c>
      <c r="L882" s="6">
        <f t="shared" si="1613"/>
        <v>0</v>
      </c>
      <c r="M882" s="6">
        <f t="shared" si="1613"/>
        <v>0</v>
      </c>
      <c r="N882" s="6">
        <f t="shared" si="1613"/>
        <v>0</v>
      </c>
      <c r="O882" s="6">
        <f t="shared" si="1613"/>
        <v>0</v>
      </c>
      <c r="P882" s="6">
        <f t="shared" ref="P882" si="1614">$C881*P881</f>
        <v>0</v>
      </c>
      <c r="Q882" s="6">
        <f t="shared" ref="Q882" si="1615">$C881*Q881</f>
        <v>17585.461884</v>
      </c>
      <c r="R882" s="6">
        <f t="shared" ref="R882:AB882" si="1616">$C881*R881</f>
        <v>0</v>
      </c>
      <c r="S882" s="6">
        <f t="shared" si="1616"/>
        <v>0</v>
      </c>
      <c r="T882" s="6">
        <f t="shared" si="1616"/>
        <v>0</v>
      </c>
      <c r="U882" s="6">
        <f t="shared" si="1616"/>
        <v>0</v>
      </c>
      <c r="V882" s="6">
        <f t="shared" si="1616"/>
        <v>0</v>
      </c>
      <c r="W882" s="6">
        <f t="shared" si="1616"/>
        <v>0</v>
      </c>
      <c r="X882" s="6">
        <f t="shared" si="1616"/>
        <v>0</v>
      </c>
      <c r="Y882" s="6">
        <f t="shared" si="1616"/>
        <v>0</v>
      </c>
      <c r="Z882" s="6">
        <f t="shared" si="1616"/>
        <v>0</v>
      </c>
      <c r="AA882" s="6">
        <f t="shared" si="1616"/>
        <v>0</v>
      </c>
      <c r="AB882" s="6">
        <f t="shared" si="1616"/>
        <v>0</v>
      </c>
      <c r="AC882" s="67"/>
      <c r="AD882" s="55"/>
    </row>
    <row r="883" spans="1:30" s="52" customFormat="1">
      <c r="A883" s="96" t="s">
        <v>137</v>
      </c>
      <c r="B883" s="168">
        <v>1645369</v>
      </c>
      <c r="C883" s="242">
        <f t="shared" si="1604"/>
        <v>137114.07999999999</v>
      </c>
      <c r="D883" s="19">
        <v>0.65229999999999999</v>
      </c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>
        <v>0.25869999999999999</v>
      </c>
      <c r="R883" s="19"/>
      <c r="S883" s="19">
        <v>2.5499999999999998E-2</v>
      </c>
      <c r="T883" s="19"/>
      <c r="U883" s="19"/>
      <c r="V883" s="19"/>
      <c r="W883" s="19"/>
      <c r="X883" s="19">
        <v>6.3500000000000001E-2</v>
      </c>
      <c r="Y883" s="19"/>
      <c r="Z883" s="19"/>
      <c r="AA883" s="19"/>
      <c r="AB883" s="19"/>
      <c r="AC883" s="67"/>
      <c r="AD883" s="55"/>
    </row>
    <row r="884" spans="1:30" s="52" customFormat="1">
      <c r="A884" s="97"/>
      <c r="B884" s="12"/>
      <c r="C884" s="242"/>
      <c r="D884" s="6">
        <f t="shared" ref="D884" si="1617">$C883*D883</f>
        <v>89439.514383999995</v>
      </c>
      <c r="E884" s="6">
        <f t="shared" ref="E884" si="1618">$C883*E883</f>
        <v>0</v>
      </c>
      <c r="F884" s="6">
        <f t="shared" ref="F884:AB884" si="1619">$C883*F883</f>
        <v>0</v>
      </c>
      <c r="G884" s="6">
        <f t="shared" si="1619"/>
        <v>0</v>
      </c>
      <c r="H884" s="6">
        <f t="shared" si="1619"/>
        <v>0</v>
      </c>
      <c r="I884" s="6">
        <f t="shared" si="1619"/>
        <v>0</v>
      </c>
      <c r="J884" s="6">
        <f t="shared" si="1619"/>
        <v>0</v>
      </c>
      <c r="K884" s="6">
        <f t="shared" si="1619"/>
        <v>0</v>
      </c>
      <c r="L884" s="6">
        <f t="shared" si="1619"/>
        <v>0</v>
      </c>
      <c r="M884" s="6">
        <f t="shared" si="1619"/>
        <v>0</v>
      </c>
      <c r="N884" s="6">
        <f t="shared" si="1619"/>
        <v>0</v>
      </c>
      <c r="O884" s="6">
        <f t="shared" si="1619"/>
        <v>0</v>
      </c>
      <c r="P884" s="6">
        <f t="shared" si="1619"/>
        <v>0</v>
      </c>
      <c r="Q884" s="6">
        <f t="shared" si="1619"/>
        <v>35471.412495999997</v>
      </c>
      <c r="R884" s="6">
        <f t="shared" si="1619"/>
        <v>0</v>
      </c>
      <c r="S884" s="6">
        <f t="shared" si="1619"/>
        <v>3496.4090399999995</v>
      </c>
      <c r="T884" s="6">
        <f t="shared" si="1619"/>
        <v>0</v>
      </c>
      <c r="U884" s="6">
        <f t="shared" si="1619"/>
        <v>0</v>
      </c>
      <c r="V884" s="6">
        <f t="shared" si="1619"/>
        <v>0</v>
      </c>
      <c r="W884" s="6">
        <f t="shared" si="1619"/>
        <v>0</v>
      </c>
      <c r="X884" s="6">
        <f t="shared" si="1619"/>
        <v>8706.7440799999986</v>
      </c>
      <c r="Y884" s="6">
        <f t="shared" si="1619"/>
        <v>0</v>
      </c>
      <c r="Z884" s="6">
        <f t="shared" si="1619"/>
        <v>0</v>
      </c>
      <c r="AA884" s="6">
        <f t="shared" si="1619"/>
        <v>0</v>
      </c>
      <c r="AB884" s="6">
        <f t="shared" si="1619"/>
        <v>0</v>
      </c>
      <c r="AC884" s="67"/>
      <c r="AD884" s="55"/>
    </row>
    <row r="885" spans="1:30" s="52" customFormat="1">
      <c r="A885" s="96" t="s">
        <v>241</v>
      </c>
      <c r="B885" s="168">
        <v>419717</v>
      </c>
      <c r="C885" s="242">
        <f t="shared" si="1604"/>
        <v>34976.42</v>
      </c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>
        <v>7.9000000000000008E-3</v>
      </c>
      <c r="Q885" s="61">
        <v>0.12820000000000001</v>
      </c>
      <c r="R885" s="61"/>
      <c r="S885" s="61">
        <v>1.18E-2</v>
      </c>
      <c r="T885" s="61">
        <v>0.51080000000000003</v>
      </c>
      <c r="U885" s="61"/>
      <c r="V885" s="61">
        <v>5.7000000000000002E-3</v>
      </c>
      <c r="W885" s="61"/>
      <c r="X885" s="61">
        <v>0.31459999999999999</v>
      </c>
      <c r="Y885" s="61">
        <v>1.2500000000000001E-2</v>
      </c>
      <c r="Z885" s="61">
        <v>8.5000000000000006E-3</v>
      </c>
      <c r="AA885" s="61">
        <v>0</v>
      </c>
      <c r="AB885" s="61">
        <v>0</v>
      </c>
      <c r="AC885" s="67"/>
      <c r="AD885" s="55"/>
    </row>
    <row r="886" spans="1:30" s="52" customFormat="1">
      <c r="A886" s="97"/>
      <c r="B886" s="12"/>
      <c r="C886" s="242"/>
      <c r="D886" s="39">
        <f t="shared" ref="D886" si="1620">$C885*D885</f>
        <v>0</v>
      </c>
      <c r="E886" s="39">
        <f t="shared" ref="E886" si="1621">$C885*E885</f>
        <v>0</v>
      </c>
      <c r="F886" s="39">
        <f t="shared" ref="F886:AB886" si="1622">$C885*F885</f>
        <v>0</v>
      </c>
      <c r="G886" s="39">
        <f t="shared" si="1622"/>
        <v>0</v>
      </c>
      <c r="H886" s="39">
        <f t="shared" si="1622"/>
        <v>0</v>
      </c>
      <c r="I886" s="39">
        <f t="shared" si="1622"/>
        <v>0</v>
      </c>
      <c r="J886" s="39">
        <f t="shared" si="1622"/>
        <v>0</v>
      </c>
      <c r="K886" s="39">
        <f t="shared" si="1622"/>
        <v>0</v>
      </c>
      <c r="L886" s="39">
        <f t="shared" si="1622"/>
        <v>0</v>
      </c>
      <c r="M886" s="39">
        <f t="shared" si="1622"/>
        <v>0</v>
      </c>
      <c r="N886" s="39">
        <f t="shared" si="1622"/>
        <v>0</v>
      </c>
      <c r="O886" s="39">
        <f t="shared" si="1622"/>
        <v>0</v>
      </c>
      <c r="P886" s="39">
        <f t="shared" si="1622"/>
        <v>276.31371799999999</v>
      </c>
      <c r="Q886" s="39">
        <f t="shared" si="1622"/>
        <v>4483.9770440000002</v>
      </c>
      <c r="R886" s="39">
        <f t="shared" si="1622"/>
        <v>0</v>
      </c>
      <c r="S886" s="39">
        <f t="shared" si="1622"/>
        <v>412.72175599999997</v>
      </c>
      <c r="T886" s="39">
        <f t="shared" si="1622"/>
        <v>17865.955335999999</v>
      </c>
      <c r="U886" s="39">
        <f t="shared" si="1622"/>
        <v>0</v>
      </c>
      <c r="V886" s="39">
        <f t="shared" si="1622"/>
        <v>199.36559399999999</v>
      </c>
      <c r="W886" s="39">
        <f t="shared" si="1622"/>
        <v>0</v>
      </c>
      <c r="X886" s="39">
        <f t="shared" si="1622"/>
        <v>11003.581731999999</v>
      </c>
      <c r="Y886" s="39">
        <f t="shared" si="1622"/>
        <v>437.20524999999998</v>
      </c>
      <c r="Z886" s="39">
        <f t="shared" si="1622"/>
        <v>297.29957000000002</v>
      </c>
      <c r="AA886" s="39">
        <f t="shared" si="1622"/>
        <v>0</v>
      </c>
      <c r="AB886" s="39">
        <f t="shared" si="1622"/>
        <v>0</v>
      </c>
      <c r="AC886" s="67"/>
      <c r="AD886" s="55"/>
    </row>
    <row r="887" spans="1:30" s="52" customFormat="1">
      <c r="A887" s="96" t="s">
        <v>293</v>
      </c>
      <c r="B887" s="168">
        <v>1307433</v>
      </c>
      <c r="C887" s="242">
        <f t="shared" si="1604"/>
        <v>108952.75</v>
      </c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>
        <v>7.9000000000000008E-3</v>
      </c>
      <c r="Q887" s="61">
        <v>0.12820000000000001</v>
      </c>
      <c r="R887" s="61"/>
      <c r="S887" s="61">
        <v>1.18E-2</v>
      </c>
      <c r="T887" s="61">
        <v>0.51080000000000003</v>
      </c>
      <c r="U887" s="61"/>
      <c r="V887" s="61">
        <v>5.7000000000000002E-3</v>
      </c>
      <c r="W887" s="61"/>
      <c r="X887" s="61">
        <v>0.31459999999999999</v>
      </c>
      <c r="Y887" s="61">
        <v>1.2500000000000001E-2</v>
      </c>
      <c r="Z887" s="61">
        <v>8.5000000000000006E-3</v>
      </c>
      <c r="AA887" s="61">
        <v>0</v>
      </c>
      <c r="AB887" s="61">
        <v>0</v>
      </c>
      <c r="AC887" s="67"/>
      <c r="AD887" s="55"/>
    </row>
    <row r="888" spans="1:30" s="52" customFormat="1">
      <c r="A888" s="97"/>
      <c r="B888" s="12"/>
      <c r="C888" s="242"/>
      <c r="D888" s="39">
        <f t="shared" ref="D888" si="1623">$C887*D887</f>
        <v>0</v>
      </c>
      <c r="E888" s="39">
        <f t="shared" ref="E888" si="1624">$C887*E887</f>
        <v>0</v>
      </c>
      <c r="F888" s="39">
        <f t="shared" ref="F888:AB888" si="1625">$C887*F887</f>
        <v>0</v>
      </c>
      <c r="G888" s="39">
        <f t="shared" si="1625"/>
        <v>0</v>
      </c>
      <c r="H888" s="39">
        <f t="shared" si="1625"/>
        <v>0</v>
      </c>
      <c r="I888" s="39">
        <f t="shared" si="1625"/>
        <v>0</v>
      </c>
      <c r="J888" s="39">
        <f t="shared" si="1625"/>
        <v>0</v>
      </c>
      <c r="K888" s="39">
        <f t="shared" si="1625"/>
        <v>0</v>
      </c>
      <c r="L888" s="39">
        <f t="shared" si="1625"/>
        <v>0</v>
      </c>
      <c r="M888" s="39">
        <f t="shared" si="1625"/>
        <v>0</v>
      </c>
      <c r="N888" s="39">
        <f t="shared" si="1625"/>
        <v>0</v>
      </c>
      <c r="O888" s="39">
        <f t="shared" si="1625"/>
        <v>0</v>
      </c>
      <c r="P888" s="39">
        <f t="shared" si="1625"/>
        <v>860.7267250000001</v>
      </c>
      <c r="Q888" s="39">
        <f t="shared" si="1625"/>
        <v>13967.742550000001</v>
      </c>
      <c r="R888" s="39">
        <f t="shared" si="1625"/>
        <v>0</v>
      </c>
      <c r="S888" s="39">
        <f t="shared" si="1625"/>
        <v>1285.6424500000001</v>
      </c>
      <c r="T888" s="39">
        <f t="shared" si="1625"/>
        <v>55653.064700000003</v>
      </c>
      <c r="U888" s="39">
        <f t="shared" si="1625"/>
        <v>0</v>
      </c>
      <c r="V888" s="39">
        <f t="shared" si="1625"/>
        <v>621.03067499999997</v>
      </c>
      <c r="W888" s="39">
        <f t="shared" si="1625"/>
        <v>0</v>
      </c>
      <c r="X888" s="39">
        <f t="shared" si="1625"/>
        <v>34276.535149999996</v>
      </c>
      <c r="Y888" s="39">
        <f t="shared" si="1625"/>
        <v>1361.9093750000002</v>
      </c>
      <c r="Z888" s="39">
        <f t="shared" si="1625"/>
        <v>926.09837500000003</v>
      </c>
      <c r="AA888" s="39">
        <f t="shared" si="1625"/>
        <v>0</v>
      </c>
      <c r="AB888" s="39">
        <f t="shared" si="1625"/>
        <v>0</v>
      </c>
      <c r="AC888" s="67"/>
      <c r="AD888" s="55"/>
    </row>
    <row r="889" spans="1:30" s="52" customFormat="1">
      <c r="A889" s="96" t="s">
        <v>287</v>
      </c>
      <c r="B889" s="168">
        <v>1556923</v>
      </c>
      <c r="C889" s="242">
        <f t="shared" si="1604"/>
        <v>129743.58</v>
      </c>
      <c r="D889" s="61">
        <v>0.88829999999999998</v>
      </c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>
        <v>2E-3</v>
      </c>
      <c r="Q889" s="61">
        <v>4.7399999999999998E-2</v>
      </c>
      <c r="R889" s="61"/>
      <c r="S889" s="61"/>
      <c r="T889" s="61"/>
      <c r="U889" s="61"/>
      <c r="V889" s="61"/>
      <c r="W889" s="61"/>
      <c r="X889" s="61">
        <v>5.7799999999999997E-2</v>
      </c>
      <c r="Y889" s="61">
        <v>2.3E-3</v>
      </c>
      <c r="Z889" s="61">
        <v>2.2000000000000001E-3</v>
      </c>
      <c r="AA889" s="61">
        <v>0</v>
      </c>
      <c r="AB889" s="61">
        <v>0</v>
      </c>
      <c r="AC889" s="67"/>
      <c r="AD889" s="55"/>
    </row>
    <row r="890" spans="1:30" s="52" customFormat="1">
      <c r="A890" s="97"/>
      <c r="B890" s="12"/>
      <c r="C890" s="242"/>
      <c r="D890" s="39">
        <f t="shared" ref="D890" si="1626">$C889*D889</f>
        <v>115251.222114</v>
      </c>
      <c r="E890" s="39">
        <f t="shared" ref="E890" si="1627">$C889*E889</f>
        <v>0</v>
      </c>
      <c r="F890" s="39">
        <f t="shared" ref="F890:AB890" si="1628">$C889*F889</f>
        <v>0</v>
      </c>
      <c r="G890" s="39">
        <f t="shared" si="1628"/>
        <v>0</v>
      </c>
      <c r="H890" s="39">
        <f t="shared" si="1628"/>
        <v>0</v>
      </c>
      <c r="I890" s="39">
        <f t="shared" si="1628"/>
        <v>0</v>
      </c>
      <c r="J890" s="39">
        <f t="shared" si="1628"/>
        <v>0</v>
      </c>
      <c r="K890" s="39">
        <f t="shared" si="1628"/>
        <v>0</v>
      </c>
      <c r="L890" s="39">
        <f t="shared" si="1628"/>
        <v>0</v>
      </c>
      <c r="M890" s="39">
        <f t="shared" si="1628"/>
        <v>0</v>
      </c>
      <c r="N890" s="39">
        <f t="shared" si="1628"/>
        <v>0</v>
      </c>
      <c r="O890" s="39">
        <f t="shared" si="1628"/>
        <v>0</v>
      </c>
      <c r="P890" s="39">
        <f t="shared" si="1628"/>
        <v>259.48716000000002</v>
      </c>
      <c r="Q890" s="39">
        <f t="shared" si="1628"/>
        <v>6149.8456919999999</v>
      </c>
      <c r="R890" s="39">
        <f t="shared" si="1628"/>
        <v>0</v>
      </c>
      <c r="S890" s="39">
        <f t="shared" si="1628"/>
        <v>0</v>
      </c>
      <c r="T890" s="39">
        <f t="shared" si="1628"/>
        <v>0</v>
      </c>
      <c r="U890" s="39">
        <f t="shared" si="1628"/>
        <v>0</v>
      </c>
      <c r="V890" s="39">
        <f t="shared" si="1628"/>
        <v>0</v>
      </c>
      <c r="W890" s="39">
        <f t="shared" si="1628"/>
        <v>0</v>
      </c>
      <c r="X890" s="39">
        <f t="shared" si="1628"/>
        <v>7499.1789239999998</v>
      </c>
      <c r="Y890" s="39">
        <f t="shared" si="1628"/>
        <v>298.410234</v>
      </c>
      <c r="Z890" s="39">
        <f t="shared" si="1628"/>
        <v>285.43587600000001</v>
      </c>
      <c r="AA890" s="39">
        <f t="shared" si="1628"/>
        <v>0</v>
      </c>
      <c r="AB890" s="39">
        <f t="shared" si="1628"/>
        <v>0</v>
      </c>
      <c r="AC890" s="67"/>
      <c r="AD890" s="55"/>
    </row>
    <row r="891" spans="1:30" s="52" customFormat="1">
      <c r="A891" s="96" t="s">
        <v>529</v>
      </c>
      <c r="B891" s="168">
        <v>1379652</v>
      </c>
      <c r="C891" s="242">
        <f t="shared" si="1604"/>
        <v>114971</v>
      </c>
      <c r="D891" s="19">
        <v>0.65229999999999999</v>
      </c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>
        <v>0.25869999999999999</v>
      </c>
      <c r="R891" s="19"/>
      <c r="S891" s="19">
        <v>2.5499999999999998E-2</v>
      </c>
      <c r="T891" s="19"/>
      <c r="U891" s="19"/>
      <c r="V891" s="19"/>
      <c r="W891" s="19"/>
      <c r="X891" s="19">
        <v>6.3500000000000001E-2</v>
      </c>
      <c r="Y891" s="19"/>
      <c r="Z891" s="19"/>
      <c r="AA891" s="19"/>
      <c r="AB891" s="19"/>
      <c r="AC891" s="67"/>
      <c r="AD891" s="55"/>
    </row>
    <row r="892" spans="1:30" s="52" customFormat="1">
      <c r="A892" s="97"/>
      <c r="B892" s="12"/>
      <c r="C892" s="242"/>
      <c r="D892" s="6">
        <f t="shared" ref="D892" si="1629">$C891*D891</f>
        <v>74995.583299999998</v>
      </c>
      <c r="E892" s="6">
        <f t="shared" ref="E892" si="1630">$C891*E891</f>
        <v>0</v>
      </c>
      <c r="F892" s="6">
        <f t="shared" ref="F892:AB892" si="1631">$C891*F891</f>
        <v>0</v>
      </c>
      <c r="G892" s="6">
        <f t="shared" si="1631"/>
        <v>0</v>
      </c>
      <c r="H892" s="6">
        <f t="shared" si="1631"/>
        <v>0</v>
      </c>
      <c r="I892" s="6">
        <f t="shared" si="1631"/>
        <v>0</v>
      </c>
      <c r="J892" s="6">
        <f t="shared" si="1631"/>
        <v>0</v>
      </c>
      <c r="K892" s="6">
        <f t="shared" si="1631"/>
        <v>0</v>
      </c>
      <c r="L892" s="6">
        <f t="shared" si="1631"/>
        <v>0</v>
      </c>
      <c r="M892" s="6">
        <f t="shared" si="1631"/>
        <v>0</v>
      </c>
      <c r="N892" s="6">
        <f t="shared" si="1631"/>
        <v>0</v>
      </c>
      <c r="O892" s="6">
        <f t="shared" si="1631"/>
        <v>0</v>
      </c>
      <c r="P892" s="6">
        <f t="shared" si="1631"/>
        <v>0</v>
      </c>
      <c r="Q892" s="6">
        <f t="shared" si="1631"/>
        <v>29742.9977</v>
      </c>
      <c r="R892" s="6">
        <f t="shared" si="1631"/>
        <v>0</v>
      </c>
      <c r="S892" s="6">
        <f t="shared" si="1631"/>
        <v>2931.7604999999999</v>
      </c>
      <c r="T892" s="6">
        <f t="shared" si="1631"/>
        <v>0</v>
      </c>
      <c r="U892" s="6">
        <f t="shared" si="1631"/>
        <v>0</v>
      </c>
      <c r="V892" s="6">
        <f t="shared" si="1631"/>
        <v>0</v>
      </c>
      <c r="W892" s="6">
        <f t="shared" si="1631"/>
        <v>0</v>
      </c>
      <c r="X892" s="6">
        <f t="shared" si="1631"/>
        <v>7300.6585000000005</v>
      </c>
      <c r="Y892" s="6">
        <f t="shared" si="1631"/>
        <v>0</v>
      </c>
      <c r="Z892" s="6">
        <f t="shared" si="1631"/>
        <v>0</v>
      </c>
      <c r="AA892" s="6">
        <f t="shared" si="1631"/>
        <v>0</v>
      </c>
      <c r="AB892" s="6">
        <f t="shared" si="1631"/>
        <v>0</v>
      </c>
      <c r="AC892" s="67"/>
      <c r="AD892" s="55"/>
    </row>
    <row r="893" spans="1:30" s="52" customFormat="1">
      <c r="A893" s="96" t="s">
        <v>530</v>
      </c>
      <c r="B893" s="168">
        <v>5978</v>
      </c>
      <c r="C893" s="242">
        <f>ROUND(B893/12,2)</f>
        <v>498.17</v>
      </c>
      <c r="D893" s="19">
        <v>0.65229999999999999</v>
      </c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>
        <v>0.25869999999999999</v>
      </c>
      <c r="R893" s="19"/>
      <c r="S893" s="19">
        <v>2.5499999999999998E-2</v>
      </c>
      <c r="T893" s="19"/>
      <c r="U893" s="19"/>
      <c r="V893" s="19"/>
      <c r="W893" s="19"/>
      <c r="X893" s="19">
        <v>6.3500000000000001E-2</v>
      </c>
      <c r="Y893" s="19"/>
      <c r="Z893" s="19"/>
      <c r="AA893" s="19"/>
      <c r="AB893" s="19"/>
      <c r="AC893" s="67"/>
      <c r="AD893" s="55"/>
    </row>
    <row r="894" spans="1:30" s="52" customFormat="1">
      <c r="A894" s="97"/>
      <c r="B894" s="12"/>
      <c r="C894" s="236"/>
      <c r="D894" s="6">
        <f t="shared" ref="D894" si="1632">$C893*D893</f>
        <v>324.95629100000002</v>
      </c>
      <c r="E894" s="6">
        <f t="shared" ref="E894" si="1633">$C893*E893</f>
        <v>0</v>
      </c>
      <c r="F894" s="6">
        <f t="shared" ref="F894:AB894" si="1634">$C893*F893</f>
        <v>0</v>
      </c>
      <c r="G894" s="6">
        <f t="shared" si="1634"/>
        <v>0</v>
      </c>
      <c r="H894" s="6">
        <f t="shared" si="1634"/>
        <v>0</v>
      </c>
      <c r="I894" s="6">
        <f t="shared" si="1634"/>
        <v>0</v>
      </c>
      <c r="J894" s="6">
        <f t="shared" si="1634"/>
        <v>0</v>
      </c>
      <c r="K894" s="6">
        <f t="shared" si="1634"/>
        <v>0</v>
      </c>
      <c r="L894" s="6">
        <f t="shared" si="1634"/>
        <v>0</v>
      </c>
      <c r="M894" s="6">
        <f t="shared" si="1634"/>
        <v>0</v>
      </c>
      <c r="N894" s="6">
        <f t="shared" si="1634"/>
        <v>0</v>
      </c>
      <c r="O894" s="6">
        <f t="shared" si="1634"/>
        <v>0</v>
      </c>
      <c r="P894" s="6">
        <f t="shared" si="1634"/>
        <v>0</v>
      </c>
      <c r="Q894" s="6">
        <f t="shared" si="1634"/>
        <v>128.87657899999999</v>
      </c>
      <c r="R894" s="6">
        <f t="shared" si="1634"/>
        <v>0</v>
      </c>
      <c r="S894" s="6">
        <f t="shared" si="1634"/>
        <v>12.703334999999999</v>
      </c>
      <c r="T894" s="6">
        <f t="shared" si="1634"/>
        <v>0</v>
      </c>
      <c r="U894" s="6">
        <f t="shared" si="1634"/>
        <v>0</v>
      </c>
      <c r="V894" s="6">
        <f t="shared" si="1634"/>
        <v>0</v>
      </c>
      <c r="W894" s="6">
        <f t="shared" si="1634"/>
        <v>0</v>
      </c>
      <c r="X894" s="6">
        <f t="shared" si="1634"/>
        <v>31.633795000000003</v>
      </c>
      <c r="Y894" s="6">
        <f t="shared" si="1634"/>
        <v>0</v>
      </c>
      <c r="Z894" s="6">
        <f t="shared" si="1634"/>
        <v>0</v>
      </c>
      <c r="AA894" s="6">
        <f t="shared" si="1634"/>
        <v>0</v>
      </c>
      <c r="AB894" s="6">
        <f t="shared" si="1634"/>
        <v>0</v>
      </c>
      <c r="AC894" s="67"/>
      <c r="AD894" s="55"/>
    </row>
    <row r="895" spans="1:30" s="52" customFormat="1">
      <c r="A895" s="16" t="s">
        <v>50</v>
      </c>
      <c r="B895" s="9">
        <f>SUM(B873:B893)</f>
        <v>10897285</v>
      </c>
      <c r="C895" s="249">
        <f>SUM(C873:C893)</f>
        <v>908107.09000000008</v>
      </c>
      <c r="D895" s="9">
        <f>D874+D876+D878+D880+D882+D884+D886+D888+D890+D892+D894</f>
        <v>507624.27240899997</v>
      </c>
      <c r="E895" s="9">
        <f t="shared" ref="E895" si="1635">E874+E876+E878+E880+E882+E884+E886+E888+E890+E892+E894</f>
        <v>13153.040928000002</v>
      </c>
      <c r="F895" s="9">
        <f t="shared" ref="F895" si="1636">F874+F876+F878+F880+F882+F884+F886+F888+F890+F892+F894</f>
        <v>5538.122496</v>
      </c>
      <c r="G895" s="9">
        <f t="shared" ref="G895:AB895" si="1637">G874+G876+G878+G880+G882+G884+G886+G888+G890+G892+G894</f>
        <v>7730.2959840000003</v>
      </c>
      <c r="H895" s="9">
        <f t="shared" si="1637"/>
        <v>3951.6811560000001</v>
      </c>
      <c r="I895" s="9">
        <f t="shared" si="1637"/>
        <v>12874.211843999999</v>
      </c>
      <c r="J895" s="9">
        <f t="shared" si="1637"/>
        <v>2038.3367520000002</v>
      </c>
      <c r="K895" s="9">
        <f t="shared" si="1637"/>
        <v>3124.8087000000005</v>
      </c>
      <c r="L895" s="9">
        <f t="shared" si="1637"/>
        <v>1644.1301160000003</v>
      </c>
      <c r="M895" s="9">
        <f t="shared" si="1637"/>
        <v>2499.8469599999999</v>
      </c>
      <c r="N895" s="9">
        <f t="shared" si="1637"/>
        <v>12806.908272000002</v>
      </c>
      <c r="O895" s="9">
        <f t="shared" si="1637"/>
        <v>1817.1964440000002</v>
      </c>
      <c r="P895" s="9">
        <f t="shared" si="1637"/>
        <v>1396.527603</v>
      </c>
      <c r="Q895" s="9">
        <f t="shared" si="1637"/>
        <v>139610.116538</v>
      </c>
      <c r="R895" s="9">
        <f t="shared" si="1637"/>
        <v>1826.81124</v>
      </c>
      <c r="S895" s="9">
        <f t="shared" si="1637"/>
        <v>11234.312283000001</v>
      </c>
      <c r="T895" s="9">
        <f t="shared" si="1637"/>
        <v>78711.009875999996</v>
      </c>
      <c r="U895" s="9">
        <f t="shared" si="1637"/>
        <v>1711.4336880000001</v>
      </c>
      <c r="V895" s="9">
        <f t="shared" si="1637"/>
        <v>4349.026401000001</v>
      </c>
      <c r="W895" s="9">
        <f t="shared" si="1637"/>
        <v>4538.183712</v>
      </c>
      <c r="X895" s="9">
        <f t="shared" si="1637"/>
        <v>85750.582623000009</v>
      </c>
      <c r="Y895" s="9">
        <f t="shared" si="1637"/>
        <v>2477.471446</v>
      </c>
      <c r="Z895" s="9">
        <f t="shared" si="1637"/>
        <v>1621.844161</v>
      </c>
      <c r="AA895" s="9">
        <f t="shared" si="1637"/>
        <v>76.918368000000015</v>
      </c>
      <c r="AB895" s="9">
        <f t="shared" si="1637"/>
        <v>0</v>
      </c>
      <c r="AC895" s="67"/>
      <c r="AD895" s="55"/>
    </row>
    <row r="896" spans="1:30" s="52" customFormat="1">
      <c r="A896" s="87"/>
      <c r="B896" s="26"/>
      <c r="C896" s="238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67"/>
      <c r="AD896" s="55"/>
    </row>
    <row r="897" spans="1:30" s="52" customFormat="1">
      <c r="A897" s="87"/>
      <c r="B897" s="17"/>
      <c r="C897" s="238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67"/>
      <c r="AD897" s="55"/>
    </row>
    <row r="898" spans="1:30" s="52" customFormat="1" ht="13.8" thickBot="1">
      <c r="A898" s="82" t="s">
        <v>138</v>
      </c>
      <c r="B898" s="127"/>
      <c r="C898" s="234"/>
      <c r="D898" s="127"/>
      <c r="E898" s="1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67"/>
      <c r="AD898" s="55"/>
    </row>
    <row r="899" spans="1:30" s="52" customFormat="1" ht="13.8" thickBot="1">
      <c r="A899" s="113" t="s">
        <v>1</v>
      </c>
      <c r="B899" s="114" t="s">
        <v>2</v>
      </c>
      <c r="C899" s="239" t="s">
        <v>3</v>
      </c>
      <c r="D899" s="263" t="s">
        <v>4</v>
      </c>
      <c r="E899" s="264"/>
      <c r="F899" s="264"/>
      <c r="G899" s="264"/>
      <c r="H899" s="264"/>
      <c r="I899" s="264"/>
      <c r="J899" s="264"/>
      <c r="K899" s="264"/>
      <c r="L899" s="264"/>
      <c r="M899" s="264"/>
      <c r="N899" s="264"/>
      <c r="O899" s="264"/>
      <c r="P899" s="264"/>
      <c r="Q899" s="264"/>
      <c r="R899" s="264"/>
      <c r="S899" s="264"/>
      <c r="T899" s="264"/>
      <c r="U899" s="264"/>
      <c r="V899" s="264"/>
      <c r="W899" s="264"/>
      <c r="X899" s="264"/>
      <c r="Y899" s="264"/>
      <c r="Z899" s="123"/>
      <c r="AA899" s="123"/>
      <c r="AB899" s="123"/>
      <c r="AC899" s="67"/>
      <c r="AD899" s="55"/>
    </row>
    <row r="900" spans="1:30" s="52" customFormat="1">
      <c r="A900" s="115" t="s">
        <v>5</v>
      </c>
      <c r="B900" s="116" t="s">
        <v>6</v>
      </c>
      <c r="C900" s="240" t="s">
        <v>6</v>
      </c>
      <c r="D900" s="117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9"/>
      <c r="Z900" s="116" t="s">
        <v>7</v>
      </c>
      <c r="AA900" s="116"/>
      <c r="AB900" s="116"/>
      <c r="AC900" s="67"/>
      <c r="AD900" s="55"/>
    </row>
    <row r="901" spans="1:30" s="52" customFormat="1">
      <c r="A901" s="115" t="s">
        <v>8</v>
      </c>
      <c r="B901" s="116" t="s">
        <v>9</v>
      </c>
      <c r="C901" s="240" t="s">
        <v>9</v>
      </c>
      <c r="D901" s="120" t="s">
        <v>10</v>
      </c>
      <c r="E901" s="116" t="s">
        <v>11</v>
      </c>
      <c r="F901" s="116" t="s">
        <v>12</v>
      </c>
      <c r="G901" s="116" t="s">
        <v>13</v>
      </c>
      <c r="H901" s="116" t="s">
        <v>14</v>
      </c>
      <c r="I901" s="116" t="s">
        <v>15</v>
      </c>
      <c r="J901" s="116" t="s">
        <v>16</v>
      </c>
      <c r="K901" s="116" t="s">
        <v>17</v>
      </c>
      <c r="L901" s="116" t="s">
        <v>18</v>
      </c>
      <c r="M901" s="116" t="s">
        <v>19</v>
      </c>
      <c r="N901" s="116" t="s">
        <v>20</v>
      </c>
      <c r="O901" s="116" t="s">
        <v>175</v>
      </c>
      <c r="P901" s="116" t="s">
        <v>21</v>
      </c>
      <c r="Q901" s="116" t="s">
        <v>22</v>
      </c>
      <c r="R901" s="116" t="s">
        <v>23</v>
      </c>
      <c r="S901" s="116" t="s">
        <v>24</v>
      </c>
      <c r="T901" s="116" t="s">
        <v>25</v>
      </c>
      <c r="U901" s="116" t="s">
        <v>26</v>
      </c>
      <c r="V901" s="116" t="s">
        <v>27</v>
      </c>
      <c r="W901" s="116" t="s">
        <v>28</v>
      </c>
      <c r="X901" s="116" t="s">
        <v>29</v>
      </c>
      <c r="Y901" s="116" t="s">
        <v>30</v>
      </c>
      <c r="Z901" s="116" t="s">
        <v>31</v>
      </c>
      <c r="AA901" s="116" t="s">
        <v>493</v>
      </c>
      <c r="AB901" s="116" t="s">
        <v>476</v>
      </c>
      <c r="AC901" s="67"/>
      <c r="AD901" s="55"/>
    </row>
    <row r="902" spans="1:30" s="52" customFormat="1">
      <c r="A902" s="115"/>
      <c r="B902" s="116"/>
      <c r="C902" s="240" t="s">
        <v>617</v>
      </c>
      <c r="D902" s="121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67"/>
      <c r="AD902" s="55"/>
    </row>
    <row r="903" spans="1:30" s="52" customFormat="1">
      <c r="A903" s="96" t="s">
        <v>139</v>
      </c>
      <c r="B903" s="168">
        <v>1359281</v>
      </c>
      <c r="C903" s="242">
        <f>ROUND(B903/12,2)</f>
        <v>113273.42</v>
      </c>
      <c r="D903" s="5"/>
      <c r="E903" s="5"/>
      <c r="F903" s="5"/>
      <c r="G903" s="5"/>
      <c r="H903" s="5"/>
      <c r="I903" s="5"/>
      <c r="J903" s="5"/>
      <c r="K903" s="5"/>
      <c r="L903" s="5"/>
      <c r="M903" s="5">
        <v>0.84499999999999997</v>
      </c>
      <c r="N903" s="5"/>
      <c r="O903" s="5"/>
      <c r="P903" s="5"/>
      <c r="Q903" s="5"/>
      <c r="R903" s="5"/>
      <c r="S903" s="5"/>
      <c r="T903" s="5">
        <v>0.155</v>
      </c>
      <c r="U903" s="5"/>
      <c r="V903" s="5"/>
      <c r="W903" s="5"/>
      <c r="X903" s="5"/>
      <c r="Y903" s="5"/>
      <c r="Z903" s="5"/>
      <c r="AA903" s="5"/>
      <c r="AB903" s="5"/>
      <c r="AC903" s="67"/>
      <c r="AD903" s="55"/>
    </row>
    <row r="904" spans="1:30" s="52" customFormat="1">
      <c r="A904" s="97"/>
      <c r="B904" s="12"/>
      <c r="C904" s="242"/>
      <c r="D904" s="6">
        <f t="shared" ref="D904" si="1638">$C903*D903</f>
        <v>0</v>
      </c>
      <c r="E904" s="6">
        <f t="shared" ref="E904" si="1639">$C903*E903</f>
        <v>0</v>
      </c>
      <c r="F904" s="6">
        <f t="shared" ref="F904:AB904" si="1640">$C903*F903</f>
        <v>0</v>
      </c>
      <c r="G904" s="6">
        <f t="shared" si="1640"/>
        <v>0</v>
      </c>
      <c r="H904" s="6">
        <f t="shared" si="1640"/>
        <v>0</v>
      </c>
      <c r="I904" s="6">
        <f t="shared" si="1640"/>
        <v>0</v>
      </c>
      <c r="J904" s="6">
        <f t="shared" si="1640"/>
        <v>0</v>
      </c>
      <c r="K904" s="6">
        <f t="shared" si="1640"/>
        <v>0</v>
      </c>
      <c r="L904" s="6">
        <f t="shared" si="1640"/>
        <v>0</v>
      </c>
      <c r="M904" s="6">
        <f t="shared" si="1640"/>
        <v>95716.039899999989</v>
      </c>
      <c r="N904" s="6">
        <f t="shared" si="1640"/>
        <v>0</v>
      </c>
      <c r="O904" s="6">
        <f t="shared" si="1640"/>
        <v>0</v>
      </c>
      <c r="P904" s="6">
        <f t="shared" si="1640"/>
        <v>0</v>
      </c>
      <c r="Q904" s="6">
        <f t="shared" si="1640"/>
        <v>0</v>
      </c>
      <c r="R904" s="6">
        <f t="shared" si="1640"/>
        <v>0</v>
      </c>
      <c r="S904" s="6">
        <f t="shared" si="1640"/>
        <v>0</v>
      </c>
      <c r="T904" s="6">
        <f t="shared" si="1640"/>
        <v>17557.380099999998</v>
      </c>
      <c r="U904" s="6">
        <f t="shared" si="1640"/>
        <v>0</v>
      </c>
      <c r="V904" s="6">
        <f t="shared" si="1640"/>
        <v>0</v>
      </c>
      <c r="W904" s="6">
        <f t="shared" si="1640"/>
        <v>0</v>
      </c>
      <c r="X904" s="6">
        <f t="shared" si="1640"/>
        <v>0</v>
      </c>
      <c r="Y904" s="6">
        <f t="shared" si="1640"/>
        <v>0</v>
      </c>
      <c r="Z904" s="6">
        <f t="shared" si="1640"/>
        <v>0</v>
      </c>
      <c r="AA904" s="6">
        <f t="shared" si="1640"/>
        <v>0</v>
      </c>
      <c r="AB904" s="6">
        <f t="shared" si="1640"/>
        <v>0</v>
      </c>
      <c r="AC904" s="67"/>
      <c r="AD904" s="55"/>
    </row>
    <row r="905" spans="1:30" s="52" customFormat="1">
      <c r="A905" s="96" t="s">
        <v>140</v>
      </c>
      <c r="B905" s="75">
        <f xml:space="preserve"> 20827/2</f>
        <v>10413.5</v>
      </c>
      <c r="C905" s="242">
        <f t="shared" ref="C905:C917" si="1641">ROUND(B905/12,2)</f>
        <v>867.79</v>
      </c>
      <c r="D905" s="170">
        <v>1.6500000000000001E-2</v>
      </c>
      <c r="E905" s="170">
        <v>0.1368</v>
      </c>
      <c r="F905" s="170">
        <v>5.7599999999999998E-2</v>
      </c>
      <c r="G905" s="170">
        <v>8.0399999999999999E-2</v>
      </c>
      <c r="H905" s="170">
        <v>4.1099999999999998E-2</v>
      </c>
      <c r="I905" s="170">
        <v>0.13389999999999999</v>
      </c>
      <c r="J905" s="170">
        <v>2.12E-2</v>
      </c>
      <c r="K905" s="170">
        <v>3.2500000000000001E-2</v>
      </c>
      <c r="L905" s="170">
        <v>1.7100000000000001E-2</v>
      </c>
      <c r="M905" s="170">
        <v>2.5999999999999999E-2</v>
      </c>
      <c r="N905" s="170">
        <v>0.13320000000000001</v>
      </c>
      <c r="O905" s="170">
        <v>1.89E-2</v>
      </c>
      <c r="P905" s="170">
        <v>0</v>
      </c>
      <c r="Q905" s="170">
        <v>3.8600000000000002E-2</v>
      </c>
      <c r="R905" s="170">
        <v>1.9E-2</v>
      </c>
      <c r="S905" s="170">
        <v>4.1999999999999997E-3</v>
      </c>
      <c r="T905" s="170">
        <v>5.3999999999999999E-2</v>
      </c>
      <c r="U905" s="170">
        <v>1.78E-2</v>
      </c>
      <c r="V905" s="170">
        <v>3.6700000000000003E-2</v>
      </c>
      <c r="W905" s="170">
        <v>4.7199999999999999E-2</v>
      </c>
      <c r="X905" s="170">
        <v>6.3899999999999998E-2</v>
      </c>
      <c r="Y905" s="170">
        <v>2.5999999999999999E-3</v>
      </c>
      <c r="Z905" s="171">
        <v>0</v>
      </c>
      <c r="AA905" s="171">
        <v>8.0000000000000004E-4</v>
      </c>
      <c r="AB905" s="171">
        <v>0</v>
      </c>
      <c r="AC905" s="67"/>
      <c r="AD905" s="55"/>
    </row>
    <row r="906" spans="1:30" s="52" customFormat="1">
      <c r="A906" s="97"/>
      <c r="B906" s="30"/>
      <c r="C906" s="242"/>
      <c r="D906" s="6">
        <f t="shared" ref="D906" si="1642">$C905*D905</f>
        <v>14.318535000000001</v>
      </c>
      <c r="E906" s="6">
        <f t="shared" ref="E906" si="1643">$C905*E905</f>
        <v>118.713672</v>
      </c>
      <c r="F906" s="6">
        <f t="shared" ref="F906:O906" si="1644">$C905*F905</f>
        <v>49.984703999999994</v>
      </c>
      <c r="G906" s="6">
        <f t="shared" si="1644"/>
        <v>69.770315999999994</v>
      </c>
      <c r="H906" s="6">
        <f t="shared" si="1644"/>
        <v>35.666168999999996</v>
      </c>
      <c r="I906" s="6">
        <f t="shared" si="1644"/>
        <v>116.19708099999998</v>
      </c>
      <c r="J906" s="6">
        <f t="shared" si="1644"/>
        <v>18.397147999999998</v>
      </c>
      <c r="K906" s="6">
        <f t="shared" si="1644"/>
        <v>28.203174999999998</v>
      </c>
      <c r="L906" s="6">
        <f t="shared" si="1644"/>
        <v>14.839209</v>
      </c>
      <c r="M906" s="6">
        <f t="shared" si="1644"/>
        <v>22.562539999999998</v>
      </c>
      <c r="N906" s="6">
        <f t="shared" si="1644"/>
        <v>115.589628</v>
      </c>
      <c r="O906" s="6">
        <f t="shared" si="1644"/>
        <v>16.401230999999999</v>
      </c>
      <c r="P906" s="6">
        <f t="shared" ref="P906" si="1645">$C905*P905</f>
        <v>0</v>
      </c>
      <c r="Q906" s="6">
        <f t="shared" ref="Q906" si="1646">$C905*Q905</f>
        <v>33.496693999999998</v>
      </c>
      <c r="R906" s="6">
        <f t="shared" ref="R906:AB906" si="1647">$C905*R905</f>
        <v>16.488009999999999</v>
      </c>
      <c r="S906" s="6">
        <f t="shared" si="1647"/>
        <v>3.6447179999999997</v>
      </c>
      <c r="T906" s="6">
        <f t="shared" si="1647"/>
        <v>46.860659999999996</v>
      </c>
      <c r="U906" s="6">
        <f t="shared" si="1647"/>
        <v>15.446662</v>
      </c>
      <c r="V906" s="6">
        <f t="shared" si="1647"/>
        <v>31.847893000000003</v>
      </c>
      <c r="W906" s="6">
        <f t="shared" si="1647"/>
        <v>40.959688</v>
      </c>
      <c r="X906" s="6">
        <f t="shared" si="1647"/>
        <v>55.451780999999997</v>
      </c>
      <c r="Y906" s="6">
        <f t="shared" si="1647"/>
        <v>2.2562539999999998</v>
      </c>
      <c r="Z906" s="6">
        <f t="shared" si="1647"/>
        <v>0</v>
      </c>
      <c r="AA906" s="6">
        <f t="shared" si="1647"/>
        <v>0.69423199999999996</v>
      </c>
      <c r="AB906" s="6">
        <f t="shared" si="1647"/>
        <v>0</v>
      </c>
      <c r="AC906" s="67"/>
      <c r="AD906" s="55"/>
    </row>
    <row r="907" spans="1:30" s="52" customFormat="1">
      <c r="A907" s="96" t="s">
        <v>455</v>
      </c>
      <c r="B907" s="75">
        <f xml:space="preserve"> 20827/2</f>
        <v>10413.5</v>
      </c>
      <c r="C907" s="242">
        <f t="shared" si="1641"/>
        <v>867.79</v>
      </c>
      <c r="D907" s="5">
        <v>0.17530000000000001</v>
      </c>
      <c r="E907" s="5"/>
      <c r="F907" s="5"/>
      <c r="G907" s="5"/>
      <c r="H907" s="5">
        <v>1.84E-2</v>
      </c>
      <c r="I907" s="5"/>
      <c r="J907" s="5"/>
      <c r="K907" s="5"/>
      <c r="L907" s="5"/>
      <c r="M907" s="5">
        <v>0.43459999999999999</v>
      </c>
      <c r="N907" s="5"/>
      <c r="O907" s="5"/>
      <c r="P907" s="5"/>
      <c r="Q907" s="5"/>
      <c r="R907" s="5"/>
      <c r="S907" s="5"/>
      <c r="T907" s="5">
        <v>0.18790000000000001</v>
      </c>
      <c r="U907" s="5"/>
      <c r="V907" s="5">
        <v>1.52E-2</v>
      </c>
      <c r="W907" s="5">
        <v>0.13730000000000001</v>
      </c>
      <c r="X907" s="5">
        <v>3.0099999999999998E-2</v>
      </c>
      <c r="Y907" s="5">
        <v>1.1999999999999999E-3</v>
      </c>
      <c r="Z907" s="5"/>
      <c r="AA907" s="5"/>
      <c r="AB907" s="5"/>
      <c r="AC907" s="67"/>
      <c r="AD907" s="55"/>
    </row>
    <row r="908" spans="1:30" s="52" customFormat="1">
      <c r="A908" s="97"/>
      <c r="B908" s="12"/>
      <c r="C908" s="242"/>
      <c r="D908" s="6">
        <f t="shared" ref="D908" si="1648">$C907*D907</f>
        <v>152.12358700000001</v>
      </c>
      <c r="E908" s="6">
        <f t="shared" ref="E908" si="1649">$C907*E907</f>
        <v>0</v>
      </c>
      <c r="F908" s="6">
        <f t="shared" ref="F908:O908" si="1650">$C907*F907</f>
        <v>0</v>
      </c>
      <c r="G908" s="6">
        <f t="shared" si="1650"/>
        <v>0</v>
      </c>
      <c r="H908" s="6">
        <f t="shared" si="1650"/>
        <v>15.967336</v>
      </c>
      <c r="I908" s="6">
        <f t="shared" si="1650"/>
        <v>0</v>
      </c>
      <c r="J908" s="6">
        <f t="shared" si="1650"/>
        <v>0</v>
      </c>
      <c r="K908" s="6">
        <f t="shared" si="1650"/>
        <v>0</v>
      </c>
      <c r="L908" s="6">
        <f t="shared" si="1650"/>
        <v>0</v>
      </c>
      <c r="M908" s="6">
        <f t="shared" si="1650"/>
        <v>377.14153399999998</v>
      </c>
      <c r="N908" s="6">
        <f t="shared" si="1650"/>
        <v>0</v>
      </c>
      <c r="O908" s="6">
        <f t="shared" si="1650"/>
        <v>0</v>
      </c>
      <c r="P908" s="6">
        <f t="shared" ref="P908" si="1651">$C907*P907</f>
        <v>0</v>
      </c>
      <c r="Q908" s="6">
        <f t="shared" ref="Q908" si="1652">$C907*Q907</f>
        <v>0</v>
      </c>
      <c r="R908" s="6">
        <f t="shared" ref="R908:AB908" si="1653">$C907*R907</f>
        <v>0</v>
      </c>
      <c r="S908" s="6">
        <f t="shared" si="1653"/>
        <v>0</v>
      </c>
      <c r="T908" s="6">
        <f t="shared" si="1653"/>
        <v>163.05774099999999</v>
      </c>
      <c r="U908" s="6">
        <f t="shared" si="1653"/>
        <v>0</v>
      </c>
      <c r="V908" s="6">
        <f t="shared" si="1653"/>
        <v>13.190408</v>
      </c>
      <c r="W908" s="6">
        <f t="shared" si="1653"/>
        <v>119.147567</v>
      </c>
      <c r="X908" s="6">
        <f t="shared" si="1653"/>
        <v>26.120478999999996</v>
      </c>
      <c r="Y908" s="6">
        <f t="shared" si="1653"/>
        <v>1.0413479999999999</v>
      </c>
      <c r="Z908" s="6">
        <f t="shared" si="1653"/>
        <v>0</v>
      </c>
      <c r="AA908" s="6">
        <f t="shared" si="1653"/>
        <v>0</v>
      </c>
      <c r="AB908" s="6">
        <f t="shared" si="1653"/>
        <v>0</v>
      </c>
      <c r="AC908" s="67"/>
      <c r="AD908" s="55"/>
    </row>
    <row r="909" spans="1:30" s="52" customFormat="1">
      <c r="A909" s="96" t="s">
        <v>141</v>
      </c>
      <c r="B909" s="75">
        <f>483697/2</f>
        <v>241848.5</v>
      </c>
      <c r="C909" s="242">
        <f t="shared" si="1641"/>
        <v>20154.04</v>
      </c>
      <c r="D909" s="170">
        <v>1.6500000000000001E-2</v>
      </c>
      <c r="E909" s="170">
        <v>0.1368</v>
      </c>
      <c r="F909" s="170">
        <v>5.7599999999999998E-2</v>
      </c>
      <c r="G909" s="170">
        <v>8.0399999999999999E-2</v>
      </c>
      <c r="H909" s="170">
        <v>4.1099999999999998E-2</v>
      </c>
      <c r="I909" s="170">
        <v>0.13389999999999999</v>
      </c>
      <c r="J909" s="170">
        <v>2.12E-2</v>
      </c>
      <c r="K909" s="170">
        <v>3.2500000000000001E-2</v>
      </c>
      <c r="L909" s="170">
        <v>1.7100000000000001E-2</v>
      </c>
      <c r="M909" s="170">
        <v>2.5999999999999999E-2</v>
      </c>
      <c r="N909" s="170">
        <v>0.13320000000000001</v>
      </c>
      <c r="O909" s="170">
        <v>1.89E-2</v>
      </c>
      <c r="P909" s="170">
        <v>0</v>
      </c>
      <c r="Q909" s="170">
        <v>3.8600000000000002E-2</v>
      </c>
      <c r="R909" s="170">
        <v>1.9E-2</v>
      </c>
      <c r="S909" s="170">
        <v>4.1999999999999997E-3</v>
      </c>
      <c r="T909" s="170">
        <v>5.3999999999999999E-2</v>
      </c>
      <c r="U909" s="170">
        <v>1.78E-2</v>
      </c>
      <c r="V909" s="170">
        <v>3.6700000000000003E-2</v>
      </c>
      <c r="W909" s="170">
        <v>4.7199999999999999E-2</v>
      </c>
      <c r="X909" s="170">
        <v>6.3899999999999998E-2</v>
      </c>
      <c r="Y909" s="170">
        <v>2.5999999999999999E-3</v>
      </c>
      <c r="Z909" s="171">
        <v>0</v>
      </c>
      <c r="AA909" s="171">
        <v>8.0000000000000004E-4</v>
      </c>
      <c r="AB909" s="171">
        <v>0</v>
      </c>
      <c r="AC909" s="67"/>
      <c r="AD909" s="55"/>
    </row>
    <row r="910" spans="1:30" s="52" customFormat="1">
      <c r="A910" s="97"/>
      <c r="B910" s="30"/>
      <c r="C910" s="242"/>
      <c r="D910" s="6">
        <f t="shared" ref="D910" si="1654">$C909*D909</f>
        <v>332.54166000000004</v>
      </c>
      <c r="E910" s="6">
        <f t="shared" ref="E910" si="1655">$C909*E909</f>
        <v>2757.0726720000002</v>
      </c>
      <c r="F910" s="6">
        <f t="shared" ref="F910:O910" si="1656">$C909*F909</f>
        <v>1160.8727040000001</v>
      </c>
      <c r="G910" s="6">
        <f t="shared" si="1656"/>
        <v>1620.384816</v>
      </c>
      <c r="H910" s="6">
        <f t="shared" si="1656"/>
        <v>828.33104400000002</v>
      </c>
      <c r="I910" s="6">
        <f t="shared" si="1656"/>
        <v>2698.6259559999999</v>
      </c>
      <c r="J910" s="6">
        <f t="shared" si="1656"/>
        <v>427.265648</v>
      </c>
      <c r="K910" s="6">
        <f t="shared" si="1656"/>
        <v>655.00630000000001</v>
      </c>
      <c r="L910" s="6">
        <f t="shared" si="1656"/>
        <v>344.63408400000003</v>
      </c>
      <c r="M910" s="6">
        <f t="shared" si="1656"/>
        <v>524.00504000000001</v>
      </c>
      <c r="N910" s="6">
        <f t="shared" si="1656"/>
        <v>2684.5181280000002</v>
      </c>
      <c r="O910" s="6">
        <f t="shared" si="1656"/>
        <v>380.91135600000001</v>
      </c>
      <c r="P910" s="6">
        <f t="shared" ref="P910" si="1657">$C909*P909</f>
        <v>0</v>
      </c>
      <c r="Q910" s="6">
        <f t="shared" ref="Q910" si="1658">$C909*Q909</f>
        <v>777.94594400000005</v>
      </c>
      <c r="R910" s="6">
        <f t="shared" ref="R910:AB910" si="1659">$C909*R909</f>
        <v>382.92676</v>
      </c>
      <c r="S910" s="6">
        <f t="shared" si="1659"/>
        <v>84.646968000000001</v>
      </c>
      <c r="T910" s="6">
        <f t="shared" si="1659"/>
        <v>1088.31816</v>
      </c>
      <c r="U910" s="6">
        <f t="shared" si="1659"/>
        <v>358.74191200000001</v>
      </c>
      <c r="V910" s="6">
        <f t="shared" si="1659"/>
        <v>739.65326800000014</v>
      </c>
      <c r="W910" s="6">
        <f t="shared" si="1659"/>
        <v>951.27068800000006</v>
      </c>
      <c r="X910" s="6">
        <f t="shared" si="1659"/>
        <v>1287.8431560000001</v>
      </c>
      <c r="Y910" s="6">
        <f t="shared" si="1659"/>
        <v>52.400503999999998</v>
      </c>
      <c r="Z910" s="6">
        <f t="shared" si="1659"/>
        <v>0</v>
      </c>
      <c r="AA910" s="6">
        <f t="shared" si="1659"/>
        <v>16.123232000000002</v>
      </c>
      <c r="AB910" s="6">
        <f t="shared" si="1659"/>
        <v>0</v>
      </c>
      <c r="AC910" s="67"/>
      <c r="AD910" s="55"/>
    </row>
    <row r="911" spans="1:30" s="52" customFormat="1">
      <c r="A911" s="96" t="s">
        <v>456</v>
      </c>
      <c r="B911" s="75">
        <f>483697/2</f>
        <v>241848.5</v>
      </c>
      <c r="C911" s="242">
        <f t="shared" si="1641"/>
        <v>20154.04</v>
      </c>
      <c r="D911" s="5"/>
      <c r="E911" s="5"/>
      <c r="F911" s="5"/>
      <c r="G911" s="5"/>
      <c r="H911" s="5"/>
      <c r="I911" s="5"/>
      <c r="J911" s="5"/>
      <c r="K911" s="5"/>
      <c r="L911" s="5"/>
      <c r="M911" s="5">
        <v>1</v>
      </c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67"/>
      <c r="AD911" s="55"/>
    </row>
    <row r="912" spans="1:30" s="52" customFormat="1">
      <c r="A912" s="97"/>
      <c r="B912" s="12"/>
      <c r="C912" s="242"/>
      <c r="D912" s="6">
        <f t="shared" ref="D912" si="1660">$C911*D911</f>
        <v>0</v>
      </c>
      <c r="E912" s="6">
        <f t="shared" ref="E912" si="1661">$C911*E911</f>
        <v>0</v>
      </c>
      <c r="F912" s="6">
        <f t="shared" ref="F912:O912" si="1662">$C911*F911</f>
        <v>0</v>
      </c>
      <c r="G912" s="6">
        <f t="shared" si="1662"/>
        <v>0</v>
      </c>
      <c r="H912" s="6">
        <f t="shared" si="1662"/>
        <v>0</v>
      </c>
      <c r="I912" s="6">
        <f t="shared" si="1662"/>
        <v>0</v>
      </c>
      <c r="J912" s="6">
        <f t="shared" si="1662"/>
        <v>0</v>
      </c>
      <c r="K912" s="6">
        <f t="shared" si="1662"/>
        <v>0</v>
      </c>
      <c r="L912" s="6">
        <f t="shared" si="1662"/>
        <v>0</v>
      </c>
      <c r="M912" s="6">
        <f t="shared" si="1662"/>
        <v>20154.04</v>
      </c>
      <c r="N912" s="6">
        <f t="shared" si="1662"/>
        <v>0</v>
      </c>
      <c r="O912" s="6">
        <f t="shared" si="1662"/>
        <v>0</v>
      </c>
      <c r="P912" s="6">
        <f t="shared" ref="P912" si="1663">$C911*P911</f>
        <v>0</v>
      </c>
      <c r="Q912" s="6">
        <f t="shared" ref="Q912" si="1664">$C911*Q911</f>
        <v>0</v>
      </c>
      <c r="R912" s="6">
        <f t="shared" ref="R912:AB912" si="1665">$C911*R911</f>
        <v>0</v>
      </c>
      <c r="S912" s="6">
        <f t="shared" si="1665"/>
        <v>0</v>
      </c>
      <c r="T912" s="6">
        <f t="shared" si="1665"/>
        <v>0</v>
      </c>
      <c r="U912" s="6">
        <f t="shared" si="1665"/>
        <v>0</v>
      </c>
      <c r="V912" s="6">
        <f t="shared" si="1665"/>
        <v>0</v>
      </c>
      <c r="W912" s="6">
        <f t="shared" si="1665"/>
        <v>0</v>
      </c>
      <c r="X912" s="6">
        <f t="shared" si="1665"/>
        <v>0</v>
      </c>
      <c r="Y912" s="6">
        <f t="shared" si="1665"/>
        <v>0</v>
      </c>
      <c r="Z912" s="6">
        <f t="shared" si="1665"/>
        <v>0</v>
      </c>
      <c r="AA912" s="6">
        <f t="shared" si="1665"/>
        <v>0</v>
      </c>
      <c r="AB912" s="6">
        <f t="shared" si="1665"/>
        <v>0</v>
      </c>
      <c r="AC912" s="67"/>
      <c r="AD912" s="55"/>
    </row>
    <row r="913" spans="1:30" s="52" customFormat="1">
      <c r="A913" s="96" t="s">
        <v>153</v>
      </c>
      <c r="B913" s="168">
        <v>1035272</v>
      </c>
      <c r="C913" s="242">
        <f t="shared" si="1641"/>
        <v>86272.67</v>
      </c>
      <c r="D913" s="5"/>
      <c r="E913" s="5"/>
      <c r="F913" s="5"/>
      <c r="G913" s="5"/>
      <c r="H913" s="5"/>
      <c r="I913" s="5"/>
      <c r="J913" s="5"/>
      <c r="K913" s="5"/>
      <c r="L913" s="5"/>
      <c r="M913" s="5">
        <v>0.97060000000000002</v>
      </c>
      <c r="N913" s="5"/>
      <c r="O913" s="5"/>
      <c r="P913" s="5"/>
      <c r="Q913" s="5"/>
      <c r="R913" s="5"/>
      <c r="S913" s="5"/>
      <c r="T913" s="5">
        <v>2.9399999999999999E-2</v>
      </c>
      <c r="U913" s="5"/>
      <c r="V913" s="5"/>
      <c r="W913" s="5"/>
      <c r="X913" s="5"/>
      <c r="Y913" s="5"/>
      <c r="Z913" s="5"/>
      <c r="AA913" s="5"/>
      <c r="AB913" s="5"/>
      <c r="AC913" s="67"/>
      <c r="AD913" s="55"/>
    </row>
    <row r="914" spans="1:30" s="52" customFormat="1">
      <c r="A914" s="97"/>
      <c r="B914" s="12"/>
      <c r="C914" s="242"/>
      <c r="D914" s="6">
        <f t="shared" ref="D914" si="1666">$C913*D913</f>
        <v>0</v>
      </c>
      <c r="E914" s="6">
        <f t="shared" ref="E914" si="1667">$C913*E913</f>
        <v>0</v>
      </c>
      <c r="F914" s="6">
        <f t="shared" ref="F914:AB914" si="1668">$C913*F913</f>
        <v>0</v>
      </c>
      <c r="G914" s="6">
        <f t="shared" si="1668"/>
        <v>0</v>
      </c>
      <c r="H914" s="6">
        <f t="shared" si="1668"/>
        <v>0</v>
      </c>
      <c r="I914" s="6">
        <f t="shared" si="1668"/>
        <v>0</v>
      </c>
      <c r="J914" s="6">
        <f t="shared" si="1668"/>
        <v>0</v>
      </c>
      <c r="K914" s="6">
        <f t="shared" si="1668"/>
        <v>0</v>
      </c>
      <c r="L914" s="6">
        <f t="shared" si="1668"/>
        <v>0</v>
      </c>
      <c r="M914" s="6">
        <f t="shared" si="1668"/>
        <v>83736.253502000007</v>
      </c>
      <c r="N914" s="6">
        <f t="shared" si="1668"/>
        <v>0</v>
      </c>
      <c r="O914" s="6">
        <f t="shared" si="1668"/>
        <v>0</v>
      </c>
      <c r="P914" s="6">
        <f t="shared" si="1668"/>
        <v>0</v>
      </c>
      <c r="Q914" s="6">
        <f t="shared" si="1668"/>
        <v>0</v>
      </c>
      <c r="R914" s="6">
        <f t="shared" si="1668"/>
        <v>0</v>
      </c>
      <c r="S914" s="6">
        <f t="shared" si="1668"/>
        <v>0</v>
      </c>
      <c r="T914" s="6">
        <f t="shared" si="1668"/>
        <v>2536.416498</v>
      </c>
      <c r="U914" s="6">
        <f t="shared" si="1668"/>
        <v>0</v>
      </c>
      <c r="V914" s="6">
        <f t="shared" si="1668"/>
        <v>0</v>
      </c>
      <c r="W914" s="6">
        <f t="shared" si="1668"/>
        <v>0</v>
      </c>
      <c r="X914" s="6">
        <f t="shared" si="1668"/>
        <v>0</v>
      </c>
      <c r="Y914" s="6">
        <f t="shared" si="1668"/>
        <v>0</v>
      </c>
      <c r="Z914" s="6">
        <f t="shared" si="1668"/>
        <v>0</v>
      </c>
      <c r="AA914" s="6">
        <f t="shared" si="1668"/>
        <v>0</v>
      </c>
      <c r="AB914" s="6">
        <f t="shared" si="1668"/>
        <v>0</v>
      </c>
      <c r="AC914" s="67"/>
      <c r="AD914" s="55"/>
    </row>
    <row r="915" spans="1:30" s="52" customFormat="1">
      <c r="A915" s="99" t="s">
        <v>240</v>
      </c>
      <c r="B915" s="168">
        <v>699253</v>
      </c>
      <c r="C915" s="242">
        <f t="shared" si="1641"/>
        <v>58271.08</v>
      </c>
      <c r="D915" s="40"/>
      <c r="E915" s="40"/>
      <c r="F915" s="40"/>
      <c r="G915" s="40"/>
      <c r="H915" s="40"/>
      <c r="I915" s="40"/>
      <c r="J915" s="40"/>
      <c r="K915" s="40"/>
      <c r="L915" s="40"/>
      <c r="M915" s="40">
        <v>0.72060000000000002</v>
      </c>
      <c r="N915" s="40"/>
      <c r="O915" s="40"/>
      <c r="P915" s="40"/>
      <c r="Q915" s="40"/>
      <c r="R915" s="40"/>
      <c r="S915" s="40"/>
      <c r="T915" s="40">
        <v>0.27939999999999998</v>
      </c>
      <c r="U915" s="40"/>
      <c r="V915" s="40"/>
      <c r="W915" s="40"/>
      <c r="X915" s="40"/>
      <c r="Y915" s="40"/>
      <c r="Z915" s="40"/>
      <c r="AA915" s="40"/>
      <c r="AB915" s="40"/>
      <c r="AC915" s="67"/>
      <c r="AD915" s="55"/>
    </row>
    <row r="916" spans="1:30" s="52" customFormat="1">
      <c r="A916" s="100"/>
      <c r="B916" s="32"/>
      <c r="C916" s="242"/>
      <c r="D916" s="39">
        <f t="shared" ref="D916" si="1669">$C915*D915</f>
        <v>0</v>
      </c>
      <c r="E916" s="39">
        <f t="shared" ref="E916" si="1670">$C915*E915</f>
        <v>0</v>
      </c>
      <c r="F916" s="39">
        <f t="shared" ref="F916:AB916" si="1671">$C915*F915</f>
        <v>0</v>
      </c>
      <c r="G916" s="39">
        <f t="shared" si="1671"/>
        <v>0</v>
      </c>
      <c r="H916" s="39">
        <f t="shared" si="1671"/>
        <v>0</v>
      </c>
      <c r="I916" s="39">
        <f t="shared" si="1671"/>
        <v>0</v>
      </c>
      <c r="J916" s="39">
        <f t="shared" si="1671"/>
        <v>0</v>
      </c>
      <c r="K916" s="39">
        <f t="shared" si="1671"/>
        <v>0</v>
      </c>
      <c r="L916" s="39">
        <f t="shared" si="1671"/>
        <v>0</v>
      </c>
      <c r="M916" s="39">
        <f t="shared" si="1671"/>
        <v>41990.140248000003</v>
      </c>
      <c r="N916" s="39">
        <f t="shared" si="1671"/>
        <v>0</v>
      </c>
      <c r="O916" s="39">
        <f t="shared" si="1671"/>
        <v>0</v>
      </c>
      <c r="P916" s="39">
        <f t="shared" si="1671"/>
        <v>0</v>
      </c>
      <c r="Q916" s="39">
        <f t="shared" si="1671"/>
        <v>0</v>
      </c>
      <c r="R916" s="39">
        <f t="shared" si="1671"/>
        <v>0</v>
      </c>
      <c r="S916" s="39">
        <f t="shared" si="1671"/>
        <v>0</v>
      </c>
      <c r="T916" s="39">
        <f t="shared" si="1671"/>
        <v>16280.939752</v>
      </c>
      <c r="U916" s="39">
        <f t="shared" si="1671"/>
        <v>0</v>
      </c>
      <c r="V916" s="39">
        <f t="shared" si="1671"/>
        <v>0</v>
      </c>
      <c r="W916" s="39">
        <f t="shared" si="1671"/>
        <v>0</v>
      </c>
      <c r="X916" s="39">
        <f t="shared" si="1671"/>
        <v>0</v>
      </c>
      <c r="Y916" s="39">
        <f t="shared" si="1671"/>
        <v>0</v>
      </c>
      <c r="Z916" s="39">
        <f t="shared" si="1671"/>
        <v>0</v>
      </c>
      <c r="AA916" s="39">
        <f t="shared" si="1671"/>
        <v>0</v>
      </c>
      <c r="AB916" s="39">
        <f t="shared" si="1671"/>
        <v>0</v>
      </c>
      <c r="AC916" s="67"/>
      <c r="AD916" s="55"/>
    </row>
    <row r="917" spans="1:30" s="52" customFormat="1">
      <c r="A917" s="99" t="s">
        <v>531</v>
      </c>
      <c r="B917" s="168">
        <v>646408</v>
      </c>
      <c r="C917" s="242">
        <f t="shared" si="1641"/>
        <v>53867.33</v>
      </c>
      <c r="D917" s="40">
        <v>8.0100000000000005E-2</v>
      </c>
      <c r="E917" s="40"/>
      <c r="F917" s="40"/>
      <c r="G917" s="40"/>
      <c r="H917" s="40">
        <v>1.9400000000000001E-2</v>
      </c>
      <c r="I917" s="40"/>
      <c r="J917" s="40"/>
      <c r="K917" s="40"/>
      <c r="L917" s="40"/>
      <c r="M917" s="40">
        <v>0.12989999999999999</v>
      </c>
      <c r="N917" s="40"/>
      <c r="O917" s="40"/>
      <c r="P917" s="40"/>
      <c r="Q917" s="40">
        <v>0.13850000000000001</v>
      </c>
      <c r="R917" s="40">
        <v>5.8799999999999998E-2</v>
      </c>
      <c r="S917" s="40">
        <v>3.4500000000000003E-2</v>
      </c>
      <c r="T917" s="40">
        <v>0.1762</v>
      </c>
      <c r="U917" s="40"/>
      <c r="V917" s="40"/>
      <c r="W917" s="40">
        <v>0.14849999999999999</v>
      </c>
      <c r="X917" s="40">
        <v>0.2079</v>
      </c>
      <c r="Y917" s="40">
        <v>6.1999999999999998E-3</v>
      </c>
      <c r="Z917" s="40"/>
      <c r="AA917" s="40"/>
      <c r="AB917" s="40"/>
      <c r="AC917" s="67"/>
      <c r="AD917" s="55"/>
    </row>
    <row r="918" spans="1:30" s="52" customFormat="1">
      <c r="A918" s="100"/>
      <c r="B918" s="32"/>
      <c r="C918" s="236"/>
      <c r="D918" s="39">
        <f t="shared" ref="D918" si="1672">$C917*D917</f>
        <v>4314.7731330000006</v>
      </c>
      <c r="E918" s="39">
        <f t="shared" ref="E918" si="1673">$C917*E917</f>
        <v>0</v>
      </c>
      <c r="F918" s="39">
        <f t="shared" ref="F918:AB918" si="1674">$C917*F917</f>
        <v>0</v>
      </c>
      <c r="G918" s="39">
        <f t="shared" si="1674"/>
        <v>0</v>
      </c>
      <c r="H918" s="39">
        <f t="shared" si="1674"/>
        <v>1045.026202</v>
      </c>
      <c r="I918" s="39">
        <f t="shared" si="1674"/>
        <v>0</v>
      </c>
      <c r="J918" s="39">
        <f t="shared" si="1674"/>
        <v>0</v>
      </c>
      <c r="K918" s="39">
        <f t="shared" si="1674"/>
        <v>0</v>
      </c>
      <c r="L918" s="39">
        <f t="shared" si="1674"/>
        <v>0</v>
      </c>
      <c r="M918" s="39">
        <f t="shared" si="1674"/>
        <v>6997.3661669999992</v>
      </c>
      <c r="N918" s="39">
        <f t="shared" si="1674"/>
        <v>0</v>
      </c>
      <c r="O918" s="39">
        <f t="shared" si="1674"/>
        <v>0</v>
      </c>
      <c r="P918" s="39">
        <f t="shared" si="1674"/>
        <v>0</v>
      </c>
      <c r="Q918" s="39">
        <f t="shared" si="1674"/>
        <v>7460.6252050000012</v>
      </c>
      <c r="R918" s="39">
        <f t="shared" si="1674"/>
        <v>3167.3990039999999</v>
      </c>
      <c r="S918" s="39">
        <f t="shared" si="1674"/>
        <v>1858.4228850000002</v>
      </c>
      <c r="T918" s="39">
        <f t="shared" si="1674"/>
        <v>9491.423546</v>
      </c>
      <c r="U918" s="39">
        <f t="shared" si="1674"/>
        <v>0</v>
      </c>
      <c r="V918" s="39">
        <f t="shared" si="1674"/>
        <v>0</v>
      </c>
      <c r="W918" s="39">
        <f t="shared" si="1674"/>
        <v>7999.2985049999997</v>
      </c>
      <c r="X918" s="39">
        <f t="shared" si="1674"/>
        <v>11199.017907000001</v>
      </c>
      <c r="Y918" s="39">
        <f t="shared" si="1674"/>
        <v>333.97744599999999</v>
      </c>
      <c r="Z918" s="39">
        <f t="shared" si="1674"/>
        <v>0</v>
      </c>
      <c r="AA918" s="39">
        <f t="shared" si="1674"/>
        <v>0</v>
      </c>
      <c r="AB918" s="39">
        <f t="shared" si="1674"/>
        <v>0</v>
      </c>
      <c r="AC918" s="67"/>
      <c r="AD918" s="55"/>
    </row>
    <row r="919" spans="1:30" s="52" customFormat="1">
      <c r="A919" s="16" t="s">
        <v>50</v>
      </c>
      <c r="B919" s="9">
        <f>SUM(B903:B917)</f>
        <v>4244738</v>
      </c>
      <c r="C919" s="237">
        <f>SUM(C903:C917)</f>
        <v>353728.16000000003</v>
      </c>
      <c r="D919" s="9">
        <f>D904+D906+D908+D910+D912+D914+D916+D918</f>
        <v>4813.7569150000008</v>
      </c>
      <c r="E919" s="9">
        <f t="shared" ref="E919" si="1675">E904+E906+E908+E910+E912+E914+E916+E918</f>
        <v>2875.7863440000001</v>
      </c>
      <c r="F919" s="9">
        <f t="shared" ref="F919" si="1676">F904+F906+F908+F910+F912+F914+F916+F918</f>
        <v>1210.8574080000001</v>
      </c>
      <c r="G919" s="9">
        <f t="shared" ref="G919:AB919" si="1677">G904+G906+G908+G910+G912+G914+G916+G918</f>
        <v>1690.1551320000001</v>
      </c>
      <c r="H919" s="9">
        <f t="shared" si="1677"/>
        <v>1924.990751</v>
      </c>
      <c r="I919" s="9">
        <f t="shared" si="1677"/>
        <v>2814.8230369999997</v>
      </c>
      <c r="J919" s="9">
        <f t="shared" si="1677"/>
        <v>445.66279600000001</v>
      </c>
      <c r="K919" s="9">
        <f t="shared" si="1677"/>
        <v>683.209475</v>
      </c>
      <c r="L919" s="9">
        <f t="shared" si="1677"/>
        <v>359.47329300000001</v>
      </c>
      <c r="M919" s="9">
        <f t="shared" si="1677"/>
        <v>249517.548931</v>
      </c>
      <c r="N919" s="9">
        <f t="shared" si="1677"/>
        <v>2800.1077560000003</v>
      </c>
      <c r="O919" s="9">
        <f t="shared" si="1677"/>
        <v>397.31258700000001</v>
      </c>
      <c r="P919" s="9">
        <f t="shared" si="1677"/>
        <v>0</v>
      </c>
      <c r="Q919" s="9">
        <f t="shared" si="1677"/>
        <v>8272.0678430000007</v>
      </c>
      <c r="R919" s="9">
        <f t="shared" si="1677"/>
        <v>3566.8137739999997</v>
      </c>
      <c r="S919" s="9">
        <f t="shared" si="1677"/>
        <v>1946.7145710000002</v>
      </c>
      <c r="T919" s="9">
        <f t="shared" si="1677"/>
        <v>47164.396456999995</v>
      </c>
      <c r="U919" s="9">
        <f t="shared" si="1677"/>
        <v>374.18857400000002</v>
      </c>
      <c r="V919" s="9">
        <f t="shared" si="1677"/>
        <v>784.69156900000019</v>
      </c>
      <c r="W919" s="9">
        <f t="shared" si="1677"/>
        <v>9110.6764480000002</v>
      </c>
      <c r="X919" s="9">
        <f t="shared" si="1677"/>
        <v>12568.433323000001</v>
      </c>
      <c r="Y919" s="9">
        <f t="shared" si="1677"/>
        <v>389.67555199999998</v>
      </c>
      <c r="Z919" s="9">
        <f t="shared" si="1677"/>
        <v>0</v>
      </c>
      <c r="AA919" s="9">
        <f t="shared" si="1677"/>
        <v>16.817464000000001</v>
      </c>
      <c r="AB919" s="9">
        <f t="shared" si="1677"/>
        <v>0</v>
      </c>
      <c r="AC919" s="67"/>
      <c r="AD919" s="55"/>
    </row>
    <row r="920" spans="1:30" s="52" customFormat="1">
      <c r="A920" s="87"/>
      <c r="B920" s="17"/>
      <c r="C920" s="238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67"/>
      <c r="AD920" s="55"/>
    </row>
    <row r="921" spans="1:30" s="52" customFormat="1">
      <c r="A921" s="87"/>
      <c r="B921" s="17"/>
      <c r="C921" s="238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67"/>
      <c r="AD921" s="55"/>
    </row>
    <row r="922" spans="1:30" s="52" customFormat="1" ht="13.8" thickBot="1">
      <c r="A922" s="80" t="s">
        <v>142</v>
      </c>
      <c r="B922" s="127"/>
      <c r="C922" s="234"/>
      <c r="D922" s="127"/>
      <c r="E922" s="1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67"/>
      <c r="AD922" s="55"/>
    </row>
    <row r="923" spans="1:30" s="52" customFormat="1" ht="13.8" thickBot="1">
      <c r="A923" s="113" t="s">
        <v>1</v>
      </c>
      <c r="B923" s="114" t="s">
        <v>2</v>
      </c>
      <c r="C923" s="239" t="s">
        <v>3</v>
      </c>
      <c r="D923" s="263" t="s">
        <v>4</v>
      </c>
      <c r="E923" s="264"/>
      <c r="F923" s="264"/>
      <c r="G923" s="264"/>
      <c r="H923" s="264"/>
      <c r="I923" s="264"/>
      <c r="J923" s="264"/>
      <c r="K923" s="264"/>
      <c r="L923" s="264"/>
      <c r="M923" s="264"/>
      <c r="N923" s="264"/>
      <c r="O923" s="264"/>
      <c r="P923" s="264"/>
      <c r="Q923" s="264"/>
      <c r="R923" s="264"/>
      <c r="S923" s="264"/>
      <c r="T923" s="264"/>
      <c r="U923" s="264"/>
      <c r="V923" s="264"/>
      <c r="W923" s="264"/>
      <c r="X923" s="264"/>
      <c r="Y923" s="264"/>
      <c r="Z923" s="123"/>
      <c r="AA923" s="123"/>
      <c r="AB923" s="123"/>
      <c r="AC923" s="67"/>
      <c r="AD923" s="55"/>
    </row>
    <row r="924" spans="1:30" s="52" customFormat="1">
      <c r="A924" s="115" t="s">
        <v>5</v>
      </c>
      <c r="B924" s="116" t="s">
        <v>6</v>
      </c>
      <c r="C924" s="240" t="s">
        <v>6</v>
      </c>
      <c r="D924" s="117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9"/>
      <c r="Z924" s="116" t="s">
        <v>7</v>
      </c>
      <c r="AA924" s="116"/>
      <c r="AB924" s="116"/>
      <c r="AC924" s="67"/>
      <c r="AD924" s="55"/>
    </row>
    <row r="925" spans="1:30" s="52" customFormat="1">
      <c r="A925" s="115" t="s">
        <v>8</v>
      </c>
      <c r="B925" s="116" t="s">
        <v>9</v>
      </c>
      <c r="C925" s="240" t="s">
        <v>9</v>
      </c>
      <c r="D925" s="120" t="s">
        <v>10</v>
      </c>
      <c r="E925" s="116" t="s">
        <v>11</v>
      </c>
      <c r="F925" s="116" t="s">
        <v>12</v>
      </c>
      <c r="G925" s="116" t="s">
        <v>13</v>
      </c>
      <c r="H925" s="116" t="s">
        <v>14</v>
      </c>
      <c r="I925" s="116" t="s">
        <v>15</v>
      </c>
      <c r="J925" s="116" t="s">
        <v>16</v>
      </c>
      <c r="K925" s="116" t="s">
        <v>17</v>
      </c>
      <c r="L925" s="116" t="s">
        <v>18</v>
      </c>
      <c r="M925" s="116" t="s">
        <v>19</v>
      </c>
      <c r="N925" s="116" t="s">
        <v>20</v>
      </c>
      <c r="O925" s="116" t="s">
        <v>175</v>
      </c>
      <c r="P925" s="116" t="s">
        <v>21</v>
      </c>
      <c r="Q925" s="116" t="s">
        <v>22</v>
      </c>
      <c r="R925" s="116" t="s">
        <v>23</v>
      </c>
      <c r="S925" s="116" t="s">
        <v>24</v>
      </c>
      <c r="T925" s="116" t="s">
        <v>25</v>
      </c>
      <c r="U925" s="116" t="s">
        <v>26</v>
      </c>
      <c r="V925" s="116" t="s">
        <v>27</v>
      </c>
      <c r="W925" s="116" t="s">
        <v>28</v>
      </c>
      <c r="X925" s="116" t="s">
        <v>29</v>
      </c>
      <c r="Y925" s="116" t="s">
        <v>30</v>
      </c>
      <c r="Z925" s="116" t="s">
        <v>31</v>
      </c>
      <c r="AA925" s="116" t="s">
        <v>493</v>
      </c>
      <c r="AB925" s="116" t="s">
        <v>476</v>
      </c>
      <c r="AC925" s="67"/>
      <c r="AD925" s="55"/>
    </row>
    <row r="926" spans="1:30" s="52" customFormat="1">
      <c r="A926" s="115"/>
      <c r="B926" s="116"/>
      <c r="C926" s="240" t="s">
        <v>620</v>
      </c>
      <c r="D926" s="121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67"/>
      <c r="AD926" s="55"/>
    </row>
    <row r="927" spans="1:30" s="52" customFormat="1">
      <c r="A927" s="96" t="s">
        <v>143</v>
      </c>
      <c r="B927" s="168">
        <v>2329621</v>
      </c>
      <c r="C927" s="250">
        <f>ROUND(B927/12,2)</f>
        <v>194135.08</v>
      </c>
      <c r="D927" s="40">
        <v>1.78E-2</v>
      </c>
      <c r="E927" s="40"/>
      <c r="F927" s="40"/>
      <c r="G927" s="40"/>
      <c r="H927" s="40">
        <v>0.26519999999999999</v>
      </c>
      <c r="I927" s="40"/>
      <c r="J927" s="40"/>
      <c r="K927" s="40"/>
      <c r="L927" s="40"/>
      <c r="M927" s="40">
        <v>3.2500000000000001E-2</v>
      </c>
      <c r="N927" s="40"/>
      <c r="O927" s="40"/>
      <c r="P927" s="40"/>
      <c r="Q927" s="40">
        <v>2.6700000000000002E-2</v>
      </c>
      <c r="R927" s="40">
        <v>1.1599999999999999E-2</v>
      </c>
      <c r="S927" s="40">
        <v>2.5000000000000001E-3</v>
      </c>
      <c r="T927" s="40">
        <v>4.7899999999999998E-2</v>
      </c>
      <c r="U927" s="40"/>
      <c r="V927" s="40">
        <v>0.52459999999999996</v>
      </c>
      <c r="W927" s="40">
        <v>3.2300000000000002E-2</v>
      </c>
      <c r="X927" s="40">
        <v>3.8100000000000002E-2</v>
      </c>
      <c r="Y927" s="40"/>
      <c r="Z927" s="40">
        <v>8.0000000000000004E-4</v>
      </c>
      <c r="AA927" s="40">
        <v>0</v>
      </c>
      <c r="AB927" s="40">
        <v>0</v>
      </c>
      <c r="AC927" s="67"/>
      <c r="AD927" s="55"/>
    </row>
    <row r="928" spans="1:30" s="52" customFormat="1">
      <c r="A928" s="97"/>
      <c r="B928" s="11"/>
      <c r="C928" s="250"/>
      <c r="D928" s="39">
        <f t="shared" ref="D928" si="1678">$C927*D927</f>
        <v>3455.6044239999997</v>
      </c>
      <c r="E928" s="39">
        <f t="shared" ref="E928" si="1679">$C927*E927</f>
        <v>0</v>
      </c>
      <c r="F928" s="39">
        <f t="shared" ref="F928:AB928" si="1680">$C927*F927</f>
        <v>0</v>
      </c>
      <c r="G928" s="39">
        <f t="shared" si="1680"/>
        <v>0</v>
      </c>
      <c r="H928" s="39">
        <f t="shared" si="1680"/>
        <v>51484.623215999993</v>
      </c>
      <c r="I928" s="39">
        <f t="shared" si="1680"/>
        <v>0</v>
      </c>
      <c r="J928" s="39">
        <f t="shared" si="1680"/>
        <v>0</v>
      </c>
      <c r="K928" s="39">
        <f t="shared" si="1680"/>
        <v>0</v>
      </c>
      <c r="L928" s="39">
        <f t="shared" si="1680"/>
        <v>0</v>
      </c>
      <c r="M928" s="39">
        <f t="shared" si="1680"/>
        <v>6309.3900999999996</v>
      </c>
      <c r="N928" s="39">
        <f t="shared" si="1680"/>
        <v>0</v>
      </c>
      <c r="O928" s="39">
        <f t="shared" si="1680"/>
        <v>0</v>
      </c>
      <c r="P928" s="39">
        <f t="shared" si="1680"/>
        <v>0</v>
      </c>
      <c r="Q928" s="39">
        <f t="shared" si="1680"/>
        <v>5183.4066359999997</v>
      </c>
      <c r="R928" s="39">
        <f t="shared" si="1680"/>
        <v>2251.9669279999998</v>
      </c>
      <c r="S928" s="39">
        <f t="shared" si="1680"/>
        <v>485.33769999999998</v>
      </c>
      <c r="T928" s="39">
        <f t="shared" si="1680"/>
        <v>9299.0703319999993</v>
      </c>
      <c r="U928" s="39">
        <f t="shared" si="1680"/>
        <v>0</v>
      </c>
      <c r="V928" s="39">
        <f t="shared" si="1680"/>
        <v>101843.26296799998</v>
      </c>
      <c r="W928" s="39">
        <f t="shared" si="1680"/>
        <v>6270.5630840000003</v>
      </c>
      <c r="X928" s="39">
        <f t="shared" si="1680"/>
        <v>7396.5465480000003</v>
      </c>
      <c r="Y928" s="39">
        <f t="shared" si="1680"/>
        <v>0</v>
      </c>
      <c r="Z928" s="39">
        <f t="shared" si="1680"/>
        <v>155.308064</v>
      </c>
      <c r="AA928" s="39">
        <f t="shared" si="1680"/>
        <v>0</v>
      </c>
      <c r="AB928" s="39">
        <f t="shared" si="1680"/>
        <v>0</v>
      </c>
      <c r="AC928" s="67"/>
      <c r="AD928" s="55"/>
    </row>
    <row r="929" spans="1:30" s="52" customFormat="1">
      <c r="A929" s="96" t="s">
        <v>144</v>
      </c>
      <c r="B929" s="29">
        <f>221187/2</f>
        <v>110593.5</v>
      </c>
      <c r="C929" s="250">
        <f t="shared" ref="C929:C965" si="1681">ROUND(B929/12,2)</f>
        <v>9216.1299999999992</v>
      </c>
      <c r="D929" s="170">
        <v>1.6500000000000001E-2</v>
      </c>
      <c r="E929" s="170">
        <v>0.1368</v>
      </c>
      <c r="F929" s="170">
        <v>5.7599999999999998E-2</v>
      </c>
      <c r="G929" s="170">
        <v>8.0399999999999999E-2</v>
      </c>
      <c r="H929" s="170">
        <v>4.1099999999999998E-2</v>
      </c>
      <c r="I929" s="170">
        <v>0.13389999999999999</v>
      </c>
      <c r="J929" s="170">
        <v>2.12E-2</v>
      </c>
      <c r="K929" s="170">
        <v>3.2500000000000001E-2</v>
      </c>
      <c r="L929" s="170">
        <v>1.7100000000000001E-2</v>
      </c>
      <c r="M929" s="170">
        <v>2.5999999999999999E-2</v>
      </c>
      <c r="N929" s="170">
        <v>0.13320000000000001</v>
      </c>
      <c r="O929" s="170">
        <v>1.89E-2</v>
      </c>
      <c r="P929" s="170">
        <v>0</v>
      </c>
      <c r="Q929" s="170">
        <v>3.8600000000000002E-2</v>
      </c>
      <c r="R929" s="170">
        <v>1.9E-2</v>
      </c>
      <c r="S929" s="170">
        <v>4.1999999999999997E-3</v>
      </c>
      <c r="T929" s="170">
        <v>5.3999999999999999E-2</v>
      </c>
      <c r="U929" s="170">
        <v>1.78E-2</v>
      </c>
      <c r="V929" s="170">
        <v>3.6700000000000003E-2</v>
      </c>
      <c r="W929" s="170">
        <v>4.7199999999999999E-2</v>
      </c>
      <c r="X929" s="170">
        <v>6.3899999999999998E-2</v>
      </c>
      <c r="Y929" s="170">
        <v>2.5999999999999999E-3</v>
      </c>
      <c r="Z929" s="171">
        <v>0</v>
      </c>
      <c r="AA929" s="171">
        <v>8.0000000000000004E-4</v>
      </c>
      <c r="AB929" s="171">
        <v>0</v>
      </c>
      <c r="AC929" s="67"/>
      <c r="AD929" s="55"/>
    </row>
    <row r="930" spans="1:30" s="52" customFormat="1">
      <c r="A930" s="97"/>
      <c r="B930" s="30"/>
      <c r="C930" s="250"/>
      <c r="D930" s="6">
        <f t="shared" ref="D930" si="1682">$C929*D929</f>
        <v>152.06614500000001</v>
      </c>
      <c r="E930" s="6">
        <f t="shared" ref="E930" si="1683">$C929*E929</f>
        <v>1260.766584</v>
      </c>
      <c r="F930" s="6">
        <f t="shared" ref="F930:O930" si="1684">$C929*F929</f>
        <v>530.84908799999994</v>
      </c>
      <c r="G930" s="6">
        <f t="shared" si="1684"/>
        <v>740.97685199999989</v>
      </c>
      <c r="H930" s="6">
        <f t="shared" si="1684"/>
        <v>378.78294299999993</v>
      </c>
      <c r="I930" s="6">
        <f t="shared" si="1684"/>
        <v>1234.0398069999999</v>
      </c>
      <c r="J930" s="6">
        <f t="shared" si="1684"/>
        <v>195.38195599999997</v>
      </c>
      <c r="K930" s="6">
        <f t="shared" si="1684"/>
        <v>299.524225</v>
      </c>
      <c r="L930" s="6">
        <f t="shared" si="1684"/>
        <v>157.595823</v>
      </c>
      <c r="M930" s="6">
        <f t="shared" si="1684"/>
        <v>239.61937999999998</v>
      </c>
      <c r="N930" s="6">
        <f t="shared" si="1684"/>
        <v>1227.588516</v>
      </c>
      <c r="O930" s="6">
        <f t="shared" si="1684"/>
        <v>174.18485699999999</v>
      </c>
      <c r="P930" s="6">
        <f t="shared" ref="P930" si="1685">$C929*P929</f>
        <v>0</v>
      </c>
      <c r="Q930" s="6">
        <f t="shared" ref="Q930" si="1686">$C929*Q929</f>
        <v>355.74261799999999</v>
      </c>
      <c r="R930" s="6">
        <f t="shared" ref="R930:AB930" si="1687">$C929*R929</f>
        <v>175.10646999999997</v>
      </c>
      <c r="S930" s="6">
        <f t="shared" si="1687"/>
        <v>38.707745999999993</v>
      </c>
      <c r="T930" s="6">
        <f t="shared" si="1687"/>
        <v>497.67101999999994</v>
      </c>
      <c r="U930" s="6">
        <f t="shared" si="1687"/>
        <v>164.04711399999999</v>
      </c>
      <c r="V930" s="6">
        <f t="shared" si="1687"/>
        <v>338.23197099999999</v>
      </c>
      <c r="W930" s="6">
        <f t="shared" si="1687"/>
        <v>435.00133599999992</v>
      </c>
      <c r="X930" s="6">
        <f t="shared" si="1687"/>
        <v>588.91070699999989</v>
      </c>
      <c r="Y930" s="6">
        <f t="shared" si="1687"/>
        <v>23.961937999999996</v>
      </c>
      <c r="Z930" s="6">
        <f t="shared" si="1687"/>
        <v>0</v>
      </c>
      <c r="AA930" s="6">
        <f t="shared" si="1687"/>
        <v>7.3729040000000001</v>
      </c>
      <c r="AB930" s="6">
        <f t="shared" si="1687"/>
        <v>0</v>
      </c>
      <c r="AC930" s="67"/>
      <c r="AD930" s="55"/>
    </row>
    <row r="931" spans="1:30" s="52" customFormat="1">
      <c r="A931" s="96" t="s">
        <v>457</v>
      </c>
      <c r="B931" s="29">
        <f>221187/2</f>
        <v>110593.5</v>
      </c>
      <c r="C931" s="250">
        <f t="shared" si="1681"/>
        <v>9216.1299999999992</v>
      </c>
      <c r="D931" s="5">
        <v>3.9399999999999998E-2</v>
      </c>
      <c r="E931" s="5"/>
      <c r="F931" s="5">
        <v>3.3E-3</v>
      </c>
      <c r="G931" s="5"/>
      <c r="H931" s="5">
        <v>0.34539999999999998</v>
      </c>
      <c r="I931" s="5"/>
      <c r="J931" s="5"/>
      <c r="K931" s="5"/>
      <c r="L931" s="5"/>
      <c r="M931" s="5">
        <v>0.1469</v>
      </c>
      <c r="N931" s="5">
        <v>3.0000000000000001E-3</v>
      </c>
      <c r="O931" s="5"/>
      <c r="P931" s="5"/>
      <c r="Q931" s="5">
        <v>9.4299999999999995E-2</v>
      </c>
      <c r="R931" s="5">
        <v>2.1600000000000001E-2</v>
      </c>
      <c r="S931" s="5">
        <v>8.9999999999999993E-3</v>
      </c>
      <c r="T931" s="5">
        <v>0.1052</v>
      </c>
      <c r="U931" s="5"/>
      <c r="V931" s="5">
        <v>2.4400000000000002E-2</v>
      </c>
      <c r="W931" s="5">
        <v>5.5E-2</v>
      </c>
      <c r="X931" s="5">
        <v>0.14710000000000001</v>
      </c>
      <c r="Y931" s="5">
        <v>5.4000000000000003E-3</v>
      </c>
      <c r="Z931" s="5"/>
      <c r="AA931" s="5"/>
      <c r="AB931" s="5"/>
      <c r="AC931" s="67"/>
      <c r="AD931" s="55"/>
    </row>
    <row r="932" spans="1:30" s="52" customFormat="1">
      <c r="A932" s="97"/>
      <c r="B932" s="12"/>
      <c r="C932" s="250"/>
      <c r="D932" s="6">
        <f t="shared" ref="D932" si="1688">$C931*D931</f>
        <v>363.11552199999994</v>
      </c>
      <c r="E932" s="6">
        <f t="shared" ref="E932" si="1689">$C931*E931</f>
        <v>0</v>
      </c>
      <c r="F932" s="6">
        <f t="shared" ref="F932:O932" si="1690">$C931*F931</f>
        <v>30.413228999999998</v>
      </c>
      <c r="G932" s="6">
        <f t="shared" si="1690"/>
        <v>0</v>
      </c>
      <c r="H932" s="6">
        <f t="shared" si="1690"/>
        <v>3183.2513019999997</v>
      </c>
      <c r="I932" s="6">
        <f t="shared" si="1690"/>
        <v>0</v>
      </c>
      <c r="J932" s="6">
        <f t="shared" si="1690"/>
        <v>0</v>
      </c>
      <c r="K932" s="6">
        <f t="shared" si="1690"/>
        <v>0</v>
      </c>
      <c r="L932" s="6">
        <f t="shared" si="1690"/>
        <v>0</v>
      </c>
      <c r="M932" s="6">
        <f t="shared" si="1690"/>
        <v>1353.8494969999999</v>
      </c>
      <c r="N932" s="6">
        <f t="shared" si="1690"/>
        <v>27.648389999999999</v>
      </c>
      <c r="O932" s="6">
        <f t="shared" si="1690"/>
        <v>0</v>
      </c>
      <c r="P932" s="6">
        <f t="shared" ref="P932" si="1691">$C931*P931</f>
        <v>0</v>
      </c>
      <c r="Q932" s="6">
        <f t="shared" ref="Q932" si="1692">$C931*Q931</f>
        <v>869.08105899999987</v>
      </c>
      <c r="R932" s="6">
        <f t="shared" ref="R932:AB932" si="1693">$C931*R931</f>
        <v>199.06840800000001</v>
      </c>
      <c r="S932" s="6">
        <f t="shared" si="1693"/>
        <v>82.94516999999999</v>
      </c>
      <c r="T932" s="6">
        <f t="shared" si="1693"/>
        <v>969.53687599999989</v>
      </c>
      <c r="U932" s="6">
        <f t="shared" si="1693"/>
        <v>0</v>
      </c>
      <c r="V932" s="6">
        <f t="shared" si="1693"/>
        <v>224.873572</v>
      </c>
      <c r="W932" s="6">
        <f t="shared" si="1693"/>
        <v>506.88714999999996</v>
      </c>
      <c r="X932" s="6">
        <f t="shared" si="1693"/>
        <v>1355.6927229999999</v>
      </c>
      <c r="Y932" s="6">
        <f t="shared" si="1693"/>
        <v>49.767102000000001</v>
      </c>
      <c r="Z932" s="6">
        <f t="shared" si="1693"/>
        <v>0</v>
      </c>
      <c r="AA932" s="6">
        <f t="shared" si="1693"/>
        <v>0</v>
      </c>
      <c r="AB932" s="6">
        <f t="shared" si="1693"/>
        <v>0</v>
      </c>
      <c r="AC932" s="67"/>
      <c r="AD932" s="55"/>
    </row>
    <row r="933" spans="1:30" s="52" customFormat="1">
      <c r="A933" s="96" t="s">
        <v>145</v>
      </c>
      <c r="B933" s="29">
        <f>221187/2</f>
        <v>110593.5</v>
      </c>
      <c r="C933" s="250">
        <f t="shared" si="1681"/>
        <v>9216.1299999999992</v>
      </c>
      <c r="D933" s="170">
        <v>1.6500000000000001E-2</v>
      </c>
      <c r="E933" s="170">
        <v>0.1368</v>
      </c>
      <c r="F933" s="170">
        <v>5.7599999999999998E-2</v>
      </c>
      <c r="G933" s="170">
        <v>8.0399999999999999E-2</v>
      </c>
      <c r="H933" s="170">
        <v>4.1099999999999998E-2</v>
      </c>
      <c r="I933" s="170">
        <v>0.13389999999999999</v>
      </c>
      <c r="J933" s="170">
        <v>2.12E-2</v>
      </c>
      <c r="K933" s="170">
        <v>3.2500000000000001E-2</v>
      </c>
      <c r="L933" s="170">
        <v>1.7100000000000001E-2</v>
      </c>
      <c r="M933" s="170">
        <v>2.5999999999999999E-2</v>
      </c>
      <c r="N933" s="170">
        <v>0.13320000000000001</v>
      </c>
      <c r="O933" s="170">
        <v>1.89E-2</v>
      </c>
      <c r="P933" s="170">
        <v>0</v>
      </c>
      <c r="Q933" s="170">
        <v>3.8600000000000002E-2</v>
      </c>
      <c r="R933" s="170">
        <v>1.9E-2</v>
      </c>
      <c r="S933" s="170">
        <v>4.1999999999999997E-3</v>
      </c>
      <c r="T933" s="170">
        <v>5.3999999999999999E-2</v>
      </c>
      <c r="U933" s="170">
        <v>1.78E-2</v>
      </c>
      <c r="V933" s="170">
        <v>3.6700000000000003E-2</v>
      </c>
      <c r="W933" s="170">
        <v>4.7199999999999999E-2</v>
      </c>
      <c r="X933" s="170">
        <v>6.3899999999999998E-2</v>
      </c>
      <c r="Y933" s="170">
        <v>2.5999999999999999E-3</v>
      </c>
      <c r="Z933" s="171">
        <v>0</v>
      </c>
      <c r="AA933" s="171">
        <v>8.0000000000000004E-4</v>
      </c>
      <c r="AB933" s="171">
        <v>0</v>
      </c>
      <c r="AC933" s="67"/>
      <c r="AD933" s="55"/>
    </row>
    <row r="934" spans="1:30" s="52" customFormat="1">
      <c r="A934" s="97"/>
      <c r="B934" s="30"/>
      <c r="C934" s="250"/>
      <c r="D934" s="6">
        <f t="shared" ref="D934" si="1694">$C933*D933</f>
        <v>152.06614500000001</v>
      </c>
      <c r="E934" s="6">
        <f t="shared" ref="E934" si="1695">$C933*E933</f>
        <v>1260.766584</v>
      </c>
      <c r="F934" s="6">
        <f t="shared" ref="F934:O934" si="1696">$C933*F933</f>
        <v>530.84908799999994</v>
      </c>
      <c r="G934" s="6">
        <f t="shared" si="1696"/>
        <v>740.97685199999989</v>
      </c>
      <c r="H934" s="6">
        <f t="shared" si="1696"/>
        <v>378.78294299999993</v>
      </c>
      <c r="I934" s="6">
        <f t="shared" si="1696"/>
        <v>1234.0398069999999</v>
      </c>
      <c r="J934" s="6">
        <f t="shared" si="1696"/>
        <v>195.38195599999997</v>
      </c>
      <c r="K934" s="6">
        <f t="shared" si="1696"/>
        <v>299.524225</v>
      </c>
      <c r="L934" s="6">
        <f t="shared" si="1696"/>
        <v>157.595823</v>
      </c>
      <c r="M934" s="6">
        <f t="shared" si="1696"/>
        <v>239.61937999999998</v>
      </c>
      <c r="N934" s="6">
        <f t="shared" si="1696"/>
        <v>1227.588516</v>
      </c>
      <c r="O934" s="6">
        <f t="shared" si="1696"/>
        <v>174.18485699999999</v>
      </c>
      <c r="P934" s="6">
        <f t="shared" ref="P934" si="1697">$C933*P933</f>
        <v>0</v>
      </c>
      <c r="Q934" s="6">
        <f t="shared" ref="Q934" si="1698">$C933*Q933</f>
        <v>355.74261799999999</v>
      </c>
      <c r="R934" s="6">
        <f t="shared" ref="R934:AB934" si="1699">$C933*R933</f>
        <v>175.10646999999997</v>
      </c>
      <c r="S934" s="6">
        <f t="shared" si="1699"/>
        <v>38.707745999999993</v>
      </c>
      <c r="T934" s="6">
        <f t="shared" si="1699"/>
        <v>497.67101999999994</v>
      </c>
      <c r="U934" s="6">
        <f t="shared" si="1699"/>
        <v>164.04711399999999</v>
      </c>
      <c r="V934" s="6">
        <f t="shared" si="1699"/>
        <v>338.23197099999999</v>
      </c>
      <c r="W934" s="6">
        <f t="shared" si="1699"/>
        <v>435.00133599999992</v>
      </c>
      <c r="X934" s="6">
        <f t="shared" si="1699"/>
        <v>588.91070699999989</v>
      </c>
      <c r="Y934" s="6">
        <f t="shared" si="1699"/>
        <v>23.961937999999996</v>
      </c>
      <c r="Z934" s="6">
        <f t="shared" si="1699"/>
        <v>0</v>
      </c>
      <c r="AA934" s="6">
        <f t="shared" si="1699"/>
        <v>7.3729040000000001</v>
      </c>
      <c r="AB934" s="6">
        <f t="shared" si="1699"/>
        <v>0</v>
      </c>
      <c r="AC934" s="67"/>
      <c r="AD934" s="55"/>
    </row>
    <row r="935" spans="1:30" s="52" customFormat="1">
      <c r="A935" s="96" t="s">
        <v>458</v>
      </c>
      <c r="B935" s="29">
        <f>221187/2</f>
        <v>110593.5</v>
      </c>
      <c r="C935" s="250">
        <f t="shared" si="1681"/>
        <v>9216.1299999999992</v>
      </c>
      <c r="D935" s="5">
        <v>3.9399999999999998E-2</v>
      </c>
      <c r="E935" s="5"/>
      <c r="F935" s="5">
        <v>3.3E-3</v>
      </c>
      <c r="G935" s="5"/>
      <c r="H935" s="5">
        <v>0.34539999999999998</v>
      </c>
      <c r="I935" s="5"/>
      <c r="J935" s="5"/>
      <c r="K935" s="5"/>
      <c r="L935" s="5"/>
      <c r="M935" s="5">
        <v>0.1469</v>
      </c>
      <c r="N935" s="5">
        <v>3.0000000000000001E-3</v>
      </c>
      <c r="O935" s="5"/>
      <c r="P935" s="5"/>
      <c r="Q935" s="5">
        <v>9.4299999999999995E-2</v>
      </c>
      <c r="R935" s="5">
        <v>2.1600000000000001E-2</v>
      </c>
      <c r="S935" s="5">
        <v>8.9999999999999993E-3</v>
      </c>
      <c r="T935" s="5">
        <v>0.1052</v>
      </c>
      <c r="U935" s="5"/>
      <c r="V935" s="5">
        <v>2.4400000000000002E-2</v>
      </c>
      <c r="W935" s="5">
        <v>5.5E-2</v>
      </c>
      <c r="X935" s="5">
        <v>0.14710000000000001</v>
      </c>
      <c r="Y935" s="5">
        <v>5.4000000000000003E-3</v>
      </c>
      <c r="Z935" s="5"/>
      <c r="AA935" s="5"/>
      <c r="AB935" s="5"/>
      <c r="AC935" s="67"/>
      <c r="AD935" s="55"/>
    </row>
    <row r="936" spans="1:30" s="52" customFormat="1">
      <c r="A936" s="97"/>
      <c r="B936" s="12"/>
      <c r="C936" s="250"/>
      <c r="D936" s="6">
        <f t="shared" ref="D936" si="1700">$C935*D935</f>
        <v>363.11552199999994</v>
      </c>
      <c r="E936" s="6">
        <f t="shared" ref="E936" si="1701">$C935*E935</f>
        <v>0</v>
      </c>
      <c r="F936" s="6">
        <f t="shared" ref="F936:O936" si="1702">$C935*F935</f>
        <v>30.413228999999998</v>
      </c>
      <c r="G936" s="6">
        <f t="shared" si="1702"/>
        <v>0</v>
      </c>
      <c r="H936" s="6">
        <f t="shared" si="1702"/>
        <v>3183.2513019999997</v>
      </c>
      <c r="I936" s="6">
        <f t="shared" si="1702"/>
        <v>0</v>
      </c>
      <c r="J936" s="6">
        <f t="shared" si="1702"/>
        <v>0</v>
      </c>
      <c r="K936" s="6">
        <f t="shared" si="1702"/>
        <v>0</v>
      </c>
      <c r="L936" s="6">
        <f t="shared" si="1702"/>
        <v>0</v>
      </c>
      <c r="M936" s="6">
        <f t="shared" si="1702"/>
        <v>1353.8494969999999</v>
      </c>
      <c r="N936" s="6">
        <f t="shared" si="1702"/>
        <v>27.648389999999999</v>
      </c>
      <c r="O936" s="6">
        <f t="shared" si="1702"/>
        <v>0</v>
      </c>
      <c r="P936" s="6">
        <f t="shared" ref="P936" si="1703">$C935*P935</f>
        <v>0</v>
      </c>
      <c r="Q936" s="6">
        <f t="shared" ref="Q936" si="1704">$C935*Q935</f>
        <v>869.08105899999987</v>
      </c>
      <c r="R936" s="6">
        <f t="shared" ref="R936:AB936" si="1705">$C935*R935</f>
        <v>199.06840800000001</v>
      </c>
      <c r="S936" s="6">
        <f t="shared" si="1705"/>
        <v>82.94516999999999</v>
      </c>
      <c r="T936" s="6">
        <f t="shared" si="1705"/>
        <v>969.53687599999989</v>
      </c>
      <c r="U936" s="6">
        <f t="shared" si="1705"/>
        <v>0</v>
      </c>
      <c r="V936" s="6">
        <f t="shared" si="1705"/>
        <v>224.873572</v>
      </c>
      <c r="W936" s="6">
        <f t="shared" si="1705"/>
        <v>506.88714999999996</v>
      </c>
      <c r="X936" s="6">
        <f t="shared" si="1705"/>
        <v>1355.6927229999999</v>
      </c>
      <c r="Y936" s="6">
        <f t="shared" si="1705"/>
        <v>49.767102000000001</v>
      </c>
      <c r="Z936" s="6">
        <f t="shared" si="1705"/>
        <v>0</v>
      </c>
      <c r="AA936" s="6">
        <f t="shared" si="1705"/>
        <v>0</v>
      </c>
      <c r="AB936" s="6">
        <f t="shared" si="1705"/>
        <v>0</v>
      </c>
      <c r="AC936" s="67"/>
      <c r="AD936" s="55"/>
    </row>
    <row r="937" spans="1:30" s="52" customFormat="1">
      <c r="A937" s="96" t="s">
        <v>146</v>
      </c>
      <c r="B937" s="29">
        <f>221187/2</f>
        <v>110593.5</v>
      </c>
      <c r="C937" s="250">
        <f t="shared" si="1681"/>
        <v>9216.1299999999992</v>
      </c>
      <c r="D937" s="170">
        <v>1.6500000000000001E-2</v>
      </c>
      <c r="E937" s="170">
        <v>0.1368</v>
      </c>
      <c r="F937" s="170">
        <v>5.7599999999999998E-2</v>
      </c>
      <c r="G937" s="170">
        <v>8.0399999999999999E-2</v>
      </c>
      <c r="H937" s="170">
        <v>4.1099999999999998E-2</v>
      </c>
      <c r="I937" s="170">
        <v>0.13389999999999999</v>
      </c>
      <c r="J937" s="170">
        <v>2.12E-2</v>
      </c>
      <c r="K937" s="170">
        <v>3.2500000000000001E-2</v>
      </c>
      <c r="L937" s="170">
        <v>1.7100000000000001E-2</v>
      </c>
      <c r="M937" s="170">
        <v>2.5999999999999999E-2</v>
      </c>
      <c r="N937" s="170">
        <v>0.13320000000000001</v>
      </c>
      <c r="O937" s="170">
        <v>1.89E-2</v>
      </c>
      <c r="P937" s="170">
        <v>0</v>
      </c>
      <c r="Q937" s="170">
        <v>3.8600000000000002E-2</v>
      </c>
      <c r="R937" s="170">
        <v>1.9E-2</v>
      </c>
      <c r="S937" s="170">
        <v>4.1999999999999997E-3</v>
      </c>
      <c r="T937" s="170">
        <v>5.3999999999999999E-2</v>
      </c>
      <c r="U937" s="170">
        <v>1.78E-2</v>
      </c>
      <c r="V937" s="170">
        <v>3.6700000000000003E-2</v>
      </c>
      <c r="W937" s="170">
        <v>4.7199999999999999E-2</v>
      </c>
      <c r="X937" s="170">
        <v>6.3899999999999998E-2</v>
      </c>
      <c r="Y937" s="170">
        <v>2.5999999999999999E-3</v>
      </c>
      <c r="Z937" s="171">
        <v>0</v>
      </c>
      <c r="AA937" s="171">
        <v>8.0000000000000004E-4</v>
      </c>
      <c r="AB937" s="171">
        <v>0</v>
      </c>
      <c r="AC937" s="67"/>
      <c r="AD937" s="55"/>
    </row>
    <row r="938" spans="1:30" s="52" customFormat="1">
      <c r="A938" s="97"/>
      <c r="B938" s="30"/>
      <c r="C938" s="250"/>
      <c r="D938" s="6">
        <f t="shared" ref="D938" si="1706">$C937*D937</f>
        <v>152.06614500000001</v>
      </c>
      <c r="E938" s="6">
        <f t="shared" ref="E938" si="1707">$C937*E937</f>
        <v>1260.766584</v>
      </c>
      <c r="F938" s="6">
        <f t="shared" ref="F938:O938" si="1708">$C937*F937</f>
        <v>530.84908799999994</v>
      </c>
      <c r="G938" s="6">
        <f t="shared" si="1708"/>
        <v>740.97685199999989</v>
      </c>
      <c r="H938" s="6">
        <f t="shared" si="1708"/>
        <v>378.78294299999993</v>
      </c>
      <c r="I938" s="6">
        <f t="shared" si="1708"/>
        <v>1234.0398069999999</v>
      </c>
      <c r="J938" s="6">
        <f t="shared" si="1708"/>
        <v>195.38195599999997</v>
      </c>
      <c r="K938" s="6">
        <f t="shared" si="1708"/>
        <v>299.524225</v>
      </c>
      <c r="L938" s="6">
        <f t="shared" si="1708"/>
        <v>157.595823</v>
      </c>
      <c r="M938" s="6">
        <f t="shared" si="1708"/>
        <v>239.61937999999998</v>
      </c>
      <c r="N938" s="6">
        <f t="shared" si="1708"/>
        <v>1227.588516</v>
      </c>
      <c r="O938" s="6">
        <f t="shared" si="1708"/>
        <v>174.18485699999999</v>
      </c>
      <c r="P938" s="6">
        <f t="shared" ref="P938" si="1709">$C937*P937</f>
        <v>0</v>
      </c>
      <c r="Q938" s="6">
        <f t="shared" ref="Q938" si="1710">$C937*Q937</f>
        <v>355.74261799999999</v>
      </c>
      <c r="R938" s="6">
        <f t="shared" ref="R938:AB938" si="1711">$C937*R937</f>
        <v>175.10646999999997</v>
      </c>
      <c r="S938" s="6">
        <f t="shared" si="1711"/>
        <v>38.707745999999993</v>
      </c>
      <c r="T938" s="6">
        <f t="shared" si="1711"/>
        <v>497.67101999999994</v>
      </c>
      <c r="U938" s="6">
        <f t="shared" si="1711"/>
        <v>164.04711399999999</v>
      </c>
      <c r="V938" s="6">
        <f t="shared" si="1711"/>
        <v>338.23197099999999</v>
      </c>
      <c r="W938" s="6">
        <f t="shared" si="1711"/>
        <v>435.00133599999992</v>
      </c>
      <c r="X938" s="6">
        <f t="shared" si="1711"/>
        <v>588.91070699999989</v>
      </c>
      <c r="Y938" s="6">
        <f t="shared" si="1711"/>
        <v>23.961937999999996</v>
      </c>
      <c r="Z938" s="6">
        <f t="shared" si="1711"/>
        <v>0</v>
      </c>
      <c r="AA938" s="6">
        <f t="shared" si="1711"/>
        <v>7.3729040000000001</v>
      </c>
      <c r="AB938" s="6">
        <f t="shared" si="1711"/>
        <v>0</v>
      </c>
      <c r="AC938" s="67"/>
      <c r="AD938" s="55"/>
    </row>
    <row r="939" spans="1:30" s="52" customFormat="1">
      <c r="A939" s="96" t="s">
        <v>459</v>
      </c>
      <c r="B939" s="29">
        <f>221187/2</f>
        <v>110593.5</v>
      </c>
      <c r="C939" s="250">
        <f t="shared" si="1681"/>
        <v>9216.1299999999992</v>
      </c>
      <c r="D939" s="5">
        <v>3.9399999999999998E-2</v>
      </c>
      <c r="E939" s="5"/>
      <c r="F939" s="5">
        <v>3.3E-3</v>
      </c>
      <c r="G939" s="5"/>
      <c r="H939" s="5">
        <v>0.34539999999999998</v>
      </c>
      <c r="I939" s="5"/>
      <c r="J939" s="5"/>
      <c r="K939" s="5"/>
      <c r="L939" s="5"/>
      <c r="M939" s="5">
        <v>0.1469</v>
      </c>
      <c r="N939" s="5">
        <v>3.0000000000000001E-3</v>
      </c>
      <c r="O939" s="5"/>
      <c r="P939" s="5"/>
      <c r="Q939" s="5">
        <v>9.4299999999999995E-2</v>
      </c>
      <c r="R939" s="5">
        <v>2.1600000000000001E-2</v>
      </c>
      <c r="S939" s="5">
        <v>8.9999999999999993E-3</v>
      </c>
      <c r="T939" s="5">
        <v>0.1052</v>
      </c>
      <c r="U939" s="5"/>
      <c r="V939" s="5">
        <v>2.4400000000000002E-2</v>
      </c>
      <c r="W939" s="5">
        <v>5.5E-2</v>
      </c>
      <c r="X939" s="5">
        <v>0.14710000000000001</v>
      </c>
      <c r="Y939" s="5">
        <v>5.4000000000000003E-3</v>
      </c>
      <c r="Z939" s="5"/>
      <c r="AA939" s="5"/>
      <c r="AB939" s="5"/>
      <c r="AC939" s="67"/>
      <c r="AD939" s="55"/>
    </row>
    <row r="940" spans="1:30" s="52" customFormat="1">
      <c r="A940" s="97"/>
      <c r="B940" s="12"/>
      <c r="C940" s="250"/>
      <c r="D940" s="6">
        <f t="shared" ref="D940" si="1712">$C939*D939</f>
        <v>363.11552199999994</v>
      </c>
      <c r="E940" s="6">
        <f t="shared" ref="E940" si="1713">$C939*E939</f>
        <v>0</v>
      </c>
      <c r="F940" s="6">
        <f t="shared" ref="F940:O940" si="1714">$C939*F939</f>
        <v>30.413228999999998</v>
      </c>
      <c r="G940" s="6">
        <f t="shared" si="1714"/>
        <v>0</v>
      </c>
      <c r="H940" s="6">
        <f t="shared" si="1714"/>
        <v>3183.2513019999997</v>
      </c>
      <c r="I940" s="6">
        <f t="shared" si="1714"/>
        <v>0</v>
      </c>
      <c r="J940" s="6">
        <f t="shared" si="1714"/>
        <v>0</v>
      </c>
      <c r="K940" s="6">
        <f t="shared" si="1714"/>
        <v>0</v>
      </c>
      <c r="L940" s="6">
        <f t="shared" si="1714"/>
        <v>0</v>
      </c>
      <c r="M940" s="6">
        <f t="shared" si="1714"/>
        <v>1353.8494969999999</v>
      </c>
      <c r="N940" s="6">
        <f t="shared" si="1714"/>
        <v>27.648389999999999</v>
      </c>
      <c r="O940" s="6">
        <f t="shared" si="1714"/>
        <v>0</v>
      </c>
      <c r="P940" s="6">
        <f t="shared" ref="P940" si="1715">$C939*P939</f>
        <v>0</v>
      </c>
      <c r="Q940" s="6">
        <f t="shared" ref="Q940" si="1716">$C939*Q939</f>
        <v>869.08105899999987</v>
      </c>
      <c r="R940" s="6">
        <f t="shared" ref="R940:AB940" si="1717">$C939*R939</f>
        <v>199.06840800000001</v>
      </c>
      <c r="S940" s="6">
        <f t="shared" si="1717"/>
        <v>82.94516999999999</v>
      </c>
      <c r="T940" s="6">
        <f t="shared" si="1717"/>
        <v>969.53687599999989</v>
      </c>
      <c r="U940" s="6">
        <f t="shared" si="1717"/>
        <v>0</v>
      </c>
      <c r="V940" s="6">
        <f t="shared" si="1717"/>
        <v>224.873572</v>
      </c>
      <c r="W940" s="6">
        <f t="shared" si="1717"/>
        <v>506.88714999999996</v>
      </c>
      <c r="X940" s="6">
        <f t="shared" si="1717"/>
        <v>1355.6927229999999</v>
      </c>
      <c r="Y940" s="6">
        <f t="shared" si="1717"/>
        <v>49.767102000000001</v>
      </c>
      <c r="Z940" s="6">
        <f t="shared" si="1717"/>
        <v>0</v>
      </c>
      <c r="AA940" s="6">
        <f t="shared" si="1717"/>
        <v>0</v>
      </c>
      <c r="AB940" s="6">
        <f t="shared" si="1717"/>
        <v>0</v>
      </c>
      <c r="AC940" s="67"/>
      <c r="AD940" s="55"/>
    </row>
    <row r="941" spans="1:30" s="52" customFormat="1">
      <c r="A941" s="96" t="s">
        <v>147</v>
      </c>
      <c r="B941" s="75">
        <f>223498/2</f>
        <v>111749</v>
      </c>
      <c r="C941" s="250">
        <f t="shared" si="1681"/>
        <v>9312.42</v>
      </c>
      <c r="D941" s="170">
        <v>1.6500000000000001E-2</v>
      </c>
      <c r="E941" s="170">
        <v>0.1368</v>
      </c>
      <c r="F941" s="170">
        <v>5.7599999999999998E-2</v>
      </c>
      <c r="G941" s="170">
        <v>8.0399999999999999E-2</v>
      </c>
      <c r="H941" s="170">
        <v>4.1099999999999998E-2</v>
      </c>
      <c r="I941" s="170">
        <v>0.13389999999999999</v>
      </c>
      <c r="J941" s="170">
        <v>2.12E-2</v>
      </c>
      <c r="K941" s="170">
        <v>3.2500000000000001E-2</v>
      </c>
      <c r="L941" s="170">
        <v>1.7100000000000001E-2</v>
      </c>
      <c r="M941" s="170">
        <v>2.5999999999999999E-2</v>
      </c>
      <c r="N941" s="170">
        <v>0.13320000000000001</v>
      </c>
      <c r="O941" s="170">
        <v>1.89E-2</v>
      </c>
      <c r="P941" s="170">
        <v>0</v>
      </c>
      <c r="Q941" s="170">
        <v>3.8600000000000002E-2</v>
      </c>
      <c r="R941" s="170">
        <v>1.9E-2</v>
      </c>
      <c r="S941" s="170">
        <v>4.1999999999999997E-3</v>
      </c>
      <c r="T941" s="170">
        <v>5.3999999999999999E-2</v>
      </c>
      <c r="U941" s="170">
        <v>1.78E-2</v>
      </c>
      <c r="V941" s="170">
        <v>3.6700000000000003E-2</v>
      </c>
      <c r="W941" s="170">
        <v>4.7199999999999999E-2</v>
      </c>
      <c r="X941" s="170">
        <v>6.3899999999999998E-2</v>
      </c>
      <c r="Y941" s="170">
        <v>2.5999999999999999E-3</v>
      </c>
      <c r="Z941" s="171">
        <v>0</v>
      </c>
      <c r="AA941" s="171">
        <v>8.0000000000000004E-4</v>
      </c>
      <c r="AB941" s="171">
        <v>0</v>
      </c>
      <c r="AC941" s="67"/>
      <c r="AD941" s="55"/>
    </row>
    <row r="942" spans="1:30" s="52" customFormat="1">
      <c r="A942" s="97"/>
      <c r="B942" s="30"/>
      <c r="C942" s="250"/>
      <c r="D942" s="6">
        <f t="shared" ref="D942" si="1718">$C941*D941</f>
        <v>153.65493000000001</v>
      </c>
      <c r="E942" s="6">
        <f t="shared" ref="E942" si="1719">$C941*E941</f>
        <v>1273.9390560000002</v>
      </c>
      <c r="F942" s="6">
        <f t="shared" ref="F942:O942" si="1720">$C941*F941</f>
        <v>536.39539200000002</v>
      </c>
      <c r="G942" s="6">
        <f t="shared" si="1720"/>
        <v>748.718568</v>
      </c>
      <c r="H942" s="6">
        <f t="shared" si="1720"/>
        <v>382.74046199999998</v>
      </c>
      <c r="I942" s="6">
        <f t="shared" si="1720"/>
        <v>1246.9330379999999</v>
      </c>
      <c r="J942" s="6">
        <f t="shared" si="1720"/>
        <v>197.423304</v>
      </c>
      <c r="K942" s="6">
        <f t="shared" si="1720"/>
        <v>302.65365000000003</v>
      </c>
      <c r="L942" s="6">
        <f t="shared" si="1720"/>
        <v>159.24238200000002</v>
      </c>
      <c r="M942" s="6">
        <f t="shared" si="1720"/>
        <v>242.12291999999999</v>
      </c>
      <c r="N942" s="6">
        <f t="shared" si="1720"/>
        <v>1240.414344</v>
      </c>
      <c r="O942" s="6">
        <f t="shared" si="1720"/>
        <v>176.004738</v>
      </c>
      <c r="P942" s="6">
        <f t="shared" ref="P942" si="1721">$C941*P941</f>
        <v>0</v>
      </c>
      <c r="Q942" s="6">
        <f t="shared" ref="Q942" si="1722">$C941*Q941</f>
        <v>359.45941200000004</v>
      </c>
      <c r="R942" s="6">
        <f t="shared" ref="R942:AB942" si="1723">$C941*R941</f>
        <v>176.93598</v>
      </c>
      <c r="S942" s="6">
        <f t="shared" si="1723"/>
        <v>39.112164</v>
      </c>
      <c r="T942" s="6">
        <f t="shared" si="1723"/>
        <v>502.87067999999999</v>
      </c>
      <c r="U942" s="6">
        <f t="shared" si="1723"/>
        <v>165.761076</v>
      </c>
      <c r="V942" s="6">
        <f t="shared" si="1723"/>
        <v>341.76581400000003</v>
      </c>
      <c r="W942" s="6">
        <f t="shared" si="1723"/>
        <v>439.546224</v>
      </c>
      <c r="X942" s="6">
        <f t="shared" si="1723"/>
        <v>595.06363799999997</v>
      </c>
      <c r="Y942" s="6">
        <f t="shared" si="1723"/>
        <v>24.212291999999998</v>
      </c>
      <c r="Z942" s="6">
        <f t="shared" si="1723"/>
        <v>0</v>
      </c>
      <c r="AA942" s="6">
        <f t="shared" si="1723"/>
        <v>7.4499360000000001</v>
      </c>
      <c r="AB942" s="6">
        <f t="shared" si="1723"/>
        <v>0</v>
      </c>
      <c r="AC942" s="67"/>
      <c r="AD942" s="55"/>
    </row>
    <row r="943" spans="1:30" s="52" customFormat="1">
      <c r="A943" s="96" t="s">
        <v>460</v>
      </c>
      <c r="B943" s="75">
        <f>223498/2</f>
        <v>111749</v>
      </c>
      <c r="C943" s="250">
        <f t="shared" si="1681"/>
        <v>9312.42</v>
      </c>
      <c r="D943" s="5">
        <v>3.9399999999999998E-2</v>
      </c>
      <c r="E943" s="5"/>
      <c r="F943" s="5">
        <v>3.3E-3</v>
      </c>
      <c r="G943" s="5"/>
      <c r="H943" s="5">
        <v>0.34539999999999998</v>
      </c>
      <c r="I943" s="5"/>
      <c r="J943" s="5"/>
      <c r="K943" s="5"/>
      <c r="L943" s="5"/>
      <c r="M943" s="5">
        <v>0.1469</v>
      </c>
      <c r="N943" s="5">
        <v>3.0000000000000001E-3</v>
      </c>
      <c r="O943" s="5"/>
      <c r="P943" s="5"/>
      <c r="Q943" s="5">
        <v>9.4299999999999995E-2</v>
      </c>
      <c r="R943" s="5">
        <v>2.1600000000000001E-2</v>
      </c>
      <c r="S943" s="5">
        <v>8.9999999999999993E-3</v>
      </c>
      <c r="T943" s="5">
        <v>0.1052</v>
      </c>
      <c r="U943" s="5"/>
      <c r="V943" s="5">
        <v>2.4400000000000002E-2</v>
      </c>
      <c r="W943" s="5">
        <v>5.5E-2</v>
      </c>
      <c r="X943" s="5">
        <v>0.14710000000000001</v>
      </c>
      <c r="Y943" s="5">
        <v>5.4000000000000003E-3</v>
      </c>
      <c r="Z943" s="5"/>
      <c r="AA943" s="5"/>
      <c r="AB943" s="5"/>
      <c r="AC943" s="67"/>
      <c r="AD943" s="55"/>
    </row>
    <row r="944" spans="1:30" s="52" customFormat="1">
      <c r="A944" s="97"/>
      <c r="B944" s="12"/>
      <c r="C944" s="250"/>
      <c r="D944" s="6">
        <f t="shared" ref="D944" si="1724">$C943*D943</f>
        <v>366.90934799999997</v>
      </c>
      <c r="E944" s="6">
        <f t="shared" ref="E944" si="1725">$C943*E943</f>
        <v>0</v>
      </c>
      <c r="F944" s="6">
        <f t="shared" ref="F944:O944" si="1726">$C943*F943</f>
        <v>30.730986000000001</v>
      </c>
      <c r="G944" s="6">
        <f t="shared" si="1726"/>
        <v>0</v>
      </c>
      <c r="H944" s="6">
        <f t="shared" si="1726"/>
        <v>3216.5098680000001</v>
      </c>
      <c r="I944" s="6">
        <f t="shared" si="1726"/>
        <v>0</v>
      </c>
      <c r="J944" s="6">
        <f t="shared" si="1726"/>
        <v>0</v>
      </c>
      <c r="K944" s="6">
        <f t="shared" si="1726"/>
        <v>0</v>
      </c>
      <c r="L944" s="6">
        <f t="shared" si="1726"/>
        <v>0</v>
      </c>
      <c r="M944" s="6">
        <f t="shared" si="1726"/>
        <v>1367.994498</v>
      </c>
      <c r="N944" s="6">
        <f t="shared" si="1726"/>
        <v>27.937260000000002</v>
      </c>
      <c r="O944" s="6">
        <f t="shared" si="1726"/>
        <v>0</v>
      </c>
      <c r="P944" s="6">
        <f t="shared" ref="P944" si="1727">$C943*P943</f>
        <v>0</v>
      </c>
      <c r="Q944" s="6">
        <f t="shared" ref="Q944" si="1728">$C943*Q943</f>
        <v>878.16120599999999</v>
      </c>
      <c r="R944" s="6">
        <f t="shared" ref="R944:AB944" si="1729">$C943*R943</f>
        <v>201.14827200000002</v>
      </c>
      <c r="S944" s="6">
        <f t="shared" si="1729"/>
        <v>83.811779999999999</v>
      </c>
      <c r="T944" s="6">
        <f t="shared" si="1729"/>
        <v>979.66658400000006</v>
      </c>
      <c r="U944" s="6">
        <f t="shared" si="1729"/>
        <v>0</v>
      </c>
      <c r="V944" s="6">
        <f t="shared" si="1729"/>
        <v>227.22304800000001</v>
      </c>
      <c r="W944" s="6">
        <f t="shared" si="1729"/>
        <v>512.18309999999997</v>
      </c>
      <c r="X944" s="6">
        <f t="shared" si="1729"/>
        <v>1369.856982</v>
      </c>
      <c r="Y944" s="6">
        <f t="shared" si="1729"/>
        <v>50.287068000000005</v>
      </c>
      <c r="Z944" s="6">
        <f t="shared" si="1729"/>
        <v>0</v>
      </c>
      <c r="AA944" s="6">
        <f t="shared" si="1729"/>
        <v>0</v>
      </c>
      <c r="AB944" s="6">
        <f t="shared" si="1729"/>
        <v>0</v>
      </c>
      <c r="AC944" s="67"/>
      <c r="AD944" s="55"/>
    </row>
    <row r="945" spans="1:30" s="52" customFormat="1">
      <c r="A945" s="96" t="s">
        <v>148</v>
      </c>
      <c r="B945" s="168">
        <v>1898322</v>
      </c>
      <c r="C945" s="250">
        <f t="shared" si="1681"/>
        <v>158193.5</v>
      </c>
      <c r="D945" s="5"/>
      <c r="E945" s="5"/>
      <c r="F945" s="5">
        <v>1.6799999999999999E-2</v>
      </c>
      <c r="G945" s="5"/>
      <c r="H945" s="5">
        <v>1.83E-2</v>
      </c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>
        <v>0.96489999999999998</v>
      </c>
      <c r="W945" s="5"/>
      <c r="X945" s="5"/>
      <c r="Y945" s="5"/>
      <c r="Z945" s="5"/>
      <c r="AA945" s="5"/>
      <c r="AB945" s="5"/>
      <c r="AC945" s="67"/>
      <c r="AD945" s="55"/>
    </row>
    <row r="946" spans="1:30" s="52" customFormat="1">
      <c r="A946" s="97"/>
      <c r="B946" s="11"/>
      <c r="C946" s="250"/>
      <c r="D946" s="6">
        <f t="shared" ref="D946" si="1730">$C945*D945</f>
        <v>0</v>
      </c>
      <c r="E946" s="6">
        <f t="shared" ref="E946" si="1731">$C945*E945</f>
        <v>0</v>
      </c>
      <c r="F946" s="6">
        <f t="shared" ref="F946:AB946" si="1732">$C945*F945</f>
        <v>2657.6507999999999</v>
      </c>
      <c r="G946" s="6">
        <f t="shared" si="1732"/>
        <v>0</v>
      </c>
      <c r="H946" s="6">
        <f t="shared" si="1732"/>
        <v>2894.9410499999999</v>
      </c>
      <c r="I946" s="6">
        <f t="shared" si="1732"/>
        <v>0</v>
      </c>
      <c r="J946" s="6">
        <f t="shared" si="1732"/>
        <v>0</v>
      </c>
      <c r="K946" s="6">
        <f t="shared" si="1732"/>
        <v>0</v>
      </c>
      <c r="L946" s="6">
        <f t="shared" si="1732"/>
        <v>0</v>
      </c>
      <c r="M946" s="6">
        <f t="shared" si="1732"/>
        <v>0</v>
      </c>
      <c r="N946" s="6">
        <f t="shared" si="1732"/>
        <v>0</v>
      </c>
      <c r="O946" s="6">
        <f t="shared" si="1732"/>
        <v>0</v>
      </c>
      <c r="P946" s="6">
        <f t="shared" si="1732"/>
        <v>0</v>
      </c>
      <c r="Q946" s="6">
        <f t="shared" si="1732"/>
        <v>0</v>
      </c>
      <c r="R946" s="6">
        <f t="shared" si="1732"/>
        <v>0</v>
      </c>
      <c r="S946" s="6">
        <f t="shared" si="1732"/>
        <v>0</v>
      </c>
      <c r="T946" s="6">
        <f t="shared" si="1732"/>
        <v>0</v>
      </c>
      <c r="U946" s="6">
        <f t="shared" si="1732"/>
        <v>0</v>
      </c>
      <c r="V946" s="6">
        <f t="shared" si="1732"/>
        <v>152640.90815</v>
      </c>
      <c r="W946" s="6">
        <f t="shared" si="1732"/>
        <v>0</v>
      </c>
      <c r="X946" s="6">
        <f t="shared" si="1732"/>
        <v>0</v>
      </c>
      <c r="Y946" s="6">
        <f t="shared" si="1732"/>
        <v>0</v>
      </c>
      <c r="Z946" s="6">
        <f t="shared" si="1732"/>
        <v>0</v>
      </c>
      <c r="AA946" s="6">
        <f t="shared" si="1732"/>
        <v>0</v>
      </c>
      <c r="AB946" s="6">
        <f t="shared" si="1732"/>
        <v>0</v>
      </c>
      <c r="AC946" s="67"/>
      <c r="AD946" s="55"/>
    </row>
    <row r="947" spans="1:30" s="52" customFormat="1">
      <c r="A947" s="96" t="s">
        <v>149</v>
      </c>
      <c r="B947" s="168">
        <v>3532810</v>
      </c>
      <c r="C947" s="250">
        <f t="shared" si="1681"/>
        <v>294400.83</v>
      </c>
      <c r="D947" s="5"/>
      <c r="E947" s="5"/>
      <c r="F947" s="5">
        <v>3.5400000000000001E-2</v>
      </c>
      <c r="G947" s="5"/>
      <c r="H947" s="5">
        <v>7.3099999999999998E-2</v>
      </c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>
        <v>0.89149999999999996</v>
      </c>
      <c r="W947" s="5"/>
      <c r="X947" s="5"/>
      <c r="Y947" s="5"/>
      <c r="Z947" s="5"/>
      <c r="AA947" s="5"/>
      <c r="AB947" s="5"/>
      <c r="AC947" s="67"/>
      <c r="AD947" s="55"/>
    </row>
    <row r="948" spans="1:30" s="52" customFormat="1">
      <c r="A948" s="97"/>
      <c r="B948" s="11"/>
      <c r="C948" s="250"/>
      <c r="D948" s="6">
        <f t="shared" ref="D948" si="1733">$C947*D947</f>
        <v>0</v>
      </c>
      <c r="E948" s="6">
        <f t="shared" ref="E948" si="1734">$C947*E947</f>
        <v>0</v>
      </c>
      <c r="F948" s="6">
        <f t="shared" ref="F948:AB948" si="1735">$C947*F947</f>
        <v>10421.789382000001</v>
      </c>
      <c r="G948" s="6">
        <f t="shared" si="1735"/>
        <v>0</v>
      </c>
      <c r="H948" s="6">
        <f t="shared" si="1735"/>
        <v>21520.700672999999</v>
      </c>
      <c r="I948" s="6">
        <f t="shared" si="1735"/>
        <v>0</v>
      </c>
      <c r="J948" s="6">
        <f t="shared" si="1735"/>
        <v>0</v>
      </c>
      <c r="K948" s="6">
        <f t="shared" si="1735"/>
        <v>0</v>
      </c>
      <c r="L948" s="6">
        <f t="shared" si="1735"/>
        <v>0</v>
      </c>
      <c r="M948" s="6">
        <f t="shared" si="1735"/>
        <v>0</v>
      </c>
      <c r="N948" s="6">
        <f t="shared" si="1735"/>
        <v>0</v>
      </c>
      <c r="O948" s="6">
        <f t="shared" si="1735"/>
        <v>0</v>
      </c>
      <c r="P948" s="6">
        <f t="shared" si="1735"/>
        <v>0</v>
      </c>
      <c r="Q948" s="6">
        <f t="shared" si="1735"/>
        <v>0</v>
      </c>
      <c r="R948" s="6">
        <f t="shared" si="1735"/>
        <v>0</v>
      </c>
      <c r="S948" s="6">
        <f t="shared" si="1735"/>
        <v>0</v>
      </c>
      <c r="T948" s="6">
        <f t="shared" si="1735"/>
        <v>0</v>
      </c>
      <c r="U948" s="6">
        <f t="shared" si="1735"/>
        <v>0</v>
      </c>
      <c r="V948" s="6">
        <f t="shared" si="1735"/>
        <v>262458.33994500001</v>
      </c>
      <c r="W948" s="6">
        <f t="shared" si="1735"/>
        <v>0</v>
      </c>
      <c r="X948" s="6">
        <f t="shared" si="1735"/>
        <v>0</v>
      </c>
      <c r="Y948" s="6">
        <f t="shared" si="1735"/>
        <v>0</v>
      </c>
      <c r="Z948" s="6">
        <f t="shared" si="1735"/>
        <v>0</v>
      </c>
      <c r="AA948" s="6">
        <f t="shared" si="1735"/>
        <v>0</v>
      </c>
      <c r="AB948" s="6">
        <f t="shared" si="1735"/>
        <v>0</v>
      </c>
      <c r="AC948" s="67"/>
      <c r="AD948" s="55"/>
    </row>
    <row r="949" spans="1:30" s="52" customFormat="1">
      <c r="A949" s="96" t="s">
        <v>150</v>
      </c>
      <c r="B949" s="168">
        <v>6647900</v>
      </c>
      <c r="C949" s="250">
        <f t="shared" si="1681"/>
        <v>553991.67000000004</v>
      </c>
      <c r="D949" s="5">
        <v>7.7000000000000002E-3</v>
      </c>
      <c r="E949" s="5"/>
      <c r="F949" s="5"/>
      <c r="G949" s="5"/>
      <c r="H949" s="5">
        <v>0.1676</v>
      </c>
      <c r="I949" s="5"/>
      <c r="J949" s="5"/>
      <c r="K949" s="5"/>
      <c r="L949" s="5"/>
      <c r="M949" s="5">
        <v>1.2200000000000001E-2</v>
      </c>
      <c r="N949" s="5"/>
      <c r="O949" s="5"/>
      <c r="P949" s="5"/>
      <c r="Q949" s="5">
        <v>1.3899999999999999E-2</v>
      </c>
      <c r="R949" s="5">
        <v>5.8999999999999999E-3</v>
      </c>
      <c r="S949" s="5">
        <v>1.2999999999999999E-3</v>
      </c>
      <c r="T949" s="5">
        <v>2.1000000000000001E-2</v>
      </c>
      <c r="U949" s="5"/>
      <c r="V949" s="5">
        <v>0.74860000000000004</v>
      </c>
      <c r="W949" s="5"/>
      <c r="X949" s="5">
        <v>2.1000000000000001E-2</v>
      </c>
      <c r="Y949" s="5">
        <v>8.0000000000000004E-4</v>
      </c>
      <c r="Z949" s="5"/>
      <c r="AA949" s="5"/>
      <c r="AB949" s="5"/>
      <c r="AC949" s="67"/>
      <c r="AD949" s="55"/>
    </row>
    <row r="950" spans="1:30" s="52" customFormat="1">
      <c r="A950" s="97"/>
      <c r="B950" s="11"/>
      <c r="C950" s="250"/>
      <c r="D950" s="6">
        <f t="shared" ref="D950" si="1736">$C949*D949</f>
        <v>4265.7358590000003</v>
      </c>
      <c r="E950" s="6">
        <f t="shared" ref="E950" si="1737">$C949*E949</f>
        <v>0</v>
      </c>
      <c r="F950" s="6">
        <f t="shared" ref="F950:AB950" si="1738">$C949*F949</f>
        <v>0</v>
      </c>
      <c r="G950" s="6">
        <f t="shared" si="1738"/>
        <v>0</v>
      </c>
      <c r="H950" s="6">
        <f t="shared" si="1738"/>
        <v>92849.003892000008</v>
      </c>
      <c r="I950" s="6">
        <f t="shared" si="1738"/>
        <v>0</v>
      </c>
      <c r="J950" s="6">
        <f t="shared" si="1738"/>
        <v>0</v>
      </c>
      <c r="K950" s="6">
        <f t="shared" si="1738"/>
        <v>0</v>
      </c>
      <c r="L950" s="6">
        <f t="shared" si="1738"/>
        <v>0</v>
      </c>
      <c r="M950" s="6">
        <f t="shared" si="1738"/>
        <v>6758.6983740000005</v>
      </c>
      <c r="N950" s="6">
        <f t="shared" si="1738"/>
        <v>0</v>
      </c>
      <c r="O950" s="6">
        <f t="shared" si="1738"/>
        <v>0</v>
      </c>
      <c r="P950" s="6">
        <f t="shared" si="1738"/>
        <v>0</v>
      </c>
      <c r="Q950" s="6">
        <f t="shared" si="1738"/>
        <v>7700.4842129999997</v>
      </c>
      <c r="R950" s="6">
        <f t="shared" si="1738"/>
        <v>3268.5508530000002</v>
      </c>
      <c r="S950" s="6">
        <f t="shared" si="1738"/>
        <v>720.18917099999999</v>
      </c>
      <c r="T950" s="6">
        <f t="shared" si="1738"/>
        <v>11633.825070000001</v>
      </c>
      <c r="U950" s="6">
        <f t="shared" si="1738"/>
        <v>0</v>
      </c>
      <c r="V950" s="6">
        <f t="shared" si="1738"/>
        <v>414718.16416200006</v>
      </c>
      <c r="W950" s="6">
        <f t="shared" si="1738"/>
        <v>0</v>
      </c>
      <c r="X950" s="6">
        <f t="shared" si="1738"/>
        <v>11633.825070000001</v>
      </c>
      <c r="Y950" s="6">
        <f t="shared" si="1738"/>
        <v>443.19333600000004</v>
      </c>
      <c r="Z950" s="6">
        <f t="shared" si="1738"/>
        <v>0</v>
      </c>
      <c r="AA950" s="6">
        <f t="shared" si="1738"/>
        <v>0</v>
      </c>
      <c r="AB950" s="6">
        <f t="shared" si="1738"/>
        <v>0</v>
      </c>
      <c r="AC950" s="67"/>
      <c r="AD950" s="55"/>
    </row>
    <row r="951" spans="1:30" s="52" customFormat="1">
      <c r="A951" s="96" t="s">
        <v>151</v>
      </c>
      <c r="B951" s="168">
        <v>593164</v>
      </c>
      <c r="C951" s="250">
        <f t="shared" si="1681"/>
        <v>49430.33</v>
      </c>
      <c r="D951" s="5"/>
      <c r="E951" s="5"/>
      <c r="F951" s="5"/>
      <c r="G951" s="5"/>
      <c r="H951" s="5">
        <v>0.30570000000000003</v>
      </c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>
        <v>0.69430000000000003</v>
      </c>
      <c r="W951" s="5"/>
      <c r="X951" s="5"/>
      <c r="Y951" s="5"/>
      <c r="Z951" s="5"/>
      <c r="AA951" s="5"/>
      <c r="AB951" s="5"/>
      <c r="AC951" s="67"/>
      <c r="AD951" s="55"/>
    </row>
    <row r="952" spans="1:30" s="52" customFormat="1">
      <c r="A952" s="97"/>
      <c r="B952" s="11"/>
      <c r="C952" s="250"/>
      <c r="D952" s="6">
        <f t="shared" ref="D952" si="1739">$C951*D951</f>
        <v>0</v>
      </c>
      <c r="E952" s="6">
        <f t="shared" ref="E952" si="1740">$C951*E951</f>
        <v>0</v>
      </c>
      <c r="F952" s="6">
        <f t="shared" ref="F952:AB952" si="1741">$C951*F951</f>
        <v>0</v>
      </c>
      <c r="G952" s="6">
        <f t="shared" si="1741"/>
        <v>0</v>
      </c>
      <c r="H952" s="6">
        <f t="shared" si="1741"/>
        <v>15110.851881000002</v>
      </c>
      <c r="I952" s="6">
        <f t="shared" si="1741"/>
        <v>0</v>
      </c>
      <c r="J952" s="6">
        <f t="shared" si="1741"/>
        <v>0</v>
      </c>
      <c r="K952" s="6">
        <f t="shared" si="1741"/>
        <v>0</v>
      </c>
      <c r="L952" s="6">
        <f t="shared" si="1741"/>
        <v>0</v>
      </c>
      <c r="M952" s="6">
        <f t="shared" si="1741"/>
        <v>0</v>
      </c>
      <c r="N952" s="6">
        <f t="shared" si="1741"/>
        <v>0</v>
      </c>
      <c r="O952" s="6">
        <f t="shared" si="1741"/>
        <v>0</v>
      </c>
      <c r="P952" s="6">
        <f t="shared" si="1741"/>
        <v>0</v>
      </c>
      <c r="Q952" s="6">
        <f t="shared" si="1741"/>
        <v>0</v>
      </c>
      <c r="R952" s="6">
        <f t="shared" si="1741"/>
        <v>0</v>
      </c>
      <c r="S952" s="6">
        <f t="shared" si="1741"/>
        <v>0</v>
      </c>
      <c r="T952" s="6">
        <f t="shared" si="1741"/>
        <v>0</v>
      </c>
      <c r="U952" s="6">
        <f t="shared" si="1741"/>
        <v>0</v>
      </c>
      <c r="V952" s="6">
        <f t="shared" si="1741"/>
        <v>34319.478118999999</v>
      </c>
      <c r="W952" s="6">
        <f t="shared" si="1741"/>
        <v>0</v>
      </c>
      <c r="X952" s="6">
        <f t="shared" si="1741"/>
        <v>0</v>
      </c>
      <c r="Y952" s="6">
        <f t="shared" si="1741"/>
        <v>0</v>
      </c>
      <c r="Z952" s="6">
        <f t="shared" si="1741"/>
        <v>0</v>
      </c>
      <c r="AA952" s="6">
        <f t="shared" si="1741"/>
        <v>0</v>
      </c>
      <c r="AB952" s="6">
        <f t="shared" si="1741"/>
        <v>0</v>
      </c>
      <c r="AC952" s="67"/>
      <c r="AD952" s="55"/>
    </row>
    <row r="953" spans="1:30" s="52" customFormat="1">
      <c r="A953" s="96" t="s">
        <v>154</v>
      </c>
      <c r="B953" s="168">
        <v>2345755</v>
      </c>
      <c r="C953" s="250">
        <f t="shared" si="1681"/>
        <v>195479.58</v>
      </c>
      <c r="D953" s="5"/>
      <c r="E953" s="5"/>
      <c r="F953" s="5">
        <v>5.67E-2</v>
      </c>
      <c r="G953" s="5"/>
      <c r="H953" s="5">
        <v>0.29680000000000001</v>
      </c>
      <c r="I953" s="5"/>
      <c r="J953" s="5"/>
      <c r="K953" s="5"/>
      <c r="L953" s="5"/>
      <c r="M953" s="5"/>
      <c r="N953" s="37">
        <v>0.1091</v>
      </c>
      <c r="O953" s="5"/>
      <c r="P953" s="5"/>
      <c r="Q953" s="5"/>
      <c r="R953" s="5"/>
      <c r="S953" s="5"/>
      <c r="T953" s="5"/>
      <c r="U953" s="5"/>
      <c r="V953" s="5">
        <v>0.53739999999999999</v>
      </c>
      <c r="W953" s="5"/>
      <c r="X953" s="5"/>
      <c r="Y953" s="5"/>
      <c r="Z953" s="5"/>
      <c r="AA953" s="5"/>
      <c r="AB953" s="5"/>
      <c r="AC953" s="67"/>
      <c r="AD953" s="55"/>
    </row>
    <row r="954" spans="1:30" s="52" customFormat="1">
      <c r="A954" s="97"/>
      <c r="B954" s="12"/>
      <c r="C954" s="250"/>
      <c r="D954" s="6">
        <f t="shared" ref="D954" si="1742">$C953*D953</f>
        <v>0</v>
      </c>
      <c r="E954" s="6">
        <f t="shared" ref="E954" si="1743">$C953*E953</f>
        <v>0</v>
      </c>
      <c r="F954" s="6">
        <f t="shared" ref="F954:AB954" si="1744">$C953*F953</f>
        <v>11083.692186</v>
      </c>
      <c r="G954" s="6">
        <f t="shared" si="1744"/>
        <v>0</v>
      </c>
      <c r="H954" s="6">
        <f t="shared" si="1744"/>
        <v>58018.339344</v>
      </c>
      <c r="I954" s="6">
        <f t="shared" si="1744"/>
        <v>0</v>
      </c>
      <c r="J954" s="6">
        <f t="shared" si="1744"/>
        <v>0</v>
      </c>
      <c r="K954" s="6">
        <f t="shared" si="1744"/>
        <v>0</v>
      </c>
      <c r="L954" s="6">
        <f t="shared" si="1744"/>
        <v>0</v>
      </c>
      <c r="M954" s="6">
        <f t="shared" si="1744"/>
        <v>0</v>
      </c>
      <c r="N954" s="6">
        <f t="shared" si="1744"/>
        <v>21326.822177999999</v>
      </c>
      <c r="O954" s="6">
        <f t="shared" si="1744"/>
        <v>0</v>
      </c>
      <c r="P954" s="6">
        <f t="shared" si="1744"/>
        <v>0</v>
      </c>
      <c r="Q954" s="6">
        <f t="shared" si="1744"/>
        <v>0</v>
      </c>
      <c r="R954" s="6">
        <f t="shared" si="1744"/>
        <v>0</v>
      </c>
      <c r="S954" s="6">
        <f t="shared" si="1744"/>
        <v>0</v>
      </c>
      <c r="T954" s="6">
        <f t="shared" si="1744"/>
        <v>0</v>
      </c>
      <c r="U954" s="6">
        <f t="shared" si="1744"/>
        <v>0</v>
      </c>
      <c r="V954" s="6">
        <f t="shared" si="1744"/>
        <v>105050.72629199999</v>
      </c>
      <c r="W954" s="6">
        <f t="shared" si="1744"/>
        <v>0</v>
      </c>
      <c r="X954" s="6">
        <f t="shared" si="1744"/>
        <v>0</v>
      </c>
      <c r="Y954" s="6">
        <f t="shared" si="1744"/>
        <v>0</v>
      </c>
      <c r="Z954" s="6">
        <f t="shared" si="1744"/>
        <v>0</v>
      </c>
      <c r="AA954" s="6">
        <f t="shared" si="1744"/>
        <v>0</v>
      </c>
      <c r="AB954" s="6">
        <f t="shared" si="1744"/>
        <v>0</v>
      </c>
      <c r="AC954" s="67"/>
      <c r="AD954" s="55"/>
    </row>
    <row r="955" spans="1:30" s="52" customFormat="1">
      <c r="A955" s="96" t="s">
        <v>188</v>
      </c>
      <c r="B955" s="168">
        <v>3644030</v>
      </c>
      <c r="C955" s="250">
        <f t="shared" si="1681"/>
        <v>303669.17</v>
      </c>
      <c r="D955" s="5"/>
      <c r="E955" s="5"/>
      <c r="F955" s="5"/>
      <c r="G955" s="5"/>
      <c r="H955" s="5">
        <v>0.1933</v>
      </c>
      <c r="I955" s="5"/>
      <c r="J955" s="5"/>
      <c r="K955" s="5"/>
      <c r="L955" s="5"/>
      <c r="M955" s="5"/>
      <c r="N955" s="37">
        <v>0.17</v>
      </c>
      <c r="O955" s="5"/>
      <c r="P955" s="5"/>
      <c r="Q955" s="5"/>
      <c r="R955" s="5"/>
      <c r="S955" s="5"/>
      <c r="T955" s="5"/>
      <c r="U955" s="5"/>
      <c r="V955" s="5">
        <v>0.63670000000000004</v>
      </c>
      <c r="W955" s="5"/>
      <c r="X955" s="5"/>
      <c r="Y955" s="5"/>
      <c r="Z955" s="5"/>
      <c r="AA955" s="5"/>
      <c r="AB955" s="5"/>
      <c r="AC955" s="67"/>
      <c r="AD955" s="55"/>
    </row>
    <row r="956" spans="1:30" s="52" customFormat="1">
      <c r="A956" s="97"/>
      <c r="B956" s="12"/>
      <c r="C956" s="250"/>
      <c r="D956" s="6">
        <f t="shared" ref="D956" si="1745">$C955*D955</f>
        <v>0</v>
      </c>
      <c r="E956" s="6">
        <f t="shared" ref="E956" si="1746">$C955*E955</f>
        <v>0</v>
      </c>
      <c r="F956" s="6">
        <f t="shared" ref="F956:N956" si="1747">$C955*F955</f>
        <v>0</v>
      </c>
      <c r="G956" s="6">
        <f t="shared" si="1747"/>
        <v>0</v>
      </c>
      <c r="H956" s="6">
        <f t="shared" si="1747"/>
        <v>58699.250560999993</v>
      </c>
      <c r="I956" s="6">
        <f t="shared" si="1747"/>
        <v>0</v>
      </c>
      <c r="J956" s="6">
        <f t="shared" si="1747"/>
        <v>0</v>
      </c>
      <c r="K956" s="6">
        <f t="shared" si="1747"/>
        <v>0</v>
      </c>
      <c r="L956" s="6">
        <f t="shared" si="1747"/>
        <v>0</v>
      </c>
      <c r="M956" s="6">
        <f t="shared" si="1747"/>
        <v>0</v>
      </c>
      <c r="N956" s="6">
        <f t="shared" si="1747"/>
        <v>51623.758900000001</v>
      </c>
      <c r="O956" s="6">
        <f t="shared" ref="O956" si="1748">$C955*O955</f>
        <v>0</v>
      </c>
      <c r="P956" s="6">
        <f t="shared" ref="P956" si="1749">$C955*P955</f>
        <v>0</v>
      </c>
      <c r="Q956" s="6">
        <f t="shared" ref="Q956:AB956" si="1750">$C955*Q955</f>
        <v>0</v>
      </c>
      <c r="R956" s="6">
        <f t="shared" si="1750"/>
        <v>0</v>
      </c>
      <c r="S956" s="6">
        <f t="shared" si="1750"/>
        <v>0</v>
      </c>
      <c r="T956" s="6">
        <f t="shared" si="1750"/>
        <v>0</v>
      </c>
      <c r="U956" s="6">
        <f t="shared" si="1750"/>
        <v>0</v>
      </c>
      <c r="V956" s="6">
        <f t="shared" si="1750"/>
        <v>193346.160539</v>
      </c>
      <c r="W956" s="6">
        <f t="shared" si="1750"/>
        <v>0</v>
      </c>
      <c r="X956" s="6">
        <f t="shared" si="1750"/>
        <v>0</v>
      </c>
      <c r="Y956" s="6">
        <f t="shared" si="1750"/>
        <v>0</v>
      </c>
      <c r="Z956" s="6">
        <f t="shared" si="1750"/>
        <v>0</v>
      </c>
      <c r="AA956" s="6">
        <f t="shared" si="1750"/>
        <v>0</v>
      </c>
      <c r="AB956" s="6">
        <f t="shared" si="1750"/>
        <v>0</v>
      </c>
      <c r="AC956" s="67"/>
      <c r="AD956" s="55"/>
    </row>
    <row r="957" spans="1:30" s="52" customFormat="1">
      <c r="A957" s="96" t="s">
        <v>187</v>
      </c>
      <c r="B957" s="168">
        <v>6299458</v>
      </c>
      <c r="C957" s="250">
        <f t="shared" si="1681"/>
        <v>524954.82999999996</v>
      </c>
      <c r="D957" s="5"/>
      <c r="E957" s="5"/>
      <c r="F957" s="5">
        <v>4.7399999999999998E-2</v>
      </c>
      <c r="G957" s="5"/>
      <c r="H957" s="5"/>
      <c r="I957" s="5"/>
      <c r="J957" s="5"/>
      <c r="K957" s="5"/>
      <c r="L957" s="5"/>
      <c r="M957" s="5"/>
      <c r="N957" s="37"/>
      <c r="O957" s="5"/>
      <c r="P957" s="5"/>
      <c r="Q957" s="5"/>
      <c r="R957" s="5"/>
      <c r="S957" s="5"/>
      <c r="T957" s="5"/>
      <c r="U957" s="5"/>
      <c r="V957" s="5">
        <v>0.9526</v>
      </c>
      <c r="W957" s="5"/>
      <c r="X957" s="5"/>
      <c r="Y957" s="5"/>
      <c r="Z957" s="5"/>
      <c r="AA957" s="5"/>
      <c r="AB957" s="5"/>
      <c r="AC957" s="67"/>
      <c r="AD957" s="55"/>
    </row>
    <row r="958" spans="1:30" s="52" customFormat="1">
      <c r="A958" s="97"/>
      <c r="B958" s="12"/>
      <c r="C958" s="250"/>
      <c r="D958" s="6">
        <f t="shared" ref="D958" si="1751">$C957*D957</f>
        <v>0</v>
      </c>
      <c r="E958" s="6">
        <f t="shared" ref="E958" si="1752">$C957*E957</f>
        <v>0</v>
      </c>
      <c r="F958" s="6">
        <f t="shared" ref="F958:N958" si="1753">$C957*F957</f>
        <v>24882.858941999995</v>
      </c>
      <c r="G958" s="6">
        <f t="shared" si="1753"/>
        <v>0</v>
      </c>
      <c r="H958" s="6">
        <f t="shared" si="1753"/>
        <v>0</v>
      </c>
      <c r="I958" s="6">
        <f t="shared" si="1753"/>
        <v>0</v>
      </c>
      <c r="J958" s="6">
        <f t="shared" si="1753"/>
        <v>0</v>
      </c>
      <c r="K958" s="6">
        <f t="shared" si="1753"/>
        <v>0</v>
      </c>
      <c r="L958" s="6">
        <f t="shared" si="1753"/>
        <v>0</v>
      </c>
      <c r="M958" s="6">
        <f t="shared" si="1753"/>
        <v>0</v>
      </c>
      <c r="N958" s="6">
        <f t="shared" si="1753"/>
        <v>0</v>
      </c>
      <c r="O958" s="6">
        <f t="shared" ref="O958" si="1754">$C957*O957</f>
        <v>0</v>
      </c>
      <c r="P958" s="6">
        <f t="shared" ref="P958" si="1755">$C957*P957</f>
        <v>0</v>
      </c>
      <c r="Q958" s="6">
        <f t="shared" ref="Q958:AB958" si="1756">$C957*Q957</f>
        <v>0</v>
      </c>
      <c r="R958" s="6">
        <f t="shared" si="1756"/>
        <v>0</v>
      </c>
      <c r="S958" s="6">
        <f t="shared" si="1756"/>
        <v>0</v>
      </c>
      <c r="T958" s="6">
        <f t="shared" si="1756"/>
        <v>0</v>
      </c>
      <c r="U958" s="6">
        <f t="shared" si="1756"/>
        <v>0</v>
      </c>
      <c r="V958" s="6">
        <f t="shared" si="1756"/>
        <v>500071.97105799994</v>
      </c>
      <c r="W958" s="6">
        <f t="shared" si="1756"/>
        <v>0</v>
      </c>
      <c r="X958" s="6">
        <f t="shared" si="1756"/>
        <v>0</v>
      </c>
      <c r="Y958" s="6">
        <f t="shared" si="1756"/>
        <v>0</v>
      </c>
      <c r="Z958" s="6">
        <f t="shared" si="1756"/>
        <v>0</v>
      </c>
      <c r="AA958" s="6">
        <f t="shared" si="1756"/>
        <v>0</v>
      </c>
      <c r="AB958" s="6">
        <f t="shared" si="1756"/>
        <v>0</v>
      </c>
      <c r="AC958" s="67"/>
      <c r="AD958" s="55"/>
    </row>
    <row r="959" spans="1:30" s="52" customFormat="1">
      <c r="A959" s="96" t="s">
        <v>242</v>
      </c>
      <c r="B959" s="168">
        <v>1059611</v>
      </c>
      <c r="C959" s="250">
        <f t="shared" si="1681"/>
        <v>88300.92</v>
      </c>
      <c r="D959" s="5"/>
      <c r="E959" s="5"/>
      <c r="F959" s="5"/>
      <c r="G959" s="5"/>
      <c r="H959" s="5">
        <v>0.33050000000000002</v>
      </c>
      <c r="I959" s="5"/>
      <c r="J959" s="5"/>
      <c r="K959" s="5"/>
      <c r="L959" s="5"/>
      <c r="M959" s="5">
        <v>1.38E-2</v>
      </c>
      <c r="N959" s="37"/>
      <c r="O959" s="5"/>
      <c r="P959" s="5"/>
      <c r="Q959" s="5"/>
      <c r="R959" s="5"/>
      <c r="S959" s="5"/>
      <c r="T959" s="5">
        <v>1.35E-2</v>
      </c>
      <c r="U959" s="5"/>
      <c r="V959" s="5">
        <v>0.64219999999999999</v>
      </c>
      <c r="W959" s="5"/>
      <c r="X959" s="5"/>
      <c r="Y959" s="5"/>
      <c r="Z959" s="5"/>
      <c r="AA959" s="5"/>
      <c r="AB959" s="5"/>
      <c r="AC959" s="67"/>
      <c r="AD959" s="55"/>
    </row>
    <row r="960" spans="1:30" s="52" customFormat="1">
      <c r="A960" s="97"/>
      <c r="B960" s="12"/>
      <c r="C960" s="250"/>
      <c r="D960" s="6">
        <f t="shared" ref="D960" si="1757">$C959*D959</f>
        <v>0</v>
      </c>
      <c r="E960" s="6">
        <f t="shared" ref="E960" si="1758">$C959*E959</f>
        <v>0</v>
      </c>
      <c r="F960" s="6">
        <f t="shared" ref="F960:N960" si="1759">$C959*F959</f>
        <v>0</v>
      </c>
      <c r="G960" s="6">
        <f t="shared" si="1759"/>
        <v>0</v>
      </c>
      <c r="H960" s="6">
        <f t="shared" si="1759"/>
        <v>29183.45406</v>
      </c>
      <c r="I960" s="6">
        <f t="shared" si="1759"/>
        <v>0</v>
      </c>
      <c r="J960" s="6">
        <f t="shared" si="1759"/>
        <v>0</v>
      </c>
      <c r="K960" s="6">
        <f t="shared" si="1759"/>
        <v>0</v>
      </c>
      <c r="L960" s="6">
        <f t="shared" si="1759"/>
        <v>0</v>
      </c>
      <c r="M960" s="6">
        <f t="shared" si="1759"/>
        <v>1218.552696</v>
      </c>
      <c r="N960" s="6">
        <f t="shared" si="1759"/>
        <v>0</v>
      </c>
      <c r="O960" s="6">
        <f t="shared" ref="O960" si="1760">$C959*O959</f>
        <v>0</v>
      </c>
      <c r="P960" s="6">
        <f t="shared" ref="P960" si="1761">$C959*P959</f>
        <v>0</v>
      </c>
      <c r="Q960" s="6">
        <f t="shared" ref="Q960:AB960" si="1762">$C959*Q959</f>
        <v>0</v>
      </c>
      <c r="R960" s="6">
        <f t="shared" si="1762"/>
        <v>0</v>
      </c>
      <c r="S960" s="6">
        <f t="shared" si="1762"/>
        <v>0</v>
      </c>
      <c r="T960" s="6">
        <f t="shared" si="1762"/>
        <v>1192.06242</v>
      </c>
      <c r="U960" s="6">
        <f t="shared" si="1762"/>
        <v>0</v>
      </c>
      <c r="V960" s="6">
        <f t="shared" si="1762"/>
        <v>56706.850824000001</v>
      </c>
      <c r="W960" s="6">
        <f t="shared" si="1762"/>
        <v>0</v>
      </c>
      <c r="X960" s="6">
        <f t="shared" si="1762"/>
        <v>0</v>
      </c>
      <c r="Y960" s="6">
        <f t="shared" si="1762"/>
        <v>0</v>
      </c>
      <c r="Z960" s="6">
        <f t="shared" si="1762"/>
        <v>0</v>
      </c>
      <c r="AA960" s="6">
        <f t="shared" si="1762"/>
        <v>0</v>
      </c>
      <c r="AB960" s="6">
        <f t="shared" si="1762"/>
        <v>0</v>
      </c>
      <c r="AC960" s="67"/>
      <c r="AD960" s="55"/>
    </row>
    <row r="961" spans="1:30" s="52" customFormat="1">
      <c r="A961" s="96" t="s">
        <v>532</v>
      </c>
      <c r="B961" s="168">
        <v>990145</v>
      </c>
      <c r="C961" s="250">
        <f t="shared" si="1681"/>
        <v>82512.08</v>
      </c>
      <c r="D961" s="5">
        <v>1.7500000000000002E-2</v>
      </c>
      <c r="E961" s="5"/>
      <c r="F961" s="5">
        <v>0.19700000000000001</v>
      </c>
      <c r="G961" s="5"/>
      <c r="H961" s="5">
        <v>0.2213</v>
      </c>
      <c r="I961" s="5"/>
      <c r="J961" s="5"/>
      <c r="K961" s="5"/>
      <c r="L961" s="5"/>
      <c r="M961" s="5">
        <v>3.6999999999999998E-2</v>
      </c>
      <c r="N961" s="37"/>
      <c r="O961" s="5"/>
      <c r="P961" s="5"/>
      <c r="Q961" s="5">
        <v>7.1000000000000004E-3</v>
      </c>
      <c r="R961" s="5">
        <v>2.4799999999999999E-2</v>
      </c>
      <c r="S961" s="5">
        <v>5.9999999999999995E-4</v>
      </c>
      <c r="T961" s="5">
        <v>5.5399999999999998E-2</v>
      </c>
      <c r="U961" s="5"/>
      <c r="V961" s="5">
        <v>0.41860000000000003</v>
      </c>
      <c r="W961" s="5">
        <v>2.07E-2</v>
      </c>
      <c r="X961" s="5"/>
      <c r="Y961" s="5"/>
      <c r="Z961" s="5"/>
      <c r="AA961" s="5"/>
      <c r="AB961" s="5"/>
      <c r="AC961" s="67"/>
      <c r="AD961" s="55"/>
    </row>
    <row r="962" spans="1:30" s="52" customFormat="1">
      <c r="A962" s="97"/>
      <c r="B962" s="12"/>
      <c r="C962" s="250"/>
      <c r="D962" s="6">
        <f t="shared" ref="D962" si="1763">$C961*D961</f>
        <v>1443.9614000000001</v>
      </c>
      <c r="E962" s="6">
        <f t="shared" ref="E962" si="1764">$C961*E961</f>
        <v>0</v>
      </c>
      <c r="F962" s="6">
        <f t="shared" ref="F962:AB962" si="1765">$C961*F961</f>
        <v>16254.879760000002</v>
      </c>
      <c r="G962" s="6">
        <f t="shared" si="1765"/>
        <v>0</v>
      </c>
      <c r="H962" s="6">
        <f t="shared" si="1765"/>
        <v>18259.923304</v>
      </c>
      <c r="I962" s="6">
        <f t="shared" si="1765"/>
        <v>0</v>
      </c>
      <c r="J962" s="6">
        <f t="shared" si="1765"/>
        <v>0</v>
      </c>
      <c r="K962" s="6">
        <f t="shared" si="1765"/>
        <v>0</v>
      </c>
      <c r="L962" s="6">
        <f t="shared" si="1765"/>
        <v>0</v>
      </c>
      <c r="M962" s="6">
        <f t="shared" si="1765"/>
        <v>3052.9469599999998</v>
      </c>
      <c r="N962" s="6">
        <f t="shared" si="1765"/>
        <v>0</v>
      </c>
      <c r="O962" s="6">
        <f t="shared" si="1765"/>
        <v>0</v>
      </c>
      <c r="P962" s="6">
        <f t="shared" si="1765"/>
        <v>0</v>
      </c>
      <c r="Q962" s="6">
        <f t="shared" si="1765"/>
        <v>585.83576800000003</v>
      </c>
      <c r="R962" s="6">
        <f t="shared" si="1765"/>
        <v>2046.2995839999999</v>
      </c>
      <c r="S962" s="6">
        <f t="shared" si="1765"/>
        <v>49.507247999999997</v>
      </c>
      <c r="T962" s="6">
        <f t="shared" si="1765"/>
        <v>4571.1692320000002</v>
      </c>
      <c r="U962" s="6">
        <f t="shared" si="1765"/>
        <v>0</v>
      </c>
      <c r="V962" s="6">
        <f t="shared" si="1765"/>
        <v>34539.556688000004</v>
      </c>
      <c r="W962" s="6">
        <f t="shared" si="1765"/>
        <v>1708.0000560000001</v>
      </c>
      <c r="X962" s="6">
        <f t="shared" si="1765"/>
        <v>0</v>
      </c>
      <c r="Y962" s="6">
        <f t="shared" si="1765"/>
        <v>0</v>
      </c>
      <c r="Z962" s="6">
        <f t="shared" si="1765"/>
        <v>0</v>
      </c>
      <c r="AA962" s="6">
        <f t="shared" si="1765"/>
        <v>0</v>
      </c>
      <c r="AB962" s="6">
        <f t="shared" si="1765"/>
        <v>0</v>
      </c>
      <c r="AC962" s="67"/>
      <c r="AD962" s="55"/>
    </row>
    <row r="963" spans="1:30" s="52" customFormat="1">
      <c r="A963" s="96" t="s">
        <v>533</v>
      </c>
      <c r="B963" s="168">
        <v>4696119</v>
      </c>
      <c r="C963" s="250">
        <f t="shared" si="1681"/>
        <v>391343.25</v>
      </c>
      <c r="D963" s="5"/>
      <c r="E963" s="5"/>
      <c r="F963" s="5">
        <v>4.7399999999999998E-2</v>
      </c>
      <c r="G963" s="5"/>
      <c r="H963" s="5"/>
      <c r="I963" s="5"/>
      <c r="J963" s="5"/>
      <c r="K963" s="5"/>
      <c r="L963" s="5"/>
      <c r="M963" s="5"/>
      <c r="N963" s="37"/>
      <c r="O963" s="5"/>
      <c r="P963" s="5"/>
      <c r="Q963" s="5"/>
      <c r="R963" s="5"/>
      <c r="S963" s="5"/>
      <c r="T963" s="5"/>
      <c r="U963" s="5"/>
      <c r="V963" s="5">
        <v>0.9526</v>
      </c>
      <c r="W963" s="5"/>
      <c r="X963" s="5"/>
      <c r="Y963" s="5"/>
      <c r="Z963" s="5"/>
      <c r="AA963" s="5"/>
      <c r="AB963" s="5"/>
      <c r="AC963" s="67"/>
      <c r="AD963" s="55"/>
    </row>
    <row r="964" spans="1:30" s="52" customFormat="1">
      <c r="A964" s="97"/>
      <c r="B964" s="12"/>
      <c r="C964" s="250"/>
      <c r="D964" s="6">
        <f t="shared" ref="D964" si="1766">$C963*D963</f>
        <v>0</v>
      </c>
      <c r="E964" s="6">
        <f t="shared" ref="E964" si="1767">$C963*E963</f>
        <v>0</v>
      </c>
      <c r="F964" s="6">
        <f t="shared" ref="F964:AB964" si="1768">$C963*F963</f>
        <v>18549.670050000001</v>
      </c>
      <c r="G964" s="6">
        <f t="shared" si="1768"/>
        <v>0</v>
      </c>
      <c r="H964" s="6">
        <f t="shared" si="1768"/>
        <v>0</v>
      </c>
      <c r="I964" s="6">
        <f t="shared" si="1768"/>
        <v>0</v>
      </c>
      <c r="J964" s="6">
        <f t="shared" si="1768"/>
        <v>0</v>
      </c>
      <c r="K964" s="6">
        <f t="shared" si="1768"/>
        <v>0</v>
      </c>
      <c r="L964" s="6">
        <f t="shared" si="1768"/>
        <v>0</v>
      </c>
      <c r="M964" s="6">
        <f t="shared" si="1768"/>
        <v>0</v>
      </c>
      <c r="N964" s="6">
        <f t="shared" si="1768"/>
        <v>0</v>
      </c>
      <c r="O964" s="6">
        <f t="shared" si="1768"/>
        <v>0</v>
      </c>
      <c r="P964" s="6">
        <f t="shared" si="1768"/>
        <v>0</v>
      </c>
      <c r="Q964" s="6">
        <f t="shared" si="1768"/>
        <v>0</v>
      </c>
      <c r="R964" s="6">
        <f t="shared" si="1768"/>
        <v>0</v>
      </c>
      <c r="S964" s="6">
        <f t="shared" si="1768"/>
        <v>0</v>
      </c>
      <c r="T964" s="6">
        <f t="shared" si="1768"/>
        <v>0</v>
      </c>
      <c r="U964" s="6">
        <f t="shared" si="1768"/>
        <v>0</v>
      </c>
      <c r="V964" s="6">
        <f t="shared" si="1768"/>
        <v>372793.57994999998</v>
      </c>
      <c r="W964" s="6">
        <f t="shared" si="1768"/>
        <v>0</v>
      </c>
      <c r="X964" s="6">
        <f t="shared" si="1768"/>
        <v>0</v>
      </c>
      <c r="Y964" s="6">
        <f t="shared" si="1768"/>
        <v>0</v>
      </c>
      <c r="Z964" s="6">
        <f t="shared" si="1768"/>
        <v>0</v>
      </c>
      <c r="AA964" s="6">
        <f t="shared" si="1768"/>
        <v>0</v>
      </c>
      <c r="AB964" s="6">
        <f t="shared" si="1768"/>
        <v>0</v>
      </c>
      <c r="AC964" s="67"/>
      <c r="AD964" s="55"/>
    </row>
    <row r="965" spans="1:30" s="52" customFormat="1">
      <c r="A965" s="96" t="s">
        <v>534</v>
      </c>
      <c r="B965" s="168">
        <v>1139687</v>
      </c>
      <c r="C965" s="250">
        <f t="shared" si="1681"/>
        <v>94973.92</v>
      </c>
      <c r="D965" s="5">
        <v>8.0000000000000002E-3</v>
      </c>
      <c r="E965" s="5"/>
      <c r="F965" s="5"/>
      <c r="G965" s="5"/>
      <c r="H965" s="5">
        <v>0.33679999999999999</v>
      </c>
      <c r="I965" s="5"/>
      <c r="J965" s="5"/>
      <c r="K965" s="5"/>
      <c r="L965" s="5"/>
      <c r="M965" s="5">
        <v>2.0899999999999998E-2</v>
      </c>
      <c r="N965" s="37"/>
      <c r="O965" s="5"/>
      <c r="P965" s="5"/>
      <c r="Q965" s="5"/>
      <c r="R965" s="5"/>
      <c r="S965" s="5"/>
      <c r="T965" s="5">
        <v>3.0700000000000002E-2</v>
      </c>
      <c r="U965" s="5"/>
      <c r="V965" s="5">
        <v>0.60360000000000003</v>
      </c>
      <c r="W965" s="5"/>
      <c r="X965" s="5"/>
      <c r="Y965" s="5"/>
      <c r="Z965" s="5"/>
      <c r="AA965" s="5"/>
      <c r="AB965" s="5"/>
      <c r="AC965" s="67"/>
      <c r="AD965" s="55"/>
    </row>
    <row r="966" spans="1:30" s="52" customFormat="1">
      <c r="A966" s="97"/>
      <c r="B966" s="12"/>
      <c r="C966" s="236"/>
      <c r="D966" s="6">
        <f t="shared" ref="D966" si="1769">$C965*D965</f>
        <v>759.79136000000005</v>
      </c>
      <c r="E966" s="6">
        <f t="shared" ref="E966" si="1770">$C965*E965</f>
        <v>0</v>
      </c>
      <c r="F966" s="6">
        <f t="shared" ref="F966:AB966" si="1771">$C965*F965</f>
        <v>0</v>
      </c>
      <c r="G966" s="6">
        <f t="shared" si="1771"/>
        <v>0</v>
      </c>
      <c r="H966" s="6">
        <f t="shared" si="1771"/>
        <v>31987.216256</v>
      </c>
      <c r="I966" s="6">
        <f t="shared" si="1771"/>
        <v>0</v>
      </c>
      <c r="J966" s="6">
        <f t="shared" si="1771"/>
        <v>0</v>
      </c>
      <c r="K966" s="6">
        <f t="shared" si="1771"/>
        <v>0</v>
      </c>
      <c r="L966" s="6">
        <f t="shared" si="1771"/>
        <v>0</v>
      </c>
      <c r="M966" s="6">
        <f t="shared" si="1771"/>
        <v>1984.9549279999999</v>
      </c>
      <c r="N966" s="6">
        <f t="shared" si="1771"/>
        <v>0</v>
      </c>
      <c r="O966" s="6">
        <f t="shared" si="1771"/>
        <v>0</v>
      </c>
      <c r="P966" s="6">
        <f t="shared" si="1771"/>
        <v>0</v>
      </c>
      <c r="Q966" s="6">
        <f t="shared" si="1771"/>
        <v>0</v>
      </c>
      <c r="R966" s="6">
        <f t="shared" si="1771"/>
        <v>0</v>
      </c>
      <c r="S966" s="6">
        <f t="shared" si="1771"/>
        <v>0</v>
      </c>
      <c r="T966" s="6">
        <f t="shared" si="1771"/>
        <v>2915.6993440000001</v>
      </c>
      <c r="U966" s="6">
        <f t="shared" si="1771"/>
        <v>0</v>
      </c>
      <c r="V966" s="6">
        <f t="shared" si="1771"/>
        <v>57326.258112000003</v>
      </c>
      <c r="W966" s="6">
        <f t="shared" si="1771"/>
        <v>0</v>
      </c>
      <c r="X966" s="6">
        <f t="shared" si="1771"/>
        <v>0</v>
      </c>
      <c r="Y966" s="6">
        <f t="shared" si="1771"/>
        <v>0</v>
      </c>
      <c r="Z966" s="6">
        <f t="shared" si="1771"/>
        <v>0</v>
      </c>
      <c r="AA966" s="6">
        <f t="shared" si="1771"/>
        <v>0</v>
      </c>
      <c r="AB966" s="6">
        <f t="shared" si="1771"/>
        <v>0</v>
      </c>
      <c r="AC966" s="67"/>
      <c r="AD966" s="55"/>
    </row>
    <row r="967" spans="1:30" s="52" customFormat="1">
      <c r="A967" s="16" t="s">
        <v>50</v>
      </c>
      <c r="B967" s="9">
        <f>SUM(B927:B965)</f>
        <v>36063681</v>
      </c>
      <c r="C967" s="237">
        <f>SUM(C927:C965)</f>
        <v>3005306.7800000003</v>
      </c>
      <c r="D967" s="9">
        <f>D928+D930+D932+D934+D936+D938+D940+D942+D944+D946+D948+D950+D952+D954+D956+D958+D960+D962+D964+D966</f>
        <v>11991.202321999999</v>
      </c>
      <c r="E967" s="9">
        <f>E928+E930+E932+E934+E936+E938+E940+E942+E944+E946+E948+E950+E952+E954+E956+E958+E960+E962+E964+E966</f>
        <v>5056.2388080000001</v>
      </c>
      <c r="F967" s="9">
        <f t="shared" ref="F967" si="1772">F928+F930+F932+F934+F936+F938+F940+F942+F944+F946+F948+F950+F952+F954+F956+F958+F960+F962+F964+F966</f>
        <v>86101.454448999997</v>
      </c>
      <c r="G967" s="9">
        <f t="shared" ref="G967" si="1773">G928+G930+G932+G934+G936+G938+G940+G942+G944+G946+G948+G950+G952+G954+G956+G958+G960+G962+G964+G966</f>
        <v>2971.6491239999996</v>
      </c>
      <c r="H967" s="9">
        <f t="shared" ref="H967:AB967" si="1774">H928+H930+H932+H934+H936+H938+H940+H942+H944+H946+H948+H950+H952+H954+H956+H958+H960+H962+H964+H966</f>
        <v>394293.65730200004</v>
      </c>
      <c r="I967" s="9">
        <f t="shared" si="1774"/>
        <v>4949.0524589999995</v>
      </c>
      <c r="J967" s="9">
        <f t="shared" si="1774"/>
        <v>783.56917199999998</v>
      </c>
      <c r="K967" s="9">
        <f t="shared" si="1774"/>
        <v>1201.2263250000001</v>
      </c>
      <c r="L967" s="9">
        <f t="shared" si="1774"/>
        <v>632.02985100000001</v>
      </c>
      <c r="M967" s="9">
        <f t="shared" si="1774"/>
        <v>25715.067106999999</v>
      </c>
      <c r="N967" s="9">
        <f t="shared" si="1774"/>
        <v>77984.643400000001</v>
      </c>
      <c r="O967" s="9">
        <f t="shared" si="1774"/>
        <v>698.55930899999998</v>
      </c>
      <c r="P967" s="9">
        <f t="shared" si="1774"/>
        <v>0</v>
      </c>
      <c r="Q967" s="9">
        <f t="shared" si="1774"/>
        <v>18381.818266000002</v>
      </c>
      <c r="R967" s="9">
        <f t="shared" si="1774"/>
        <v>9067.4262510000008</v>
      </c>
      <c r="S967" s="9">
        <f t="shared" si="1774"/>
        <v>1742.9168109999998</v>
      </c>
      <c r="T967" s="9">
        <f t="shared" si="1774"/>
        <v>35495.987349999996</v>
      </c>
      <c r="U967" s="9">
        <f t="shared" si="1774"/>
        <v>657.90241800000001</v>
      </c>
      <c r="V967" s="9">
        <f t="shared" si="1774"/>
        <v>2288073.5622979999</v>
      </c>
      <c r="W967" s="9">
        <f t="shared" si="1774"/>
        <v>11755.957922000001</v>
      </c>
      <c r="X967" s="9">
        <f t="shared" si="1774"/>
        <v>26829.102527999996</v>
      </c>
      <c r="Y967" s="9">
        <f t="shared" si="1774"/>
        <v>738.87981600000001</v>
      </c>
      <c r="Z967" s="9">
        <f t="shared" si="1774"/>
        <v>155.308064</v>
      </c>
      <c r="AA967" s="9">
        <f t="shared" si="1774"/>
        <v>29.568648000000003</v>
      </c>
      <c r="AB967" s="9">
        <f t="shared" si="1774"/>
        <v>0</v>
      </c>
      <c r="AC967" s="67"/>
      <c r="AD967" s="55"/>
    </row>
    <row r="968" spans="1:30" s="52" customFormat="1">
      <c r="A968" s="16"/>
      <c r="B968" s="9"/>
      <c r="C968" s="237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67"/>
      <c r="AD968" s="55"/>
    </row>
    <row r="969" spans="1:30" s="52" customFormat="1">
      <c r="A969" s="87"/>
      <c r="B969" s="26"/>
      <c r="C969" s="238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67"/>
      <c r="AD969" s="55"/>
    </row>
    <row r="970" spans="1:30" s="52" customFormat="1" ht="13.8" thickBot="1">
      <c r="A970" s="82" t="s">
        <v>517</v>
      </c>
      <c r="B970" s="127"/>
      <c r="C970" s="234"/>
      <c r="D970" s="127"/>
      <c r="E970" s="127"/>
      <c r="F970" s="127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67"/>
      <c r="AD970" s="55"/>
    </row>
    <row r="971" spans="1:30" s="52" customFormat="1" ht="13.8" thickBot="1">
      <c r="A971" s="113" t="s">
        <v>1</v>
      </c>
      <c r="B971" s="114" t="s">
        <v>2</v>
      </c>
      <c r="C971" s="239" t="s">
        <v>3</v>
      </c>
      <c r="D971" s="263" t="s">
        <v>4</v>
      </c>
      <c r="E971" s="264"/>
      <c r="F971" s="264"/>
      <c r="G971" s="264"/>
      <c r="H971" s="264"/>
      <c r="I971" s="264"/>
      <c r="J971" s="264"/>
      <c r="K971" s="264"/>
      <c r="L971" s="264"/>
      <c r="M971" s="264"/>
      <c r="N971" s="264"/>
      <c r="O971" s="264"/>
      <c r="P971" s="264"/>
      <c r="Q971" s="264"/>
      <c r="R971" s="264"/>
      <c r="S971" s="264"/>
      <c r="T971" s="264"/>
      <c r="U971" s="264"/>
      <c r="V971" s="264"/>
      <c r="W971" s="264"/>
      <c r="X971" s="264"/>
      <c r="Y971" s="264"/>
      <c r="Z971" s="123"/>
      <c r="AA971" s="123"/>
      <c r="AB971" s="123"/>
      <c r="AC971" s="67"/>
      <c r="AD971" s="55"/>
    </row>
    <row r="972" spans="1:30" s="52" customFormat="1">
      <c r="A972" s="115" t="s">
        <v>5</v>
      </c>
      <c r="B972" s="116" t="s">
        <v>6</v>
      </c>
      <c r="C972" s="240" t="s">
        <v>6</v>
      </c>
      <c r="D972" s="117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9"/>
      <c r="Z972" s="116" t="s">
        <v>7</v>
      </c>
      <c r="AA972" s="116"/>
      <c r="AB972" s="116"/>
      <c r="AC972" s="67"/>
      <c r="AD972" s="55"/>
    </row>
    <row r="973" spans="1:30" s="52" customFormat="1">
      <c r="A973" s="115" t="s">
        <v>8</v>
      </c>
      <c r="B973" s="116" t="s">
        <v>9</v>
      </c>
      <c r="C973" s="240" t="s">
        <v>9</v>
      </c>
      <c r="D973" s="120" t="s">
        <v>10</v>
      </c>
      <c r="E973" s="116" t="s">
        <v>11</v>
      </c>
      <c r="F973" s="116" t="s">
        <v>12</v>
      </c>
      <c r="G973" s="116" t="s">
        <v>13</v>
      </c>
      <c r="H973" s="116" t="s">
        <v>14</v>
      </c>
      <c r="I973" s="116" t="s">
        <v>15</v>
      </c>
      <c r="J973" s="116" t="s">
        <v>16</v>
      </c>
      <c r="K973" s="116" t="s">
        <v>17</v>
      </c>
      <c r="L973" s="116" t="s">
        <v>18</v>
      </c>
      <c r="M973" s="116" t="s">
        <v>19</v>
      </c>
      <c r="N973" s="116" t="s">
        <v>20</v>
      </c>
      <c r="O973" s="116" t="s">
        <v>175</v>
      </c>
      <c r="P973" s="116" t="s">
        <v>21</v>
      </c>
      <c r="Q973" s="116" t="s">
        <v>22</v>
      </c>
      <c r="R973" s="116" t="s">
        <v>23</v>
      </c>
      <c r="S973" s="116" t="s">
        <v>24</v>
      </c>
      <c r="T973" s="116" t="s">
        <v>25</v>
      </c>
      <c r="U973" s="116" t="s">
        <v>26</v>
      </c>
      <c r="V973" s="116" t="s">
        <v>27</v>
      </c>
      <c r="W973" s="116" t="s">
        <v>28</v>
      </c>
      <c r="X973" s="116" t="s">
        <v>29</v>
      </c>
      <c r="Y973" s="116" t="s">
        <v>30</v>
      </c>
      <c r="Z973" s="116" t="s">
        <v>31</v>
      </c>
      <c r="AA973" s="116" t="s">
        <v>493</v>
      </c>
      <c r="AB973" s="116" t="s">
        <v>476</v>
      </c>
      <c r="AC973" s="67"/>
      <c r="AD973" s="55"/>
    </row>
    <row r="974" spans="1:30" s="52" customFormat="1">
      <c r="A974" s="115"/>
      <c r="B974" s="116"/>
      <c r="C974" s="240" t="s">
        <v>617</v>
      </c>
      <c r="D974" s="121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67"/>
      <c r="AD974" s="55"/>
    </row>
    <row r="975" spans="1:30" s="52" customFormat="1">
      <c r="A975" s="96" t="s">
        <v>598</v>
      </c>
      <c r="B975" s="18">
        <v>25987422</v>
      </c>
      <c r="C975" s="242">
        <f>ROUND(B975/12,2)</f>
        <v>2165618.5</v>
      </c>
      <c r="D975" s="8"/>
      <c r="E975" s="8"/>
      <c r="F975" s="5">
        <v>6.7400000000000002E-2</v>
      </c>
      <c r="G975" s="19"/>
      <c r="H975" s="8"/>
      <c r="I975" s="8"/>
      <c r="J975" s="8"/>
      <c r="K975" s="8"/>
      <c r="L975" s="5">
        <v>0.93259999999999998</v>
      </c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67"/>
      <c r="AD975" s="55"/>
    </row>
    <row r="976" spans="1:30" s="52" customFormat="1">
      <c r="A976" s="98"/>
      <c r="B976" s="3"/>
      <c r="C976" s="242"/>
      <c r="D976" s="6">
        <f t="shared" ref="D976" si="1775">$C975*D975</f>
        <v>0</v>
      </c>
      <c r="E976" s="6">
        <f t="shared" ref="E976" si="1776">$C975*E975</f>
        <v>0</v>
      </c>
      <c r="F976" s="6">
        <f t="shared" ref="F976:AB976" si="1777">$C975*F975</f>
        <v>145962.6869</v>
      </c>
      <c r="G976" s="6">
        <f t="shared" si="1777"/>
        <v>0</v>
      </c>
      <c r="H976" s="6">
        <f t="shared" si="1777"/>
        <v>0</v>
      </c>
      <c r="I976" s="6">
        <f t="shared" si="1777"/>
        <v>0</v>
      </c>
      <c r="J976" s="6">
        <f t="shared" si="1777"/>
        <v>0</v>
      </c>
      <c r="K976" s="6">
        <f t="shared" si="1777"/>
        <v>0</v>
      </c>
      <c r="L976" s="6">
        <f t="shared" si="1777"/>
        <v>2019655.8130999999</v>
      </c>
      <c r="M976" s="6">
        <f t="shared" si="1777"/>
        <v>0</v>
      </c>
      <c r="N976" s="6">
        <f t="shared" si="1777"/>
        <v>0</v>
      </c>
      <c r="O976" s="6">
        <f t="shared" si="1777"/>
        <v>0</v>
      </c>
      <c r="P976" s="6">
        <f t="shared" si="1777"/>
        <v>0</v>
      </c>
      <c r="Q976" s="6">
        <f t="shared" si="1777"/>
        <v>0</v>
      </c>
      <c r="R976" s="6">
        <f t="shared" si="1777"/>
        <v>0</v>
      </c>
      <c r="S976" s="6">
        <f t="shared" si="1777"/>
        <v>0</v>
      </c>
      <c r="T976" s="6">
        <f t="shared" si="1777"/>
        <v>0</v>
      </c>
      <c r="U976" s="6">
        <f t="shared" si="1777"/>
        <v>0</v>
      </c>
      <c r="V976" s="6">
        <f t="shared" si="1777"/>
        <v>0</v>
      </c>
      <c r="W976" s="6">
        <f t="shared" si="1777"/>
        <v>0</v>
      </c>
      <c r="X976" s="6">
        <f t="shared" si="1777"/>
        <v>0</v>
      </c>
      <c r="Y976" s="6">
        <f t="shared" si="1777"/>
        <v>0</v>
      </c>
      <c r="Z976" s="6">
        <f t="shared" si="1777"/>
        <v>0</v>
      </c>
      <c r="AA976" s="6">
        <f t="shared" si="1777"/>
        <v>0</v>
      </c>
      <c r="AB976" s="6">
        <f t="shared" si="1777"/>
        <v>0</v>
      </c>
      <c r="AC976" s="67"/>
      <c r="AD976" s="55"/>
    </row>
    <row r="977" spans="1:30" s="52" customFormat="1">
      <c r="A977" s="96" t="s">
        <v>152</v>
      </c>
      <c r="B977" s="29">
        <v>479421</v>
      </c>
      <c r="C977" s="242">
        <f t="shared" ref="C977:C985" si="1778">ROUND(B977/12,2)</f>
        <v>39951.75</v>
      </c>
      <c r="D977" s="5"/>
      <c r="E977" s="5"/>
      <c r="F977" s="5">
        <v>0.9698</v>
      </c>
      <c r="G977" s="5"/>
      <c r="H977" s="5"/>
      <c r="I977" s="5"/>
      <c r="J977" s="5"/>
      <c r="K977" s="5"/>
      <c r="L977" s="5">
        <v>3.0200000000000001E-2</v>
      </c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67"/>
      <c r="AD977" s="55"/>
    </row>
    <row r="978" spans="1:30" s="52" customFormat="1">
      <c r="A978" s="97"/>
      <c r="B978" s="12"/>
      <c r="C978" s="242"/>
      <c r="D978" s="6">
        <f t="shared" ref="D978:S982" si="1779">$C977*D977</f>
        <v>0</v>
      </c>
      <c r="E978" s="6">
        <f t="shared" ref="E978:T980" si="1780">$C977*E977</f>
        <v>0</v>
      </c>
      <c r="F978" s="6">
        <f t="shared" ref="F978:AB978" si="1781">$C977*F977</f>
        <v>38745.207150000002</v>
      </c>
      <c r="G978" s="6">
        <f t="shared" si="1781"/>
        <v>0</v>
      </c>
      <c r="H978" s="6">
        <f t="shared" si="1781"/>
        <v>0</v>
      </c>
      <c r="I978" s="6">
        <f t="shared" si="1781"/>
        <v>0</v>
      </c>
      <c r="J978" s="6">
        <f t="shared" si="1781"/>
        <v>0</v>
      </c>
      <c r="K978" s="6">
        <f t="shared" si="1781"/>
        <v>0</v>
      </c>
      <c r="L978" s="6">
        <f t="shared" si="1781"/>
        <v>1206.54285</v>
      </c>
      <c r="M978" s="6">
        <f t="shared" si="1781"/>
        <v>0</v>
      </c>
      <c r="N978" s="6">
        <f t="shared" si="1781"/>
        <v>0</v>
      </c>
      <c r="O978" s="6">
        <f t="shared" si="1781"/>
        <v>0</v>
      </c>
      <c r="P978" s="6">
        <f t="shared" si="1781"/>
        <v>0</v>
      </c>
      <c r="Q978" s="6">
        <f t="shared" si="1781"/>
        <v>0</v>
      </c>
      <c r="R978" s="6">
        <f t="shared" si="1781"/>
        <v>0</v>
      </c>
      <c r="S978" s="6">
        <f t="shared" si="1781"/>
        <v>0</v>
      </c>
      <c r="T978" s="6">
        <f t="shared" si="1781"/>
        <v>0</v>
      </c>
      <c r="U978" s="6">
        <f t="shared" si="1781"/>
        <v>0</v>
      </c>
      <c r="V978" s="6">
        <f t="shared" si="1781"/>
        <v>0</v>
      </c>
      <c r="W978" s="6">
        <f t="shared" si="1781"/>
        <v>0</v>
      </c>
      <c r="X978" s="6">
        <f t="shared" si="1781"/>
        <v>0</v>
      </c>
      <c r="Y978" s="6">
        <f t="shared" si="1781"/>
        <v>0</v>
      </c>
      <c r="Z978" s="6">
        <f t="shared" si="1781"/>
        <v>0</v>
      </c>
      <c r="AA978" s="6">
        <f t="shared" si="1781"/>
        <v>0</v>
      </c>
      <c r="AB978" s="6">
        <f t="shared" si="1781"/>
        <v>0</v>
      </c>
      <c r="AC978" s="67"/>
      <c r="AD978" s="55"/>
    </row>
    <row r="979" spans="1:30" s="52" customFormat="1">
      <c r="A979" s="96" t="s">
        <v>621</v>
      </c>
      <c r="B979" s="29">
        <v>918423</v>
      </c>
      <c r="C979" s="242">
        <f t="shared" si="1778"/>
        <v>76535.25</v>
      </c>
      <c r="D979" s="5"/>
      <c r="E979" s="5"/>
      <c r="F979" s="171">
        <v>0</v>
      </c>
      <c r="G979" s="5"/>
      <c r="H979" s="5"/>
      <c r="I979" s="5"/>
      <c r="J979" s="5"/>
      <c r="K979" s="5"/>
      <c r="L979" s="171">
        <v>1</v>
      </c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67"/>
      <c r="AD979" s="55"/>
    </row>
    <row r="980" spans="1:30" s="52" customFormat="1">
      <c r="A980" s="97"/>
      <c r="B980" s="12"/>
      <c r="C980" s="242"/>
      <c r="D980" s="6">
        <f t="shared" si="1779"/>
        <v>0</v>
      </c>
      <c r="E980" s="6">
        <f t="shared" si="1780"/>
        <v>0</v>
      </c>
      <c r="F980" s="6">
        <f t="shared" si="1780"/>
        <v>0</v>
      </c>
      <c r="G980" s="6">
        <f t="shared" si="1780"/>
        <v>0</v>
      </c>
      <c r="H980" s="6">
        <f t="shared" si="1780"/>
        <v>0</v>
      </c>
      <c r="I980" s="6">
        <f t="shared" si="1780"/>
        <v>0</v>
      </c>
      <c r="J980" s="6">
        <f t="shared" si="1780"/>
        <v>0</v>
      </c>
      <c r="K980" s="6">
        <f t="shared" si="1780"/>
        <v>0</v>
      </c>
      <c r="L980" s="6">
        <f t="shared" si="1780"/>
        <v>76535.25</v>
      </c>
      <c r="M980" s="6">
        <f t="shared" si="1780"/>
        <v>0</v>
      </c>
      <c r="N980" s="6">
        <f t="shared" si="1780"/>
        <v>0</v>
      </c>
      <c r="O980" s="6">
        <f t="shared" si="1780"/>
        <v>0</v>
      </c>
      <c r="P980" s="6">
        <f t="shared" si="1780"/>
        <v>0</v>
      </c>
      <c r="Q980" s="6">
        <f t="shared" si="1780"/>
        <v>0</v>
      </c>
      <c r="R980" s="6">
        <f t="shared" si="1780"/>
        <v>0</v>
      </c>
      <c r="S980" s="6">
        <f t="shared" si="1780"/>
        <v>0</v>
      </c>
      <c r="T980" s="6">
        <f t="shared" si="1780"/>
        <v>0</v>
      </c>
      <c r="U980" s="6">
        <f t="shared" ref="U980:AB980" si="1782">$C979*U979</f>
        <v>0</v>
      </c>
      <c r="V980" s="6">
        <f t="shared" si="1782"/>
        <v>0</v>
      </c>
      <c r="W980" s="6">
        <f t="shared" si="1782"/>
        <v>0</v>
      </c>
      <c r="X980" s="6">
        <f t="shared" si="1782"/>
        <v>0</v>
      </c>
      <c r="Y980" s="6">
        <f t="shared" si="1782"/>
        <v>0</v>
      </c>
      <c r="Z980" s="6">
        <f t="shared" si="1782"/>
        <v>0</v>
      </c>
      <c r="AA980" s="6">
        <f t="shared" si="1782"/>
        <v>0</v>
      </c>
      <c r="AB980" s="6">
        <f t="shared" si="1782"/>
        <v>0</v>
      </c>
      <c r="AC980" s="67"/>
      <c r="AD980" s="55"/>
    </row>
    <row r="981" spans="1:30" s="52" customFormat="1">
      <c r="A981" s="96" t="s">
        <v>622</v>
      </c>
      <c r="B981" s="29">
        <v>15634</v>
      </c>
      <c r="C981" s="242">
        <f t="shared" si="1778"/>
        <v>1302.83</v>
      </c>
      <c r="D981" s="5"/>
      <c r="E981" s="5"/>
      <c r="F981" s="5"/>
      <c r="G981" s="5">
        <v>0.3821</v>
      </c>
      <c r="H981" s="5"/>
      <c r="I981" s="5"/>
      <c r="J981" s="5"/>
      <c r="K981" s="5"/>
      <c r="L981" s="5">
        <v>0.6179</v>
      </c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67"/>
      <c r="AD981" s="55"/>
    </row>
    <row r="982" spans="1:30" s="52" customFormat="1">
      <c r="A982" s="97"/>
      <c r="B982" s="12"/>
      <c r="C982" s="242"/>
      <c r="D982" s="6">
        <f t="shared" si="1779"/>
        <v>0</v>
      </c>
      <c r="E982" s="6">
        <f t="shared" si="1779"/>
        <v>0</v>
      </c>
      <c r="F982" s="6">
        <f t="shared" si="1779"/>
        <v>0</v>
      </c>
      <c r="G982" s="6">
        <f t="shared" si="1779"/>
        <v>497.81134299999997</v>
      </c>
      <c r="H982" s="6">
        <f t="shared" si="1779"/>
        <v>0</v>
      </c>
      <c r="I982" s="6">
        <f t="shared" si="1779"/>
        <v>0</v>
      </c>
      <c r="J982" s="6">
        <f t="shared" si="1779"/>
        <v>0</v>
      </c>
      <c r="K982" s="6">
        <f t="shared" si="1779"/>
        <v>0</v>
      </c>
      <c r="L982" s="6">
        <f t="shared" si="1779"/>
        <v>805.01865699999996</v>
      </c>
      <c r="M982" s="6">
        <f t="shared" si="1779"/>
        <v>0</v>
      </c>
      <c r="N982" s="6">
        <f t="shared" si="1779"/>
        <v>0</v>
      </c>
      <c r="O982" s="6">
        <f t="shared" si="1779"/>
        <v>0</v>
      </c>
      <c r="P982" s="6">
        <f t="shared" si="1779"/>
        <v>0</v>
      </c>
      <c r="Q982" s="6">
        <f t="shared" si="1779"/>
        <v>0</v>
      </c>
      <c r="R982" s="6">
        <f t="shared" si="1779"/>
        <v>0</v>
      </c>
      <c r="S982" s="6">
        <f t="shared" si="1779"/>
        <v>0</v>
      </c>
      <c r="T982" s="6">
        <f t="shared" ref="T982:AB982" si="1783">$C981*T981</f>
        <v>0</v>
      </c>
      <c r="U982" s="6">
        <f t="shared" si="1783"/>
        <v>0</v>
      </c>
      <c r="V982" s="6">
        <f t="shared" si="1783"/>
        <v>0</v>
      </c>
      <c r="W982" s="6">
        <f t="shared" si="1783"/>
        <v>0</v>
      </c>
      <c r="X982" s="6">
        <f t="shared" si="1783"/>
        <v>0</v>
      </c>
      <c r="Y982" s="6">
        <f t="shared" si="1783"/>
        <v>0</v>
      </c>
      <c r="Z982" s="6">
        <f t="shared" si="1783"/>
        <v>0</v>
      </c>
      <c r="AA982" s="6">
        <f t="shared" si="1783"/>
        <v>0</v>
      </c>
      <c r="AB982" s="6">
        <f t="shared" si="1783"/>
        <v>0</v>
      </c>
      <c r="AC982" s="67"/>
      <c r="AD982" s="55"/>
    </row>
    <row r="983" spans="1:30" s="52" customFormat="1">
      <c r="A983" s="96" t="s">
        <v>623</v>
      </c>
      <c r="B983" s="29">
        <v>1679791</v>
      </c>
      <c r="C983" s="242">
        <f t="shared" si="1778"/>
        <v>139982.57999999999</v>
      </c>
      <c r="D983" s="5"/>
      <c r="E983" s="5"/>
      <c r="F983" s="5">
        <v>0.18690000000000001</v>
      </c>
      <c r="G983" s="5"/>
      <c r="H983" s="5"/>
      <c r="I983" s="5"/>
      <c r="J983" s="5"/>
      <c r="K983" s="5"/>
      <c r="L983" s="5">
        <v>0.81310000000000004</v>
      </c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67"/>
      <c r="AD983" s="55"/>
    </row>
    <row r="984" spans="1:30" s="52" customFormat="1">
      <c r="A984" s="97"/>
      <c r="B984" s="12"/>
      <c r="C984" s="242"/>
      <c r="D984" s="6">
        <f t="shared" ref="D984:AB984" si="1784">$C983*D983</f>
        <v>0</v>
      </c>
      <c r="E984" s="6">
        <f t="shared" si="1784"/>
        <v>0</v>
      </c>
      <c r="F984" s="6">
        <f t="shared" si="1784"/>
        <v>26162.744201999998</v>
      </c>
      <c r="G984" s="6">
        <f t="shared" si="1784"/>
        <v>0</v>
      </c>
      <c r="H984" s="6">
        <f t="shared" si="1784"/>
        <v>0</v>
      </c>
      <c r="I984" s="6">
        <f t="shared" si="1784"/>
        <v>0</v>
      </c>
      <c r="J984" s="6">
        <f t="shared" si="1784"/>
        <v>0</v>
      </c>
      <c r="K984" s="6">
        <f t="shared" si="1784"/>
        <v>0</v>
      </c>
      <c r="L984" s="6">
        <f t="shared" si="1784"/>
        <v>113819.835798</v>
      </c>
      <c r="M984" s="6">
        <f t="shared" si="1784"/>
        <v>0</v>
      </c>
      <c r="N984" s="6">
        <f t="shared" si="1784"/>
        <v>0</v>
      </c>
      <c r="O984" s="6">
        <f t="shared" si="1784"/>
        <v>0</v>
      </c>
      <c r="P984" s="6">
        <f t="shared" si="1784"/>
        <v>0</v>
      </c>
      <c r="Q984" s="6">
        <f t="shared" si="1784"/>
        <v>0</v>
      </c>
      <c r="R984" s="6">
        <f t="shared" si="1784"/>
        <v>0</v>
      </c>
      <c r="S984" s="6">
        <f t="shared" si="1784"/>
        <v>0</v>
      </c>
      <c r="T984" s="6">
        <f t="shared" si="1784"/>
        <v>0</v>
      </c>
      <c r="U984" s="6">
        <f t="shared" si="1784"/>
        <v>0</v>
      </c>
      <c r="V984" s="6">
        <f t="shared" si="1784"/>
        <v>0</v>
      </c>
      <c r="W984" s="6">
        <f t="shared" si="1784"/>
        <v>0</v>
      </c>
      <c r="X984" s="6">
        <f t="shared" si="1784"/>
        <v>0</v>
      </c>
      <c r="Y984" s="6">
        <f t="shared" si="1784"/>
        <v>0</v>
      </c>
      <c r="Z984" s="6">
        <f t="shared" si="1784"/>
        <v>0</v>
      </c>
      <c r="AA984" s="6">
        <f t="shared" si="1784"/>
        <v>0</v>
      </c>
      <c r="AB984" s="6">
        <f t="shared" si="1784"/>
        <v>0</v>
      </c>
      <c r="AC984" s="67"/>
      <c r="AD984" s="55"/>
    </row>
    <row r="985" spans="1:30" s="52" customFormat="1">
      <c r="A985" s="96" t="s">
        <v>624</v>
      </c>
      <c r="B985" s="29">
        <v>1151053</v>
      </c>
      <c r="C985" s="242">
        <f t="shared" si="1778"/>
        <v>95921.08</v>
      </c>
      <c r="D985" s="5">
        <v>9.9000000000000008E-3</v>
      </c>
      <c r="E985" s="5"/>
      <c r="F985" s="5">
        <v>0.66139999999999999</v>
      </c>
      <c r="G985" s="5"/>
      <c r="H985" s="5">
        <v>4.5999999999999999E-2</v>
      </c>
      <c r="I985" s="5"/>
      <c r="J985" s="5"/>
      <c r="K985" s="5"/>
      <c r="L985" s="5"/>
      <c r="M985" s="5">
        <v>5.8299999999999998E-2</v>
      </c>
      <c r="N985" s="5">
        <v>8.8099999999999998E-2</v>
      </c>
      <c r="O985" s="5"/>
      <c r="P985" s="5">
        <v>4.0000000000000002E-4</v>
      </c>
      <c r="Q985" s="5"/>
      <c r="R985" s="5"/>
      <c r="S985" s="5">
        <v>1.1999999999999999E-3</v>
      </c>
      <c r="T985" s="5">
        <v>3.39E-2</v>
      </c>
      <c r="U985" s="5"/>
      <c r="V985" s="5">
        <v>6.2899999999999998E-2</v>
      </c>
      <c r="W985" s="5"/>
      <c r="X985" s="5">
        <v>3.4500000000000003E-2</v>
      </c>
      <c r="Y985" s="5"/>
      <c r="Z985" s="5">
        <v>3.3999999999999998E-3</v>
      </c>
      <c r="AA985" s="5"/>
      <c r="AB985" s="5"/>
      <c r="AC985" s="67"/>
      <c r="AD985" s="55"/>
    </row>
    <row r="986" spans="1:30" s="52" customFormat="1">
      <c r="A986" s="97"/>
      <c r="B986" s="12"/>
      <c r="C986" s="236"/>
      <c r="D986" s="6">
        <f>$C985*D985</f>
        <v>949.61869200000012</v>
      </c>
      <c r="E986" s="6">
        <f t="shared" ref="E986:AB986" si="1785">$C985*E985</f>
        <v>0</v>
      </c>
      <c r="F986" s="6">
        <f t="shared" si="1785"/>
        <v>63442.202312000001</v>
      </c>
      <c r="G986" s="6">
        <f t="shared" si="1785"/>
        <v>0</v>
      </c>
      <c r="H986" s="6">
        <f t="shared" si="1785"/>
        <v>4412.3696799999998</v>
      </c>
      <c r="I986" s="6">
        <f t="shared" si="1785"/>
        <v>0</v>
      </c>
      <c r="J986" s="6">
        <f t="shared" si="1785"/>
        <v>0</v>
      </c>
      <c r="K986" s="6">
        <f t="shared" si="1785"/>
        <v>0</v>
      </c>
      <c r="L986" s="6">
        <f t="shared" si="1785"/>
        <v>0</v>
      </c>
      <c r="M986" s="6">
        <f t="shared" si="1785"/>
        <v>5592.1989640000002</v>
      </c>
      <c r="N986" s="6">
        <f t="shared" si="1785"/>
        <v>8450.647148</v>
      </c>
      <c r="O986" s="6">
        <f t="shared" si="1785"/>
        <v>0</v>
      </c>
      <c r="P986" s="6">
        <f t="shared" si="1785"/>
        <v>38.368432000000006</v>
      </c>
      <c r="Q986" s="6">
        <f t="shared" si="1785"/>
        <v>0</v>
      </c>
      <c r="R986" s="6">
        <f t="shared" si="1785"/>
        <v>0</v>
      </c>
      <c r="S986" s="6">
        <f t="shared" si="1785"/>
        <v>115.105296</v>
      </c>
      <c r="T986" s="6">
        <f t="shared" si="1785"/>
        <v>3251.724612</v>
      </c>
      <c r="U986" s="6">
        <f t="shared" si="1785"/>
        <v>0</v>
      </c>
      <c r="V986" s="6">
        <f t="shared" si="1785"/>
        <v>6033.4359320000003</v>
      </c>
      <c r="W986" s="6">
        <f t="shared" si="1785"/>
        <v>0</v>
      </c>
      <c r="X986" s="6">
        <f t="shared" si="1785"/>
        <v>3309.2772600000003</v>
      </c>
      <c r="Y986" s="6">
        <f t="shared" si="1785"/>
        <v>0</v>
      </c>
      <c r="Z986" s="6">
        <f t="shared" si="1785"/>
        <v>326.13167199999998</v>
      </c>
      <c r="AA986" s="6">
        <f t="shared" si="1785"/>
        <v>0</v>
      </c>
      <c r="AB986" s="6">
        <f t="shared" si="1785"/>
        <v>0</v>
      </c>
      <c r="AC986" s="67"/>
      <c r="AD986" s="55"/>
    </row>
    <row r="987" spans="1:30" s="52" customFormat="1">
      <c r="A987" s="16" t="s">
        <v>50</v>
      </c>
      <c r="B987" s="9">
        <f>SUM(B975:B985)</f>
        <v>30231744</v>
      </c>
      <c r="C987" s="237">
        <f>SUM(C975:C985)</f>
        <v>2519311.9900000002</v>
      </c>
      <c r="D987" s="9">
        <f>D976+D978+D980+D982+D984+D986</f>
        <v>949.61869200000012</v>
      </c>
      <c r="E987" s="9">
        <f>E976+E978+E980+E982+E984+E986</f>
        <v>0</v>
      </c>
      <c r="F987" s="9">
        <f>F976+F978+F980+F982+F984+F986</f>
        <v>274312.84056400001</v>
      </c>
      <c r="G987" s="9">
        <f t="shared" ref="G987:AB987" si="1786">G976+G978+G980+G982+G984+G986</f>
        <v>497.81134299999997</v>
      </c>
      <c r="H987" s="9">
        <f t="shared" si="1786"/>
        <v>4412.3696799999998</v>
      </c>
      <c r="I987" s="9">
        <f t="shared" si="1786"/>
        <v>0</v>
      </c>
      <c r="J987" s="9">
        <f t="shared" si="1786"/>
        <v>0</v>
      </c>
      <c r="K987" s="9">
        <f t="shared" si="1786"/>
        <v>0</v>
      </c>
      <c r="L987" s="9">
        <f t="shared" si="1786"/>
        <v>2212022.4604049996</v>
      </c>
      <c r="M987" s="9">
        <f t="shared" si="1786"/>
        <v>5592.1989640000002</v>
      </c>
      <c r="N987" s="9">
        <f t="shared" si="1786"/>
        <v>8450.647148</v>
      </c>
      <c r="O987" s="9">
        <f t="shared" si="1786"/>
        <v>0</v>
      </c>
      <c r="P987" s="9">
        <f t="shared" si="1786"/>
        <v>38.368432000000006</v>
      </c>
      <c r="Q987" s="9">
        <f t="shared" si="1786"/>
        <v>0</v>
      </c>
      <c r="R987" s="9">
        <f t="shared" si="1786"/>
        <v>0</v>
      </c>
      <c r="S987" s="9">
        <f t="shared" si="1786"/>
        <v>115.105296</v>
      </c>
      <c r="T987" s="9">
        <f t="shared" si="1786"/>
        <v>3251.724612</v>
      </c>
      <c r="U987" s="9">
        <f t="shared" si="1786"/>
        <v>0</v>
      </c>
      <c r="V987" s="9">
        <f t="shared" si="1786"/>
        <v>6033.4359320000003</v>
      </c>
      <c r="W987" s="9">
        <f t="shared" si="1786"/>
        <v>0</v>
      </c>
      <c r="X987" s="9">
        <f t="shared" si="1786"/>
        <v>3309.2772600000003</v>
      </c>
      <c r="Y987" s="9">
        <f t="shared" si="1786"/>
        <v>0</v>
      </c>
      <c r="Z987" s="9">
        <f t="shared" si="1786"/>
        <v>326.13167199999998</v>
      </c>
      <c r="AA987" s="9">
        <f t="shared" si="1786"/>
        <v>0</v>
      </c>
      <c r="AB987" s="9">
        <f t="shared" si="1786"/>
        <v>0</v>
      </c>
      <c r="AC987" s="67"/>
      <c r="AD987" s="55"/>
    </row>
    <row r="988" spans="1:30" s="52" customFormat="1">
      <c r="A988" s="16"/>
      <c r="B988" s="9"/>
      <c r="C988" s="237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67"/>
      <c r="AD988" s="55"/>
    </row>
    <row r="989" spans="1:30" s="52" customFormat="1">
      <c r="A989" s="87"/>
      <c r="B989" s="17"/>
      <c r="C989" s="238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67"/>
      <c r="AD989" s="55"/>
    </row>
    <row r="990" spans="1:30" s="52" customFormat="1" ht="13.8" thickBot="1">
      <c r="A990" s="82" t="s">
        <v>277</v>
      </c>
      <c r="B990" s="127"/>
      <c r="C990" s="234"/>
      <c r="D990" s="127"/>
      <c r="E990" s="127"/>
      <c r="F990" s="127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67"/>
      <c r="AD990" s="55"/>
    </row>
    <row r="991" spans="1:30" s="52" customFormat="1" ht="13.8" thickBot="1">
      <c r="A991" s="113" t="s">
        <v>1</v>
      </c>
      <c r="B991" s="114" t="s">
        <v>2</v>
      </c>
      <c r="C991" s="239" t="s">
        <v>3</v>
      </c>
      <c r="D991" s="263" t="s">
        <v>4</v>
      </c>
      <c r="E991" s="264"/>
      <c r="F991" s="264"/>
      <c r="G991" s="264"/>
      <c r="H991" s="264"/>
      <c r="I991" s="264"/>
      <c r="J991" s="264"/>
      <c r="K991" s="264"/>
      <c r="L991" s="264"/>
      <c r="M991" s="264"/>
      <c r="N991" s="264"/>
      <c r="O991" s="264"/>
      <c r="P991" s="264"/>
      <c r="Q991" s="264"/>
      <c r="R991" s="264"/>
      <c r="S991" s="264"/>
      <c r="T991" s="264"/>
      <c r="U991" s="264"/>
      <c r="V991" s="264"/>
      <c r="W991" s="264"/>
      <c r="X991" s="264"/>
      <c r="Y991" s="264"/>
      <c r="Z991" s="123"/>
      <c r="AA991" s="123"/>
      <c r="AB991" s="123"/>
      <c r="AC991" s="67"/>
      <c r="AD991" s="55"/>
    </row>
    <row r="992" spans="1:30" s="52" customFormat="1">
      <c r="A992" s="115" t="s">
        <v>5</v>
      </c>
      <c r="B992" s="116" t="s">
        <v>6</v>
      </c>
      <c r="C992" s="240" t="s">
        <v>6</v>
      </c>
      <c r="D992" s="117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9"/>
      <c r="Z992" s="116" t="s">
        <v>7</v>
      </c>
      <c r="AA992" s="116"/>
      <c r="AB992" s="116"/>
      <c r="AC992" s="67"/>
      <c r="AD992" s="55"/>
    </row>
    <row r="993" spans="1:30" s="52" customFormat="1">
      <c r="A993" s="115" t="s">
        <v>8</v>
      </c>
      <c r="B993" s="116" t="s">
        <v>9</v>
      </c>
      <c r="C993" s="240" t="s">
        <v>9</v>
      </c>
      <c r="D993" s="120" t="s">
        <v>10</v>
      </c>
      <c r="E993" s="116" t="s">
        <v>11</v>
      </c>
      <c r="F993" s="116" t="s">
        <v>12</v>
      </c>
      <c r="G993" s="116" t="s">
        <v>13</v>
      </c>
      <c r="H993" s="116" t="s">
        <v>14</v>
      </c>
      <c r="I993" s="116" t="s">
        <v>15</v>
      </c>
      <c r="J993" s="116" t="s">
        <v>16</v>
      </c>
      <c r="K993" s="116" t="s">
        <v>17</v>
      </c>
      <c r="L993" s="116" t="s">
        <v>18</v>
      </c>
      <c r="M993" s="116" t="s">
        <v>19</v>
      </c>
      <c r="N993" s="116" t="s">
        <v>20</v>
      </c>
      <c r="O993" s="116" t="s">
        <v>175</v>
      </c>
      <c r="P993" s="116" t="s">
        <v>21</v>
      </c>
      <c r="Q993" s="116" t="s">
        <v>22</v>
      </c>
      <c r="R993" s="116" t="s">
        <v>23</v>
      </c>
      <c r="S993" s="116" t="s">
        <v>24</v>
      </c>
      <c r="T993" s="116" t="s">
        <v>25</v>
      </c>
      <c r="U993" s="116" t="s">
        <v>26</v>
      </c>
      <c r="V993" s="116" t="s">
        <v>27</v>
      </c>
      <c r="W993" s="116" t="s">
        <v>28</v>
      </c>
      <c r="X993" s="116" t="s">
        <v>29</v>
      </c>
      <c r="Y993" s="116" t="s">
        <v>30</v>
      </c>
      <c r="Z993" s="116" t="s">
        <v>31</v>
      </c>
      <c r="AA993" s="116" t="s">
        <v>493</v>
      </c>
      <c r="AB993" s="116" t="s">
        <v>476</v>
      </c>
      <c r="AC993" s="67"/>
      <c r="AD993" s="55"/>
    </row>
    <row r="994" spans="1:30" s="52" customFormat="1">
      <c r="A994" s="115"/>
      <c r="B994" s="116"/>
      <c r="C994" s="240" t="s">
        <v>617</v>
      </c>
      <c r="D994" s="121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  <c r="AA994" s="122"/>
      <c r="AB994" s="122"/>
      <c r="AC994" s="67"/>
      <c r="AD994" s="55"/>
    </row>
    <row r="995" spans="1:30" s="52" customFormat="1">
      <c r="A995" s="96" t="s">
        <v>278</v>
      </c>
      <c r="B995" s="29">
        <v>26306995</v>
      </c>
      <c r="C995" s="242">
        <f>ROUND(B995/12,2)</f>
        <v>2192249.58</v>
      </c>
      <c r="D995" s="20"/>
      <c r="E995" s="20">
        <v>4.1300000000000003E-2</v>
      </c>
      <c r="F995" s="5">
        <v>2.23E-2</v>
      </c>
      <c r="G995" s="19">
        <v>8.0000000000000004E-4</v>
      </c>
      <c r="H995" s="20"/>
      <c r="I995" s="20">
        <v>0.92989999999999995</v>
      </c>
      <c r="J995" s="20">
        <v>4.1000000000000003E-3</v>
      </c>
      <c r="K995" s="20"/>
      <c r="L995" s="5"/>
      <c r="M995" s="20"/>
      <c r="N995" s="20">
        <v>1.6000000000000001E-3</v>
      </c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67"/>
      <c r="AD995" s="55"/>
    </row>
    <row r="996" spans="1:30" s="52" customFormat="1">
      <c r="A996" s="98"/>
      <c r="B996" s="3"/>
      <c r="C996" s="242"/>
      <c r="D996" s="6"/>
      <c r="E996" s="6">
        <f>$C995*E995</f>
        <v>90539.90765400001</v>
      </c>
      <c r="F996" s="6">
        <f>$C995*F995</f>
        <v>48887.165634000005</v>
      </c>
      <c r="G996" s="6">
        <f>$C995*G995</f>
        <v>1753.7996640000001</v>
      </c>
      <c r="H996" s="6"/>
      <c r="I996" s="6">
        <f>$C995*I995</f>
        <v>2038572.884442</v>
      </c>
      <c r="J996" s="6">
        <f>$C995*J995</f>
        <v>8988.2232780000013</v>
      </c>
      <c r="K996" s="6"/>
      <c r="L996" s="6"/>
      <c r="M996" s="6"/>
      <c r="N996" s="6">
        <f>$C995*N995</f>
        <v>3507.5993280000002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7"/>
      <c r="AD996" s="55"/>
    </row>
    <row r="997" spans="1:30" s="52" customFormat="1">
      <c r="A997" s="96" t="s">
        <v>392</v>
      </c>
      <c r="B997" s="29">
        <v>1237477</v>
      </c>
      <c r="C997" s="242">
        <f t="shared" ref="C997:C999" si="1787">ROUND(B997/12,2)</f>
        <v>103123.08</v>
      </c>
      <c r="D997" s="5"/>
      <c r="E997" s="5">
        <v>3.3399999999999999E-2</v>
      </c>
      <c r="F997" s="5"/>
      <c r="G997" s="5">
        <v>3.4299999999999997E-2</v>
      </c>
      <c r="H997" s="5"/>
      <c r="I997" s="5">
        <v>0.92020000000000002</v>
      </c>
      <c r="J997" s="5"/>
      <c r="K997" s="5"/>
      <c r="L997" s="5">
        <v>1.21E-2</v>
      </c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67"/>
      <c r="AD997" s="55"/>
    </row>
    <row r="998" spans="1:30" s="52" customFormat="1">
      <c r="A998" s="97"/>
      <c r="B998" s="12"/>
      <c r="C998" s="242"/>
      <c r="D998" s="6"/>
      <c r="E998" s="6">
        <f>$C997*E997</f>
        <v>3444.310872</v>
      </c>
      <c r="F998" s="6">
        <f>$C997*F997</f>
        <v>0</v>
      </c>
      <c r="G998" s="6">
        <f>$C997*G997</f>
        <v>3537.1216439999998</v>
      </c>
      <c r="H998" s="6"/>
      <c r="I998" s="6">
        <f>$C997*I997</f>
        <v>94893.858216000008</v>
      </c>
      <c r="J998" s="6">
        <f>$C997*J997</f>
        <v>0</v>
      </c>
      <c r="K998" s="6"/>
      <c r="L998" s="6">
        <f>$C997*L997</f>
        <v>1247.789268</v>
      </c>
      <c r="M998" s="6"/>
      <c r="N998" s="6">
        <f>$C997*N997</f>
        <v>0</v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7"/>
      <c r="AD998" s="55"/>
    </row>
    <row r="999" spans="1:30" s="156" customFormat="1">
      <c r="A999" s="159" t="s">
        <v>535</v>
      </c>
      <c r="B999" s="29">
        <v>1264044</v>
      </c>
      <c r="C999" s="242">
        <f t="shared" si="1787"/>
        <v>105337</v>
      </c>
      <c r="D999" s="154">
        <v>1.8E-3</v>
      </c>
      <c r="E999" s="154">
        <v>0.18679999999999999</v>
      </c>
      <c r="F999" s="154">
        <v>5.8599999999999999E-2</v>
      </c>
      <c r="G999" s="154">
        <v>7.85E-2</v>
      </c>
      <c r="H999" s="154">
        <v>3.32E-2</v>
      </c>
      <c r="I999" s="154">
        <v>0.3821</v>
      </c>
      <c r="J999" s="154">
        <v>2.76E-2</v>
      </c>
      <c r="K999" s="154">
        <v>4.1300000000000003E-2</v>
      </c>
      <c r="L999" s="154">
        <v>2.23E-2</v>
      </c>
      <c r="M999" s="154">
        <v>1.9699999999999999E-2</v>
      </c>
      <c r="N999" s="154">
        <v>5.1499999999999997E-2</v>
      </c>
      <c r="O999" s="154">
        <v>1.3599999999999999E-2</v>
      </c>
      <c r="P999" s="154">
        <v>5.0000000000000001E-4</v>
      </c>
      <c r="Q999" s="154">
        <v>5.1999999999999998E-3</v>
      </c>
      <c r="R999" s="154">
        <v>4.0000000000000002E-4</v>
      </c>
      <c r="S999" s="154">
        <v>4.0000000000000002E-4</v>
      </c>
      <c r="T999" s="154">
        <v>1.0800000000000001E-2</v>
      </c>
      <c r="U999" s="154">
        <v>1.2500000000000001E-2</v>
      </c>
      <c r="V999" s="154">
        <v>3.56E-2</v>
      </c>
      <c r="W999" s="154">
        <v>4.4999999999999997E-3</v>
      </c>
      <c r="X999" s="154">
        <v>1.17E-2</v>
      </c>
      <c r="Y999" s="154">
        <v>1.4E-3</v>
      </c>
      <c r="Z999" s="154"/>
      <c r="AA999" s="154"/>
      <c r="AB999" s="154"/>
      <c r="AC999" s="67"/>
      <c r="AD999" s="155"/>
    </row>
    <row r="1000" spans="1:30" s="52" customFormat="1">
      <c r="A1000" s="97"/>
      <c r="B1000" s="12"/>
      <c r="C1000" s="236"/>
      <c r="D1000" s="6">
        <f>$C999*D999</f>
        <v>189.60659999999999</v>
      </c>
      <c r="E1000" s="6">
        <f>$C999*E999</f>
        <v>19676.9516</v>
      </c>
      <c r="F1000" s="6">
        <f>$C999*F999</f>
        <v>6172.7482</v>
      </c>
      <c r="G1000" s="6">
        <f>$C999*G999</f>
        <v>8268.9544999999998</v>
      </c>
      <c r="H1000" s="6">
        <f t="shared" ref="H1000" si="1788">$C999*H999</f>
        <v>3497.1884</v>
      </c>
      <c r="I1000" s="6">
        <f t="shared" ref="I1000" si="1789">$C999*I999</f>
        <v>40249.267699999997</v>
      </c>
      <c r="J1000" s="6">
        <f t="shared" ref="J1000:AB1000" si="1790">$C999*J999</f>
        <v>2907.3011999999999</v>
      </c>
      <c r="K1000" s="6">
        <f t="shared" si="1790"/>
        <v>4350.4181000000008</v>
      </c>
      <c r="L1000" s="6">
        <f t="shared" si="1790"/>
        <v>2349.0151000000001</v>
      </c>
      <c r="M1000" s="6">
        <f t="shared" si="1790"/>
        <v>2075.1388999999999</v>
      </c>
      <c r="N1000" s="6">
        <f t="shared" si="1790"/>
        <v>5424.8554999999997</v>
      </c>
      <c r="O1000" s="6">
        <f t="shared" si="1790"/>
        <v>1432.5832</v>
      </c>
      <c r="P1000" s="6">
        <f t="shared" si="1790"/>
        <v>52.668500000000002</v>
      </c>
      <c r="Q1000" s="6">
        <f t="shared" si="1790"/>
        <v>547.75239999999997</v>
      </c>
      <c r="R1000" s="6">
        <f t="shared" si="1790"/>
        <v>42.134799999999998</v>
      </c>
      <c r="S1000" s="6">
        <f t="shared" si="1790"/>
        <v>42.134799999999998</v>
      </c>
      <c r="T1000" s="6">
        <f t="shared" si="1790"/>
        <v>1137.6396</v>
      </c>
      <c r="U1000" s="6">
        <f t="shared" si="1790"/>
        <v>1316.7125000000001</v>
      </c>
      <c r="V1000" s="6">
        <f t="shared" si="1790"/>
        <v>3749.9971999999998</v>
      </c>
      <c r="W1000" s="6">
        <f t="shared" si="1790"/>
        <v>474.01649999999995</v>
      </c>
      <c r="X1000" s="6">
        <f t="shared" si="1790"/>
        <v>1232.4429</v>
      </c>
      <c r="Y1000" s="6">
        <f t="shared" si="1790"/>
        <v>147.4718</v>
      </c>
      <c r="Z1000" s="6">
        <f t="shared" si="1790"/>
        <v>0</v>
      </c>
      <c r="AA1000" s="6">
        <f t="shared" si="1790"/>
        <v>0</v>
      </c>
      <c r="AB1000" s="6">
        <f t="shared" si="1790"/>
        <v>0</v>
      </c>
      <c r="AC1000" s="67"/>
      <c r="AD1000" s="55"/>
    </row>
    <row r="1001" spans="1:30" s="52" customFormat="1">
      <c r="A1001" s="50" t="s">
        <v>50</v>
      </c>
      <c r="B1001" s="33">
        <f>SUM(B995:B1000)</f>
        <v>28808516</v>
      </c>
      <c r="C1001" s="126">
        <f>SUM(C995:C1000)</f>
        <v>2400709.66</v>
      </c>
      <c r="D1001" s="51">
        <f>D996+D998+D1000</f>
        <v>189.60659999999999</v>
      </c>
      <c r="E1001" s="51">
        <f>E996+E998+E1000</f>
        <v>113661.17012600001</v>
      </c>
      <c r="F1001" s="51">
        <f>F996+F998+F1000</f>
        <v>55059.913834000006</v>
      </c>
      <c r="G1001" s="51">
        <f t="shared" ref="G1001" si="1791">G996+G998+G1000</f>
        <v>13559.875808000001</v>
      </c>
      <c r="H1001" s="51">
        <f t="shared" ref="H1001" si="1792">H996+H998+H1000</f>
        <v>3497.1884</v>
      </c>
      <c r="I1001" s="51">
        <f t="shared" ref="I1001:AB1001" si="1793">I996+I998+I1000</f>
        <v>2173716.0103580002</v>
      </c>
      <c r="J1001" s="51">
        <f t="shared" si="1793"/>
        <v>11895.524478000001</v>
      </c>
      <c r="K1001" s="51">
        <f t="shared" si="1793"/>
        <v>4350.4181000000008</v>
      </c>
      <c r="L1001" s="51">
        <f t="shared" si="1793"/>
        <v>3596.8043680000001</v>
      </c>
      <c r="M1001" s="51">
        <f t="shared" si="1793"/>
        <v>2075.1388999999999</v>
      </c>
      <c r="N1001" s="51">
        <f t="shared" si="1793"/>
        <v>8932.4548279999999</v>
      </c>
      <c r="O1001" s="51">
        <f t="shared" si="1793"/>
        <v>1432.5832</v>
      </c>
      <c r="P1001" s="51">
        <f t="shared" si="1793"/>
        <v>52.668500000000002</v>
      </c>
      <c r="Q1001" s="51">
        <f t="shared" si="1793"/>
        <v>547.75239999999997</v>
      </c>
      <c r="R1001" s="51">
        <f t="shared" si="1793"/>
        <v>42.134799999999998</v>
      </c>
      <c r="S1001" s="51">
        <f t="shared" si="1793"/>
        <v>42.134799999999998</v>
      </c>
      <c r="T1001" s="51">
        <f t="shared" si="1793"/>
        <v>1137.6396</v>
      </c>
      <c r="U1001" s="51">
        <f t="shared" si="1793"/>
        <v>1316.7125000000001</v>
      </c>
      <c r="V1001" s="51">
        <f t="shared" si="1793"/>
        <v>3749.9971999999998</v>
      </c>
      <c r="W1001" s="51">
        <f t="shared" si="1793"/>
        <v>474.01649999999995</v>
      </c>
      <c r="X1001" s="51">
        <f t="shared" si="1793"/>
        <v>1232.4429</v>
      </c>
      <c r="Y1001" s="51">
        <f t="shared" si="1793"/>
        <v>147.4718</v>
      </c>
      <c r="Z1001" s="51">
        <f t="shared" si="1793"/>
        <v>0</v>
      </c>
      <c r="AA1001" s="51">
        <f t="shared" si="1793"/>
        <v>0</v>
      </c>
      <c r="AB1001" s="51">
        <f t="shared" si="1793"/>
        <v>0</v>
      </c>
      <c r="AC1001" s="67"/>
      <c r="AD1001" s="55"/>
    </row>
    <row r="1002" spans="1:30" s="52" customFormat="1">
      <c r="A1002" s="54"/>
      <c r="B1002" s="7"/>
      <c r="C1002" s="84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67"/>
      <c r="AD1002" s="55"/>
    </row>
    <row r="1003" spans="1:30" s="52" customFormat="1">
      <c r="A1003" s="16"/>
      <c r="B1003" s="9"/>
      <c r="C1003" s="237"/>
      <c r="D1003" s="64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67"/>
      <c r="AD1003" s="55"/>
    </row>
    <row r="1004" spans="1:30" s="52" customFormat="1" ht="13.8" thickBot="1">
      <c r="A1004" s="82" t="s">
        <v>322</v>
      </c>
      <c r="B1004" s="127"/>
      <c r="C1004" s="234"/>
      <c r="D1004" s="127"/>
      <c r="E1004" s="1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67"/>
      <c r="AD1004" s="55"/>
    </row>
    <row r="1005" spans="1:30" s="52" customFormat="1" ht="13.8" thickBot="1">
      <c r="A1005" s="113" t="s">
        <v>1</v>
      </c>
      <c r="B1005" s="114" t="s">
        <v>2</v>
      </c>
      <c r="C1005" s="239" t="s">
        <v>3</v>
      </c>
      <c r="D1005" s="263" t="s">
        <v>4</v>
      </c>
      <c r="E1005" s="264"/>
      <c r="F1005" s="264"/>
      <c r="G1005" s="264"/>
      <c r="H1005" s="264"/>
      <c r="I1005" s="264"/>
      <c r="J1005" s="264"/>
      <c r="K1005" s="264"/>
      <c r="L1005" s="264"/>
      <c r="M1005" s="264"/>
      <c r="N1005" s="264"/>
      <c r="O1005" s="264"/>
      <c r="P1005" s="264"/>
      <c r="Q1005" s="264"/>
      <c r="R1005" s="264"/>
      <c r="S1005" s="264"/>
      <c r="T1005" s="264"/>
      <c r="U1005" s="264"/>
      <c r="V1005" s="264"/>
      <c r="W1005" s="264"/>
      <c r="X1005" s="264"/>
      <c r="Y1005" s="264"/>
      <c r="Z1005" s="123"/>
      <c r="AA1005" s="123"/>
      <c r="AB1005" s="123"/>
      <c r="AC1005" s="67"/>
      <c r="AD1005" s="55"/>
    </row>
    <row r="1006" spans="1:30" s="52" customFormat="1">
      <c r="A1006" s="115" t="s">
        <v>5</v>
      </c>
      <c r="B1006" s="116" t="s">
        <v>6</v>
      </c>
      <c r="C1006" s="240" t="s">
        <v>6</v>
      </c>
      <c r="D1006" s="117"/>
      <c r="E1006" s="118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  <c r="W1006" s="118"/>
      <c r="X1006" s="118"/>
      <c r="Y1006" s="119"/>
      <c r="Z1006" s="116" t="s">
        <v>7</v>
      </c>
      <c r="AA1006" s="116"/>
      <c r="AB1006" s="116"/>
      <c r="AC1006" s="67"/>
      <c r="AD1006" s="55"/>
    </row>
    <row r="1007" spans="1:30" s="52" customFormat="1">
      <c r="A1007" s="115" t="s">
        <v>8</v>
      </c>
      <c r="B1007" s="116" t="s">
        <v>9</v>
      </c>
      <c r="C1007" s="240" t="s">
        <v>9</v>
      </c>
      <c r="D1007" s="120" t="s">
        <v>10</v>
      </c>
      <c r="E1007" s="116" t="s">
        <v>11</v>
      </c>
      <c r="F1007" s="116" t="s">
        <v>12</v>
      </c>
      <c r="G1007" s="116" t="s">
        <v>13</v>
      </c>
      <c r="H1007" s="116" t="s">
        <v>14</v>
      </c>
      <c r="I1007" s="116" t="s">
        <v>15</v>
      </c>
      <c r="J1007" s="116" t="s">
        <v>16</v>
      </c>
      <c r="K1007" s="116" t="s">
        <v>17</v>
      </c>
      <c r="L1007" s="116" t="s">
        <v>18</v>
      </c>
      <c r="M1007" s="116" t="s">
        <v>19</v>
      </c>
      <c r="N1007" s="116" t="s">
        <v>20</v>
      </c>
      <c r="O1007" s="116" t="s">
        <v>175</v>
      </c>
      <c r="P1007" s="116" t="s">
        <v>21</v>
      </c>
      <c r="Q1007" s="116" t="s">
        <v>22</v>
      </c>
      <c r="R1007" s="116" t="s">
        <v>23</v>
      </c>
      <c r="S1007" s="116" t="s">
        <v>24</v>
      </c>
      <c r="T1007" s="116" t="s">
        <v>25</v>
      </c>
      <c r="U1007" s="116" t="s">
        <v>26</v>
      </c>
      <c r="V1007" s="116" t="s">
        <v>27</v>
      </c>
      <c r="W1007" s="116" t="s">
        <v>28</v>
      </c>
      <c r="X1007" s="116" t="s">
        <v>29</v>
      </c>
      <c r="Y1007" s="116" t="s">
        <v>30</v>
      </c>
      <c r="Z1007" s="116" t="s">
        <v>31</v>
      </c>
      <c r="AA1007" s="116" t="s">
        <v>493</v>
      </c>
      <c r="AB1007" s="116" t="s">
        <v>476</v>
      </c>
      <c r="AC1007" s="67"/>
      <c r="AD1007" s="55"/>
    </row>
    <row r="1008" spans="1:30" s="52" customFormat="1">
      <c r="A1008" s="115"/>
      <c r="B1008" s="116"/>
      <c r="C1008" s="241" t="s">
        <v>638</v>
      </c>
      <c r="D1008" s="117"/>
      <c r="E1008" s="118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  <c r="W1008" s="118"/>
      <c r="X1008" s="118"/>
      <c r="Y1008" s="118"/>
      <c r="Z1008" s="118"/>
      <c r="AA1008" s="118"/>
      <c r="AB1008" s="118"/>
      <c r="AC1008" s="67"/>
      <c r="AD1008" s="55"/>
    </row>
    <row r="1009" spans="1:30" s="52" customFormat="1">
      <c r="A1009" s="157" t="s">
        <v>323</v>
      </c>
      <c r="B1009" s="181">
        <v>1155505.3357181477</v>
      </c>
      <c r="C1009" s="211">
        <f>ROUND(B1009/12,2)</f>
        <v>96292.11</v>
      </c>
      <c r="D1009" s="149"/>
      <c r="E1009" s="37"/>
      <c r="F1009" s="40"/>
      <c r="G1009" s="40"/>
      <c r="H1009" s="149"/>
      <c r="I1009" s="149"/>
      <c r="J1009" s="149"/>
      <c r="K1009" s="149"/>
      <c r="L1009" s="40"/>
      <c r="M1009" s="149"/>
      <c r="N1009" s="149"/>
      <c r="O1009" s="149"/>
      <c r="P1009" s="149"/>
      <c r="Q1009" s="149">
        <v>0.35399999999999998</v>
      </c>
      <c r="R1009" s="149"/>
      <c r="S1009" s="149">
        <v>5.67E-2</v>
      </c>
      <c r="T1009" s="149"/>
      <c r="U1009" s="149"/>
      <c r="V1009" s="149"/>
      <c r="W1009" s="149"/>
      <c r="X1009" s="149">
        <v>0.54369999999999996</v>
      </c>
      <c r="Y1009" s="149">
        <v>2.9399999999999999E-2</v>
      </c>
      <c r="Z1009" s="149">
        <v>1.6199999999999999E-2</v>
      </c>
      <c r="AA1009" s="149">
        <v>0</v>
      </c>
      <c r="AB1009" s="149">
        <v>0</v>
      </c>
      <c r="AC1009" s="67"/>
      <c r="AD1009" s="55"/>
    </row>
    <row r="1010" spans="1:30" s="52" customFormat="1">
      <c r="A1010" s="105"/>
      <c r="B1010" s="166"/>
      <c r="C1010" s="211"/>
      <c r="D1010" s="30">
        <f>$C1009*D1009</f>
        <v>0</v>
      </c>
      <c r="E1010" s="30">
        <f t="shared" ref="E1010" si="1794">$C1009*E1009</f>
        <v>0</v>
      </c>
      <c r="F1010" s="30">
        <f t="shared" ref="F1010" si="1795">$C1009*F1009</f>
        <v>0</v>
      </c>
      <c r="G1010" s="30">
        <f t="shared" ref="G1010:AB1010" si="1796">$C1009*G1009</f>
        <v>0</v>
      </c>
      <c r="H1010" s="30">
        <f t="shared" si="1796"/>
        <v>0</v>
      </c>
      <c r="I1010" s="30">
        <f t="shared" si="1796"/>
        <v>0</v>
      </c>
      <c r="J1010" s="30">
        <f t="shared" si="1796"/>
        <v>0</v>
      </c>
      <c r="K1010" s="30">
        <f t="shared" si="1796"/>
        <v>0</v>
      </c>
      <c r="L1010" s="30">
        <f t="shared" si="1796"/>
        <v>0</v>
      </c>
      <c r="M1010" s="30">
        <f t="shared" si="1796"/>
        <v>0</v>
      </c>
      <c r="N1010" s="30">
        <f t="shared" si="1796"/>
        <v>0</v>
      </c>
      <c r="O1010" s="30">
        <f t="shared" si="1796"/>
        <v>0</v>
      </c>
      <c r="P1010" s="30">
        <f t="shared" si="1796"/>
        <v>0</v>
      </c>
      <c r="Q1010" s="30">
        <f t="shared" si="1796"/>
        <v>34087.406940000001</v>
      </c>
      <c r="R1010" s="30">
        <f t="shared" si="1796"/>
        <v>0</v>
      </c>
      <c r="S1010" s="30">
        <f t="shared" si="1796"/>
        <v>5459.7626369999998</v>
      </c>
      <c r="T1010" s="30">
        <f t="shared" si="1796"/>
        <v>0</v>
      </c>
      <c r="U1010" s="30">
        <f t="shared" si="1796"/>
        <v>0</v>
      </c>
      <c r="V1010" s="30">
        <f t="shared" si="1796"/>
        <v>0</v>
      </c>
      <c r="W1010" s="30">
        <f t="shared" si="1796"/>
        <v>0</v>
      </c>
      <c r="X1010" s="30">
        <f t="shared" si="1796"/>
        <v>52354.020206999994</v>
      </c>
      <c r="Y1010" s="30">
        <f t="shared" si="1796"/>
        <v>2830.988034</v>
      </c>
      <c r="Z1010" s="30">
        <f t="shared" si="1796"/>
        <v>1559.932182</v>
      </c>
      <c r="AA1010" s="30">
        <f t="shared" si="1796"/>
        <v>0</v>
      </c>
      <c r="AB1010" s="30">
        <f t="shared" si="1796"/>
        <v>0</v>
      </c>
      <c r="AC1010" s="67"/>
      <c r="AD1010" s="55"/>
    </row>
    <row r="1011" spans="1:30" s="52" customFormat="1">
      <c r="A1011" s="157" t="s">
        <v>324</v>
      </c>
      <c r="B1011" s="181">
        <v>571387.80068705417</v>
      </c>
      <c r="C1011" s="211">
        <f t="shared" ref="C1011:C1015" si="1797">ROUND(B1011/12,2)</f>
        <v>47615.65</v>
      </c>
      <c r="D1011" s="149"/>
      <c r="E1011" s="37"/>
      <c r="F1011" s="40"/>
      <c r="G1011" s="40"/>
      <c r="H1011" s="149"/>
      <c r="I1011" s="149"/>
      <c r="J1011" s="149"/>
      <c r="K1011" s="149"/>
      <c r="L1011" s="40"/>
      <c r="M1011" s="149"/>
      <c r="N1011" s="149"/>
      <c r="O1011" s="149"/>
      <c r="P1011" s="149"/>
      <c r="Q1011" s="149">
        <v>0.61770000000000003</v>
      </c>
      <c r="R1011" s="149"/>
      <c r="S1011" s="149">
        <v>0.03</v>
      </c>
      <c r="T1011" s="149"/>
      <c r="U1011" s="149"/>
      <c r="V1011" s="149"/>
      <c r="W1011" s="149"/>
      <c r="X1011" s="149">
        <v>0.32729999999999998</v>
      </c>
      <c r="Y1011" s="149">
        <v>1.4500000000000001E-2</v>
      </c>
      <c r="Z1011" s="149">
        <v>1.0500000000000001E-2</v>
      </c>
      <c r="AA1011" s="149">
        <v>0</v>
      </c>
      <c r="AB1011" s="149">
        <v>0</v>
      </c>
      <c r="AC1011" s="67"/>
      <c r="AD1011" s="55"/>
    </row>
    <row r="1012" spans="1:30" s="52" customFormat="1">
      <c r="A1012" s="105"/>
      <c r="B1012" s="166"/>
      <c r="C1012" s="211"/>
      <c r="D1012" s="30">
        <f t="shared" ref="D1012" si="1798">$C1011*D1011</f>
        <v>0</v>
      </c>
      <c r="E1012" s="30">
        <f t="shared" ref="E1012" si="1799">$C1011*E1011</f>
        <v>0</v>
      </c>
      <c r="F1012" s="30">
        <f t="shared" ref="F1012:AB1012" si="1800">$C1011*F1011</f>
        <v>0</v>
      </c>
      <c r="G1012" s="30">
        <f t="shared" si="1800"/>
        <v>0</v>
      </c>
      <c r="H1012" s="30">
        <f t="shared" si="1800"/>
        <v>0</v>
      </c>
      <c r="I1012" s="30">
        <f t="shared" si="1800"/>
        <v>0</v>
      </c>
      <c r="J1012" s="30">
        <f t="shared" si="1800"/>
        <v>0</v>
      </c>
      <c r="K1012" s="30">
        <f t="shared" si="1800"/>
        <v>0</v>
      </c>
      <c r="L1012" s="30">
        <f t="shared" si="1800"/>
        <v>0</v>
      </c>
      <c r="M1012" s="30">
        <f t="shared" si="1800"/>
        <v>0</v>
      </c>
      <c r="N1012" s="30">
        <f t="shared" si="1800"/>
        <v>0</v>
      </c>
      <c r="O1012" s="30">
        <f t="shared" si="1800"/>
        <v>0</v>
      </c>
      <c r="P1012" s="30">
        <f t="shared" si="1800"/>
        <v>0</v>
      </c>
      <c r="Q1012" s="30">
        <f t="shared" si="1800"/>
        <v>29412.187005000003</v>
      </c>
      <c r="R1012" s="30">
        <f t="shared" si="1800"/>
        <v>0</v>
      </c>
      <c r="S1012" s="30">
        <f t="shared" si="1800"/>
        <v>1428.4694999999999</v>
      </c>
      <c r="T1012" s="30">
        <f t="shared" si="1800"/>
        <v>0</v>
      </c>
      <c r="U1012" s="30">
        <f t="shared" si="1800"/>
        <v>0</v>
      </c>
      <c r="V1012" s="30">
        <f t="shared" si="1800"/>
        <v>0</v>
      </c>
      <c r="W1012" s="30">
        <f t="shared" si="1800"/>
        <v>0</v>
      </c>
      <c r="X1012" s="30">
        <f t="shared" si="1800"/>
        <v>15584.602245</v>
      </c>
      <c r="Y1012" s="30">
        <f t="shared" si="1800"/>
        <v>690.4269250000001</v>
      </c>
      <c r="Z1012" s="30">
        <f t="shared" si="1800"/>
        <v>499.96432500000003</v>
      </c>
      <c r="AA1012" s="30">
        <f t="shared" si="1800"/>
        <v>0</v>
      </c>
      <c r="AB1012" s="30">
        <f t="shared" si="1800"/>
        <v>0</v>
      </c>
      <c r="AC1012" s="67"/>
      <c r="AD1012" s="55"/>
    </row>
    <row r="1013" spans="1:30" s="52" customFormat="1">
      <c r="A1013" s="157" t="s">
        <v>325</v>
      </c>
      <c r="B1013" s="181">
        <v>754135.86366982129</v>
      </c>
      <c r="C1013" s="211">
        <f t="shared" si="1797"/>
        <v>62844.66</v>
      </c>
      <c r="D1013" s="10">
        <v>2.4500000000000001E-2</v>
      </c>
      <c r="E1013" s="37"/>
      <c r="F1013" s="5"/>
      <c r="G1013" s="5"/>
      <c r="H1013" s="10"/>
      <c r="I1013" s="10"/>
      <c r="J1013" s="10"/>
      <c r="K1013" s="10"/>
      <c r="L1013" s="5"/>
      <c r="M1013" s="10"/>
      <c r="N1013" s="10"/>
      <c r="O1013" s="10"/>
      <c r="P1013" s="10"/>
      <c r="Q1013" s="10">
        <v>0.97550000000000003</v>
      </c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67"/>
      <c r="AD1013" s="55"/>
    </row>
    <row r="1014" spans="1:30" s="52" customFormat="1">
      <c r="A1014" s="105"/>
      <c r="B1014" s="166"/>
      <c r="C1014" s="211"/>
      <c r="D1014" s="30">
        <f t="shared" ref="D1014" si="1801">$C1013*D1013</f>
        <v>1539.6941700000002</v>
      </c>
      <c r="E1014" s="30">
        <f t="shared" ref="E1014" si="1802">$C1013*E1013</f>
        <v>0</v>
      </c>
      <c r="F1014" s="30">
        <f t="shared" ref="F1014:AB1014" si="1803">$C1013*F1013</f>
        <v>0</v>
      </c>
      <c r="G1014" s="30">
        <f t="shared" si="1803"/>
        <v>0</v>
      </c>
      <c r="H1014" s="30">
        <f t="shared" si="1803"/>
        <v>0</v>
      </c>
      <c r="I1014" s="30">
        <f t="shared" si="1803"/>
        <v>0</v>
      </c>
      <c r="J1014" s="30">
        <f t="shared" si="1803"/>
        <v>0</v>
      </c>
      <c r="K1014" s="30">
        <f t="shared" si="1803"/>
        <v>0</v>
      </c>
      <c r="L1014" s="30">
        <f t="shared" si="1803"/>
        <v>0</v>
      </c>
      <c r="M1014" s="30">
        <f t="shared" si="1803"/>
        <v>0</v>
      </c>
      <c r="N1014" s="30">
        <f t="shared" si="1803"/>
        <v>0</v>
      </c>
      <c r="O1014" s="30">
        <f t="shared" si="1803"/>
        <v>0</v>
      </c>
      <c r="P1014" s="30">
        <f t="shared" si="1803"/>
        <v>0</v>
      </c>
      <c r="Q1014" s="30">
        <f t="shared" si="1803"/>
        <v>61304.965830000008</v>
      </c>
      <c r="R1014" s="30">
        <f t="shared" si="1803"/>
        <v>0</v>
      </c>
      <c r="S1014" s="30">
        <f t="shared" si="1803"/>
        <v>0</v>
      </c>
      <c r="T1014" s="30">
        <f t="shared" si="1803"/>
        <v>0</v>
      </c>
      <c r="U1014" s="30">
        <f t="shared" si="1803"/>
        <v>0</v>
      </c>
      <c r="V1014" s="30">
        <f t="shared" si="1803"/>
        <v>0</v>
      </c>
      <c r="W1014" s="30">
        <f t="shared" si="1803"/>
        <v>0</v>
      </c>
      <c r="X1014" s="30">
        <f t="shared" si="1803"/>
        <v>0</v>
      </c>
      <c r="Y1014" s="30">
        <f t="shared" si="1803"/>
        <v>0</v>
      </c>
      <c r="Z1014" s="30">
        <f t="shared" si="1803"/>
        <v>0</v>
      </c>
      <c r="AA1014" s="30">
        <f t="shared" si="1803"/>
        <v>0</v>
      </c>
      <c r="AB1014" s="30">
        <f t="shared" si="1803"/>
        <v>0</v>
      </c>
      <c r="AC1014" s="67"/>
      <c r="AD1014" s="55"/>
    </row>
    <row r="1015" spans="1:30" s="52" customFormat="1">
      <c r="A1015" s="157" t="s">
        <v>326</v>
      </c>
      <c r="B1015" s="181">
        <v>18174192.346162871</v>
      </c>
      <c r="C1015" s="211">
        <f t="shared" si="1797"/>
        <v>1514516.03</v>
      </c>
      <c r="D1015" s="149"/>
      <c r="E1015" s="37"/>
      <c r="F1015" s="40"/>
      <c r="G1015" s="40"/>
      <c r="H1015" s="149"/>
      <c r="I1015" s="149"/>
      <c r="J1015" s="149"/>
      <c r="K1015" s="149"/>
      <c r="L1015" s="40"/>
      <c r="M1015" s="149"/>
      <c r="N1015" s="149"/>
      <c r="O1015" s="149"/>
      <c r="P1015" s="149">
        <v>1.77E-2</v>
      </c>
      <c r="Q1015" s="149">
        <v>0.35830000000000001</v>
      </c>
      <c r="R1015" s="149"/>
      <c r="S1015" s="149">
        <v>0.2361</v>
      </c>
      <c r="T1015" s="149"/>
      <c r="U1015" s="149"/>
      <c r="V1015" s="149"/>
      <c r="W1015" s="149"/>
      <c r="X1015" s="149">
        <v>0.35870000000000002</v>
      </c>
      <c r="Y1015" s="149">
        <v>1.43E-2</v>
      </c>
      <c r="Z1015" s="149">
        <v>1.49E-2</v>
      </c>
      <c r="AA1015" s="149">
        <v>0</v>
      </c>
      <c r="AB1015" s="149">
        <v>0</v>
      </c>
      <c r="AC1015" s="67"/>
      <c r="AD1015" s="55"/>
    </row>
    <row r="1016" spans="1:30" s="52" customFormat="1">
      <c r="A1016" s="105"/>
      <c r="B1016" s="24"/>
      <c r="C1016" s="251"/>
      <c r="D1016" s="30">
        <f t="shared" ref="D1016" si="1804">$C1015*D1015</f>
        <v>0</v>
      </c>
      <c r="E1016" s="30">
        <f t="shared" ref="E1016" si="1805">$C1015*E1015</f>
        <v>0</v>
      </c>
      <c r="F1016" s="30">
        <f t="shared" ref="F1016:AB1016" si="1806">$C1015*F1015</f>
        <v>0</v>
      </c>
      <c r="G1016" s="30">
        <f t="shared" si="1806"/>
        <v>0</v>
      </c>
      <c r="H1016" s="30">
        <f t="shared" si="1806"/>
        <v>0</v>
      </c>
      <c r="I1016" s="30">
        <f t="shared" si="1806"/>
        <v>0</v>
      </c>
      <c r="J1016" s="30">
        <f t="shared" si="1806"/>
        <v>0</v>
      </c>
      <c r="K1016" s="30">
        <f t="shared" si="1806"/>
        <v>0</v>
      </c>
      <c r="L1016" s="30">
        <f t="shared" si="1806"/>
        <v>0</v>
      </c>
      <c r="M1016" s="30">
        <f t="shared" si="1806"/>
        <v>0</v>
      </c>
      <c r="N1016" s="30">
        <f t="shared" si="1806"/>
        <v>0</v>
      </c>
      <c r="O1016" s="30">
        <f t="shared" si="1806"/>
        <v>0</v>
      </c>
      <c r="P1016" s="30">
        <f t="shared" si="1806"/>
        <v>26806.933731000001</v>
      </c>
      <c r="Q1016" s="30">
        <f t="shared" si="1806"/>
        <v>542651.09354899998</v>
      </c>
      <c r="R1016" s="30">
        <f t="shared" si="1806"/>
        <v>0</v>
      </c>
      <c r="S1016" s="30">
        <f t="shared" si="1806"/>
        <v>357577.23468300002</v>
      </c>
      <c r="T1016" s="30">
        <f t="shared" si="1806"/>
        <v>0</v>
      </c>
      <c r="U1016" s="30">
        <f t="shared" si="1806"/>
        <v>0</v>
      </c>
      <c r="V1016" s="30">
        <f t="shared" si="1806"/>
        <v>0</v>
      </c>
      <c r="W1016" s="30">
        <f t="shared" si="1806"/>
        <v>0</v>
      </c>
      <c r="X1016" s="30">
        <f t="shared" si="1806"/>
        <v>543256.89996100008</v>
      </c>
      <c r="Y1016" s="30">
        <f t="shared" si="1806"/>
        <v>21657.579228999999</v>
      </c>
      <c r="Z1016" s="30">
        <f t="shared" si="1806"/>
        <v>22566.288847</v>
      </c>
      <c r="AA1016" s="30">
        <f t="shared" si="1806"/>
        <v>0</v>
      </c>
      <c r="AB1016" s="30">
        <f t="shared" si="1806"/>
        <v>0</v>
      </c>
      <c r="AC1016" s="67"/>
      <c r="AD1016" s="55"/>
    </row>
    <row r="1017" spans="1:30" s="52" customFormat="1">
      <c r="A1017" s="89" t="s">
        <v>50</v>
      </c>
      <c r="B1017" s="152">
        <f>SUM(B1009:B1015)</f>
        <v>20655221.346237894</v>
      </c>
      <c r="C1017" s="126">
        <f>SUM(C1009:C1015)</f>
        <v>1721268.45</v>
      </c>
      <c r="D1017" s="51">
        <f>D1010+D1012+D1014+D1016</f>
        <v>1539.6941700000002</v>
      </c>
      <c r="E1017" s="51">
        <f t="shared" ref="E1017" si="1807">E1010+E1012+E1014+E1016</f>
        <v>0</v>
      </c>
      <c r="F1017" s="51">
        <f t="shared" ref="F1017" si="1808">F1010+F1012+F1014+F1016</f>
        <v>0</v>
      </c>
      <c r="G1017" s="51">
        <f t="shared" ref="G1017:AB1017" si="1809">G1010+G1012+G1014+G1016</f>
        <v>0</v>
      </c>
      <c r="H1017" s="51">
        <f t="shared" si="1809"/>
        <v>0</v>
      </c>
      <c r="I1017" s="51">
        <f t="shared" si="1809"/>
        <v>0</v>
      </c>
      <c r="J1017" s="51">
        <f t="shared" si="1809"/>
        <v>0</v>
      </c>
      <c r="K1017" s="51">
        <f t="shared" si="1809"/>
        <v>0</v>
      </c>
      <c r="L1017" s="51">
        <f t="shared" si="1809"/>
        <v>0</v>
      </c>
      <c r="M1017" s="51">
        <f t="shared" si="1809"/>
        <v>0</v>
      </c>
      <c r="N1017" s="51">
        <f t="shared" si="1809"/>
        <v>0</v>
      </c>
      <c r="O1017" s="51">
        <f t="shared" si="1809"/>
        <v>0</v>
      </c>
      <c r="P1017" s="51">
        <f t="shared" si="1809"/>
        <v>26806.933731000001</v>
      </c>
      <c r="Q1017" s="51">
        <f t="shared" si="1809"/>
        <v>667455.65332399996</v>
      </c>
      <c r="R1017" s="51">
        <f t="shared" si="1809"/>
        <v>0</v>
      </c>
      <c r="S1017" s="51">
        <f t="shared" si="1809"/>
        <v>364465.46682000003</v>
      </c>
      <c r="T1017" s="51">
        <f t="shared" si="1809"/>
        <v>0</v>
      </c>
      <c r="U1017" s="51">
        <f t="shared" si="1809"/>
        <v>0</v>
      </c>
      <c r="V1017" s="51">
        <f t="shared" si="1809"/>
        <v>0</v>
      </c>
      <c r="W1017" s="51">
        <f t="shared" si="1809"/>
        <v>0</v>
      </c>
      <c r="X1017" s="51">
        <f t="shared" si="1809"/>
        <v>611195.52241300012</v>
      </c>
      <c r="Y1017" s="51">
        <f t="shared" si="1809"/>
        <v>25178.994188000001</v>
      </c>
      <c r="Z1017" s="51">
        <f t="shared" si="1809"/>
        <v>24626.185354000001</v>
      </c>
      <c r="AA1017" s="51">
        <f t="shared" si="1809"/>
        <v>0</v>
      </c>
      <c r="AB1017" s="51">
        <f t="shared" si="1809"/>
        <v>0</v>
      </c>
      <c r="AC1017" s="67"/>
      <c r="AD1017" s="55"/>
    </row>
    <row r="1018" spans="1:30" s="52" customFormat="1">
      <c r="A1018" s="132"/>
      <c r="B1018" s="133"/>
      <c r="C1018" s="84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67"/>
      <c r="AD1018" s="55"/>
    </row>
    <row r="1019" spans="1:30" s="52" customFormat="1">
      <c r="A1019" s="16"/>
      <c r="B1019" s="9"/>
      <c r="C1019" s="237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67"/>
      <c r="AD1019" s="55"/>
    </row>
    <row r="1020" spans="1:30" s="52" customFormat="1" ht="13.5" customHeight="1" thickBot="1">
      <c r="A1020" s="82" t="s">
        <v>330</v>
      </c>
      <c r="B1020" s="127"/>
      <c r="C1020" s="234"/>
      <c r="D1020" s="127"/>
      <c r="E1020" s="1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67"/>
      <c r="AD1020" s="55"/>
    </row>
    <row r="1021" spans="1:30" s="52" customFormat="1" ht="13.5" customHeight="1" thickBot="1">
      <c r="A1021" s="113" t="s">
        <v>1</v>
      </c>
      <c r="B1021" s="114" t="s">
        <v>2</v>
      </c>
      <c r="C1021" s="239" t="s">
        <v>3</v>
      </c>
      <c r="D1021" s="263" t="s">
        <v>4</v>
      </c>
      <c r="E1021" s="264"/>
      <c r="F1021" s="264"/>
      <c r="G1021" s="264"/>
      <c r="H1021" s="264"/>
      <c r="I1021" s="264"/>
      <c r="J1021" s="264"/>
      <c r="K1021" s="264"/>
      <c r="L1021" s="264"/>
      <c r="M1021" s="264"/>
      <c r="N1021" s="264"/>
      <c r="O1021" s="264"/>
      <c r="P1021" s="264"/>
      <c r="Q1021" s="264"/>
      <c r="R1021" s="264"/>
      <c r="S1021" s="264"/>
      <c r="T1021" s="264"/>
      <c r="U1021" s="264"/>
      <c r="V1021" s="264"/>
      <c r="W1021" s="264"/>
      <c r="X1021" s="264"/>
      <c r="Y1021" s="264"/>
      <c r="Z1021" s="123"/>
      <c r="AA1021" s="123"/>
      <c r="AB1021" s="123"/>
      <c r="AC1021" s="67"/>
      <c r="AD1021" s="55"/>
    </row>
    <row r="1022" spans="1:30" s="52" customFormat="1">
      <c r="A1022" s="115" t="s">
        <v>5</v>
      </c>
      <c r="B1022" s="116" t="s">
        <v>6</v>
      </c>
      <c r="C1022" s="240" t="s">
        <v>6</v>
      </c>
      <c r="D1022" s="117"/>
      <c r="E1022" s="118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  <c r="S1022" s="118"/>
      <c r="T1022" s="118"/>
      <c r="U1022" s="118"/>
      <c r="V1022" s="118"/>
      <c r="W1022" s="118"/>
      <c r="X1022" s="118"/>
      <c r="Y1022" s="119"/>
      <c r="Z1022" s="116" t="s">
        <v>7</v>
      </c>
      <c r="AA1022" s="116"/>
      <c r="AB1022" s="116"/>
      <c r="AC1022" s="67"/>
      <c r="AD1022" s="55"/>
    </row>
    <row r="1023" spans="1:30" s="52" customFormat="1">
      <c r="A1023" s="115" t="s">
        <v>8</v>
      </c>
      <c r="B1023" s="116" t="s">
        <v>9</v>
      </c>
      <c r="C1023" s="240" t="s">
        <v>9</v>
      </c>
      <c r="D1023" s="120" t="s">
        <v>10</v>
      </c>
      <c r="E1023" s="116" t="s">
        <v>11</v>
      </c>
      <c r="F1023" s="116" t="s">
        <v>12</v>
      </c>
      <c r="G1023" s="116" t="s">
        <v>13</v>
      </c>
      <c r="H1023" s="116" t="s">
        <v>14</v>
      </c>
      <c r="I1023" s="116" t="s">
        <v>15</v>
      </c>
      <c r="J1023" s="116" t="s">
        <v>16</v>
      </c>
      <c r="K1023" s="116" t="s">
        <v>17</v>
      </c>
      <c r="L1023" s="116" t="s">
        <v>18</v>
      </c>
      <c r="M1023" s="116" t="s">
        <v>19</v>
      </c>
      <c r="N1023" s="116" t="s">
        <v>20</v>
      </c>
      <c r="O1023" s="116" t="s">
        <v>175</v>
      </c>
      <c r="P1023" s="116" t="s">
        <v>21</v>
      </c>
      <c r="Q1023" s="116" t="s">
        <v>22</v>
      </c>
      <c r="R1023" s="116" t="s">
        <v>23</v>
      </c>
      <c r="S1023" s="116" t="s">
        <v>24</v>
      </c>
      <c r="T1023" s="116" t="s">
        <v>25</v>
      </c>
      <c r="U1023" s="116" t="s">
        <v>26</v>
      </c>
      <c r="V1023" s="116" t="s">
        <v>27</v>
      </c>
      <c r="W1023" s="116" t="s">
        <v>28</v>
      </c>
      <c r="X1023" s="116" t="s">
        <v>29</v>
      </c>
      <c r="Y1023" s="116" t="s">
        <v>30</v>
      </c>
      <c r="Z1023" s="116" t="s">
        <v>31</v>
      </c>
      <c r="AA1023" s="116" t="s">
        <v>493</v>
      </c>
      <c r="AB1023" s="116" t="s">
        <v>476</v>
      </c>
      <c r="AC1023" s="67"/>
      <c r="AD1023" s="55"/>
    </row>
    <row r="1024" spans="1:30" s="52" customFormat="1">
      <c r="A1024" s="115"/>
      <c r="B1024" s="116"/>
      <c r="C1024" s="241" t="s">
        <v>638</v>
      </c>
      <c r="D1024" s="117"/>
      <c r="E1024" s="118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  <c r="R1024" s="118"/>
      <c r="S1024" s="118"/>
      <c r="T1024" s="118"/>
      <c r="U1024" s="118"/>
      <c r="V1024" s="118"/>
      <c r="W1024" s="118"/>
      <c r="X1024" s="118"/>
      <c r="Y1024" s="118"/>
      <c r="Z1024" s="118"/>
      <c r="AA1024" s="118"/>
      <c r="AB1024" s="118"/>
      <c r="AC1024" s="67"/>
      <c r="AD1024" s="55"/>
    </row>
    <row r="1025" spans="1:30" s="52" customFormat="1">
      <c r="A1025" s="157" t="s">
        <v>331</v>
      </c>
      <c r="B1025" s="181">
        <v>1640633.4949356029</v>
      </c>
      <c r="C1025" s="211">
        <f>ROUND(B1025/12,2)</f>
        <v>136719.46</v>
      </c>
      <c r="D1025" s="149">
        <v>6.7100000000000007E-2</v>
      </c>
      <c r="E1025" s="37"/>
      <c r="F1025" s="40">
        <v>3.9699999999999999E-2</v>
      </c>
      <c r="G1025" s="40"/>
      <c r="H1025" s="149"/>
      <c r="I1025" s="149"/>
      <c r="J1025" s="149"/>
      <c r="K1025" s="149"/>
      <c r="L1025" s="40"/>
      <c r="M1025" s="149">
        <v>9.0999999999999998E-2</v>
      </c>
      <c r="N1025" s="149"/>
      <c r="O1025" s="149"/>
      <c r="P1025" s="149"/>
      <c r="Q1025" s="149">
        <v>0.16850000000000001</v>
      </c>
      <c r="R1025" s="149">
        <v>0.1053</v>
      </c>
      <c r="S1025" s="149">
        <v>1.6899999999999998E-2</v>
      </c>
      <c r="T1025" s="149">
        <v>0.19</v>
      </c>
      <c r="U1025" s="149"/>
      <c r="V1025" s="149"/>
      <c r="W1025" s="149">
        <v>8.5000000000000006E-2</v>
      </c>
      <c r="X1025" s="149">
        <v>0.22670000000000001</v>
      </c>
      <c r="Y1025" s="149">
        <v>3.3999999999999998E-3</v>
      </c>
      <c r="Z1025" s="149">
        <v>6.4000000000000003E-3</v>
      </c>
      <c r="AA1025" s="149">
        <v>0</v>
      </c>
      <c r="AB1025" s="149">
        <v>0</v>
      </c>
      <c r="AC1025" s="67"/>
      <c r="AD1025" s="55"/>
    </row>
    <row r="1026" spans="1:30" s="52" customFormat="1">
      <c r="A1026" s="105"/>
      <c r="B1026" s="83"/>
      <c r="C1026" s="211"/>
      <c r="D1026" s="30">
        <f>$C1025*D1025</f>
        <v>9173.875766000001</v>
      </c>
      <c r="E1026" s="30">
        <f t="shared" ref="E1026" si="1810">$C1025*E1025</f>
        <v>0</v>
      </c>
      <c r="F1026" s="30">
        <f t="shared" ref="F1026" si="1811">$C1025*F1025</f>
        <v>5427.7625619999999</v>
      </c>
      <c r="G1026" s="30">
        <f t="shared" ref="G1026:AB1026" si="1812">$C1025*G1025</f>
        <v>0</v>
      </c>
      <c r="H1026" s="30">
        <f t="shared" si="1812"/>
        <v>0</v>
      </c>
      <c r="I1026" s="30">
        <f t="shared" si="1812"/>
        <v>0</v>
      </c>
      <c r="J1026" s="30">
        <f t="shared" si="1812"/>
        <v>0</v>
      </c>
      <c r="K1026" s="30">
        <f t="shared" si="1812"/>
        <v>0</v>
      </c>
      <c r="L1026" s="30">
        <f t="shared" si="1812"/>
        <v>0</v>
      </c>
      <c r="M1026" s="30">
        <f t="shared" si="1812"/>
        <v>12441.470859999999</v>
      </c>
      <c r="N1026" s="30">
        <f t="shared" si="1812"/>
        <v>0</v>
      </c>
      <c r="O1026" s="30">
        <f t="shared" si="1812"/>
        <v>0</v>
      </c>
      <c r="P1026" s="30">
        <f t="shared" si="1812"/>
        <v>0</v>
      </c>
      <c r="Q1026" s="30">
        <f t="shared" si="1812"/>
        <v>23037.229009999999</v>
      </c>
      <c r="R1026" s="30">
        <f t="shared" si="1812"/>
        <v>14396.559138000001</v>
      </c>
      <c r="S1026" s="30">
        <f t="shared" si="1812"/>
        <v>2310.5588739999998</v>
      </c>
      <c r="T1026" s="30">
        <f t="shared" si="1812"/>
        <v>25976.697399999997</v>
      </c>
      <c r="U1026" s="30">
        <f t="shared" si="1812"/>
        <v>0</v>
      </c>
      <c r="V1026" s="30">
        <f t="shared" si="1812"/>
        <v>0</v>
      </c>
      <c r="W1026" s="30">
        <f t="shared" si="1812"/>
        <v>11621.1541</v>
      </c>
      <c r="X1026" s="30">
        <f t="shared" si="1812"/>
        <v>30994.301582</v>
      </c>
      <c r="Y1026" s="30">
        <f t="shared" si="1812"/>
        <v>464.84616399999993</v>
      </c>
      <c r="Z1026" s="30">
        <f t="shared" si="1812"/>
        <v>875.00454400000001</v>
      </c>
      <c r="AA1026" s="30">
        <f t="shared" si="1812"/>
        <v>0</v>
      </c>
      <c r="AB1026" s="30">
        <f t="shared" si="1812"/>
        <v>0</v>
      </c>
      <c r="AC1026" s="67"/>
      <c r="AD1026" s="55"/>
    </row>
    <row r="1027" spans="1:30" s="52" customFormat="1">
      <c r="A1027" s="96" t="s">
        <v>332</v>
      </c>
      <c r="B1027" s="181">
        <f>447281.532352695/2</f>
        <v>223640.7661763475</v>
      </c>
      <c r="C1027" s="211">
        <f t="shared" ref="C1027:C1083" si="1813">ROUND(B1027/12,2)</f>
        <v>18636.73</v>
      </c>
      <c r="D1027" s="170">
        <v>1.6500000000000001E-2</v>
      </c>
      <c r="E1027" s="170">
        <v>0.1368</v>
      </c>
      <c r="F1027" s="170">
        <v>5.7599999999999998E-2</v>
      </c>
      <c r="G1027" s="170">
        <v>8.0399999999999999E-2</v>
      </c>
      <c r="H1027" s="170">
        <v>4.1099999999999998E-2</v>
      </c>
      <c r="I1027" s="170">
        <v>0.13389999999999999</v>
      </c>
      <c r="J1027" s="170">
        <v>2.12E-2</v>
      </c>
      <c r="K1027" s="170">
        <v>3.2500000000000001E-2</v>
      </c>
      <c r="L1027" s="170">
        <v>1.7100000000000001E-2</v>
      </c>
      <c r="M1027" s="170">
        <v>2.5999999999999999E-2</v>
      </c>
      <c r="N1027" s="170">
        <v>0.13320000000000001</v>
      </c>
      <c r="O1027" s="170">
        <v>1.89E-2</v>
      </c>
      <c r="P1027" s="170">
        <v>0</v>
      </c>
      <c r="Q1027" s="170">
        <v>3.8600000000000002E-2</v>
      </c>
      <c r="R1027" s="170">
        <v>1.9E-2</v>
      </c>
      <c r="S1027" s="170">
        <v>4.1999999999999997E-3</v>
      </c>
      <c r="T1027" s="170">
        <v>5.3999999999999999E-2</v>
      </c>
      <c r="U1027" s="170">
        <v>1.78E-2</v>
      </c>
      <c r="V1027" s="170">
        <v>3.6700000000000003E-2</v>
      </c>
      <c r="W1027" s="170">
        <v>4.7199999999999999E-2</v>
      </c>
      <c r="X1027" s="170">
        <v>6.3899999999999998E-2</v>
      </c>
      <c r="Y1027" s="170">
        <v>2.5999999999999999E-3</v>
      </c>
      <c r="Z1027" s="171">
        <v>0</v>
      </c>
      <c r="AA1027" s="171">
        <v>8.0000000000000004E-4</v>
      </c>
      <c r="AB1027" s="171">
        <v>0</v>
      </c>
      <c r="AC1027" s="67"/>
      <c r="AD1027" s="55"/>
    </row>
    <row r="1028" spans="1:30" s="52" customFormat="1">
      <c r="A1028" s="97"/>
      <c r="B1028" s="84"/>
      <c r="C1028" s="211"/>
      <c r="D1028" s="6">
        <f>$C1027*D1027</f>
        <v>307.50604500000003</v>
      </c>
      <c r="E1028" s="6">
        <f t="shared" ref="E1028" si="1814">$C1027*E1027</f>
        <v>2549.504664</v>
      </c>
      <c r="F1028" s="6">
        <f t="shared" ref="F1028" si="1815">$C1027*F1027</f>
        <v>1073.4756479999999</v>
      </c>
      <c r="G1028" s="6">
        <f t="shared" ref="G1028:AB1028" si="1816">$C1027*G1027</f>
        <v>1498.393092</v>
      </c>
      <c r="H1028" s="6">
        <f t="shared" si="1816"/>
        <v>765.96960299999989</v>
      </c>
      <c r="I1028" s="6">
        <f t="shared" si="1816"/>
        <v>2495.4581469999998</v>
      </c>
      <c r="J1028" s="6">
        <f t="shared" si="1816"/>
        <v>395.09867600000001</v>
      </c>
      <c r="K1028" s="6">
        <f t="shared" si="1816"/>
        <v>605.69372499999997</v>
      </c>
      <c r="L1028" s="6">
        <f t="shared" si="1816"/>
        <v>318.68808300000001</v>
      </c>
      <c r="M1028" s="6">
        <f t="shared" si="1816"/>
        <v>484.55497999999994</v>
      </c>
      <c r="N1028" s="6">
        <f t="shared" si="1816"/>
        <v>2482.4124360000001</v>
      </c>
      <c r="O1028" s="6">
        <f t="shared" si="1816"/>
        <v>352.23419699999999</v>
      </c>
      <c r="P1028" s="6">
        <f t="shared" si="1816"/>
        <v>0</v>
      </c>
      <c r="Q1028" s="6">
        <f t="shared" si="1816"/>
        <v>719.37777800000003</v>
      </c>
      <c r="R1028" s="6">
        <f t="shared" si="1816"/>
        <v>354.09787</v>
      </c>
      <c r="S1028" s="6">
        <f t="shared" si="1816"/>
        <v>78.274265999999997</v>
      </c>
      <c r="T1028" s="6">
        <f t="shared" si="1816"/>
        <v>1006.38342</v>
      </c>
      <c r="U1028" s="6">
        <f t="shared" si="1816"/>
        <v>331.73379399999999</v>
      </c>
      <c r="V1028" s="6">
        <f t="shared" si="1816"/>
        <v>683.9679910000001</v>
      </c>
      <c r="W1028" s="6">
        <f t="shared" si="1816"/>
        <v>879.65365599999996</v>
      </c>
      <c r="X1028" s="6">
        <f t="shared" si="1816"/>
        <v>1190.8870469999999</v>
      </c>
      <c r="Y1028" s="6">
        <f t="shared" si="1816"/>
        <v>48.455497999999999</v>
      </c>
      <c r="Z1028" s="6">
        <f t="shared" si="1816"/>
        <v>0</v>
      </c>
      <c r="AA1028" s="6">
        <f t="shared" si="1816"/>
        <v>14.909384000000001</v>
      </c>
      <c r="AB1028" s="6">
        <f t="shared" si="1816"/>
        <v>0</v>
      </c>
      <c r="AC1028" s="67"/>
      <c r="AD1028" s="55"/>
    </row>
    <row r="1029" spans="1:30" s="52" customFormat="1">
      <c r="A1029" s="96" t="s">
        <v>461</v>
      </c>
      <c r="B1029" s="181">
        <f>447281.532352695/2</f>
        <v>223640.7661763475</v>
      </c>
      <c r="C1029" s="211">
        <f t="shared" si="1813"/>
        <v>18636.73</v>
      </c>
      <c r="D1029" s="171">
        <v>4.8399999999999999E-2</v>
      </c>
      <c r="E1029" s="5"/>
      <c r="F1029" s="5"/>
      <c r="G1029" s="5"/>
      <c r="H1029" s="171">
        <v>0.23580000000000001</v>
      </c>
      <c r="I1029" s="5"/>
      <c r="J1029" s="5"/>
      <c r="K1029" s="5"/>
      <c r="L1029" s="171">
        <v>0</v>
      </c>
      <c r="M1029" s="171">
        <v>0</v>
      </c>
      <c r="N1029" s="5"/>
      <c r="O1029" s="5"/>
      <c r="P1029" s="5"/>
      <c r="Q1029" s="171">
        <v>0.15759999999999999</v>
      </c>
      <c r="R1029" s="171">
        <v>0.13450000000000001</v>
      </c>
      <c r="S1029" s="171">
        <v>1.7999999999999999E-2</v>
      </c>
      <c r="T1029" s="171">
        <v>0.17530000000000001</v>
      </c>
      <c r="U1029" s="171">
        <v>3.3099999999999997E-2</v>
      </c>
      <c r="V1029" s="5"/>
      <c r="W1029" s="5"/>
      <c r="X1029" s="171">
        <v>0.18959999999999999</v>
      </c>
      <c r="Y1029" s="171">
        <v>7.7000000000000002E-3</v>
      </c>
      <c r="Z1029" s="5"/>
      <c r="AA1029" s="5"/>
      <c r="AB1029" s="5"/>
      <c r="AC1029" s="67"/>
      <c r="AD1029" s="55"/>
    </row>
    <row r="1030" spans="1:30" s="52" customFormat="1">
      <c r="A1030" s="97"/>
      <c r="B1030" s="74"/>
      <c r="C1030" s="211"/>
      <c r="D1030" s="6">
        <f t="shared" ref="D1030" si="1817">$C1029*D1029</f>
        <v>902.01773199999991</v>
      </c>
      <c r="E1030" s="6">
        <f t="shared" ref="E1030" si="1818">$C1029*E1029</f>
        <v>0</v>
      </c>
      <c r="F1030" s="6">
        <f t="shared" ref="F1030:O1030" si="1819">$C1029*F1029</f>
        <v>0</v>
      </c>
      <c r="G1030" s="6">
        <f t="shared" si="1819"/>
        <v>0</v>
      </c>
      <c r="H1030" s="6">
        <f t="shared" si="1819"/>
        <v>4394.5409339999997</v>
      </c>
      <c r="I1030" s="6">
        <f t="shared" si="1819"/>
        <v>0</v>
      </c>
      <c r="J1030" s="6">
        <f t="shared" si="1819"/>
        <v>0</v>
      </c>
      <c r="K1030" s="6">
        <f t="shared" si="1819"/>
        <v>0</v>
      </c>
      <c r="L1030" s="6">
        <f t="shared" si="1819"/>
        <v>0</v>
      </c>
      <c r="M1030" s="6">
        <f t="shared" si="1819"/>
        <v>0</v>
      </c>
      <c r="N1030" s="6">
        <f t="shared" si="1819"/>
        <v>0</v>
      </c>
      <c r="O1030" s="6">
        <f t="shared" si="1819"/>
        <v>0</v>
      </c>
      <c r="P1030" s="6">
        <f t="shared" ref="P1030" si="1820">$C1029*P1029</f>
        <v>0</v>
      </c>
      <c r="Q1030" s="6">
        <f t="shared" ref="Q1030" si="1821">$C1029*Q1029</f>
        <v>2937.1486479999999</v>
      </c>
      <c r="R1030" s="6">
        <f t="shared" ref="R1030:AB1030" si="1822">$C1029*R1029</f>
        <v>2506.6401850000002</v>
      </c>
      <c r="S1030" s="6">
        <f t="shared" si="1822"/>
        <v>335.46113999999994</v>
      </c>
      <c r="T1030" s="6">
        <f t="shared" si="1822"/>
        <v>3267.0187690000002</v>
      </c>
      <c r="U1030" s="6">
        <f t="shared" si="1822"/>
        <v>616.87576299999989</v>
      </c>
      <c r="V1030" s="6">
        <f t="shared" si="1822"/>
        <v>0</v>
      </c>
      <c r="W1030" s="6">
        <f t="shared" si="1822"/>
        <v>0</v>
      </c>
      <c r="X1030" s="6">
        <f t="shared" si="1822"/>
        <v>3533.5240079999999</v>
      </c>
      <c r="Y1030" s="6">
        <f t="shared" si="1822"/>
        <v>143.50282100000001</v>
      </c>
      <c r="Z1030" s="6">
        <f t="shared" si="1822"/>
        <v>0</v>
      </c>
      <c r="AA1030" s="6">
        <f t="shared" si="1822"/>
        <v>0</v>
      </c>
      <c r="AB1030" s="6">
        <f t="shared" si="1822"/>
        <v>0</v>
      </c>
      <c r="AC1030" s="67"/>
      <c r="AD1030" s="55"/>
    </row>
    <row r="1031" spans="1:30" s="52" customFormat="1">
      <c r="A1031" s="96" t="s">
        <v>333</v>
      </c>
      <c r="B1031" s="181">
        <v>182219.57845408365</v>
      </c>
      <c r="C1031" s="211">
        <f t="shared" si="1813"/>
        <v>15184.96</v>
      </c>
      <c r="D1031" s="38">
        <v>8.5800000000000001E-2</v>
      </c>
      <c r="E1031" s="38"/>
      <c r="F1031" s="38">
        <v>1.6899999999999998E-2</v>
      </c>
      <c r="G1031" s="38"/>
      <c r="H1031" s="38"/>
      <c r="I1031" s="38"/>
      <c r="J1031" s="38"/>
      <c r="K1031" s="38"/>
      <c r="L1031" s="38"/>
      <c r="M1031" s="38">
        <v>0.12239999999999999</v>
      </c>
      <c r="N1031" s="38"/>
      <c r="O1031" s="38"/>
      <c r="P1031" s="38"/>
      <c r="Q1031" s="38">
        <v>0.18160000000000001</v>
      </c>
      <c r="R1031" s="38">
        <v>1.55E-2</v>
      </c>
      <c r="S1031" s="38">
        <v>1.77E-2</v>
      </c>
      <c r="T1031" s="38">
        <v>0.21779999999999999</v>
      </c>
      <c r="U1031" s="38"/>
      <c r="V1031" s="38"/>
      <c r="W1031" s="38">
        <v>6.4000000000000001E-2</v>
      </c>
      <c r="X1031" s="38">
        <v>0.26129999999999998</v>
      </c>
      <c r="Y1031" s="38">
        <v>9.7000000000000003E-3</v>
      </c>
      <c r="Z1031" s="40">
        <v>7.3000000000000001E-3</v>
      </c>
      <c r="AA1031" s="40">
        <v>0</v>
      </c>
      <c r="AB1031" s="40">
        <v>0</v>
      </c>
      <c r="AC1031" s="67"/>
      <c r="AD1031" s="55"/>
    </row>
    <row r="1032" spans="1:30" s="52" customFormat="1">
      <c r="A1032" s="97"/>
      <c r="B1032" s="84"/>
      <c r="C1032" s="211"/>
      <c r="D1032" s="39">
        <f>$C1031*D1031</f>
        <v>1302.8695679999998</v>
      </c>
      <c r="E1032" s="39">
        <f t="shared" ref="E1032" si="1823">$C1031*E1031</f>
        <v>0</v>
      </c>
      <c r="F1032" s="39">
        <f t="shared" ref="F1032" si="1824">$C1031*F1031</f>
        <v>256.62582399999997</v>
      </c>
      <c r="G1032" s="39">
        <f t="shared" ref="G1032:AB1032" si="1825">$C1031*G1031</f>
        <v>0</v>
      </c>
      <c r="H1032" s="39">
        <f t="shared" si="1825"/>
        <v>0</v>
      </c>
      <c r="I1032" s="39">
        <f t="shared" si="1825"/>
        <v>0</v>
      </c>
      <c r="J1032" s="39">
        <f t="shared" si="1825"/>
        <v>0</v>
      </c>
      <c r="K1032" s="39">
        <f t="shared" si="1825"/>
        <v>0</v>
      </c>
      <c r="L1032" s="39">
        <f t="shared" si="1825"/>
        <v>0</v>
      </c>
      <c r="M1032" s="39">
        <f t="shared" si="1825"/>
        <v>1858.6391039999999</v>
      </c>
      <c r="N1032" s="39">
        <f t="shared" si="1825"/>
        <v>0</v>
      </c>
      <c r="O1032" s="39">
        <f t="shared" si="1825"/>
        <v>0</v>
      </c>
      <c r="P1032" s="39">
        <f t="shared" si="1825"/>
        <v>0</v>
      </c>
      <c r="Q1032" s="39">
        <f t="shared" si="1825"/>
        <v>2757.5887360000002</v>
      </c>
      <c r="R1032" s="39">
        <f t="shared" si="1825"/>
        <v>235.36687999999998</v>
      </c>
      <c r="S1032" s="39">
        <f t="shared" si="1825"/>
        <v>268.77379200000001</v>
      </c>
      <c r="T1032" s="39">
        <f t="shared" si="1825"/>
        <v>3307.2842879999998</v>
      </c>
      <c r="U1032" s="39">
        <f t="shared" si="1825"/>
        <v>0</v>
      </c>
      <c r="V1032" s="39">
        <f t="shared" si="1825"/>
        <v>0</v>
      </c>
      <c r="W1032" s="39">
        <f t="shared" si="1825"/>
        <v>971.83744000000002</v>
      </c>
      <c r="X1032" s="39">
        <f t="shared" si="1825"/>
        <v>3967.8300479999994</v>
      </c>
      <c r="Y1032" s="39">
        <f t="shared" si="1825"/>
        <v>147.29411199999998</v>
      </c>
      <c r="Z1032" s="39">
        <f t="shared" si="1825"/>
        <v>110.85020799999999</v>
      </c>
      <c r="AA1032" s="39">
        <f t="shared" si="1825"/>
        <v>0</v>
      </c>
      <c r="AB1032" s="39">
        <f t="shared" si="1825"/>
        <v>0</v>
      </c>
      <c r="AC1032" s="67"/>
      <c r="AD1032" s="55"/>
    </row>
    <row r="1033" spans="1:30" s="52" customFormat="1">
      <c r="A1033" s="96" t="s">
        <v>334</v>
      </c>
      <c r="B1033" s="181">
        <v>149091.21305489464</v>
      </c>
      <c r="C1033" s="211">
        <f t="shared" si="1813"/>
        <v>12424.27</v>
      </c>
      <c r="D1033" s="38">
        <v>8.5800000000000001E-2</v>
      </c>
      <c r="E1033" s="38"/>
      <c r="F1033" s="38">
        <v>1.6899999999999998E-2</v>
      </c>
      <c r="G1033" s="38"/>
      <c r="H1033" s="38"/>
      <c r="I1033" s="38"/>
      <c r="J1033" s="38"/>
      <c r="K1033" s="38"/>
      <c r="L1033" s="38"/>
      <c r="M1033" s="38">
        <v>0.12239999999999999</v>
      </c>
      <c r="N1033" s="38"/>
      <c r="O1033" s="38"/>
      <c r="P1033" s="38"/>
      <c r="Q1033" s="38">
        <v>0.18160000000000001</v>
      </c>
      <c r="R1033" s="38">
        <v>1.55E-2</v>
      </c>
      <c r="S1033" s="38">
        <v>1.77E-2</v>
      </c>
      <c r="T1033" s="38">
        <v>0.21779999999999999</v>
      </c>
      <c r="U1033" s="38"/>
      <c r="V1033" s="38"/>
      <c r="W1033" s="38">
        <v>6.4000000000000001E-2</v>
      </c>
      <c r="X1033" s="38">
        <v>0.26129999999999998</v>
      </c>
      <c r="Y1033" s="38">
        <v>9.7000000000000003E-3</v>
      </c>
      <c r="Z1033" s="40">
        <v>7.3000000000000001E-3</v>
      </c>
      <c r="AA1033" s="40">
        <v>0</v>
      </c>
      <c r="AB1033" s="40">
        <v>0</v>
      </c>
      <c r="AC1033" s="67"/>
      <c r="AD1033" s="55"/>
    </row>
    <row r="1034" spans="1:30" s="52" customFormat="1">
      <c r="A1034" s="97"/>
      <c r="B1034" s="84"/>
      <c r="C1034" s="211"/>
      <c r="D1034" s="39">
        <f>$C1033*D1033</f>
        <v>1066.0023660000002</v>
      </c>
      <c r="E1034" s="39">
        <f t="shared" ref="E1034" si="1826">$C1033*E1033</f>
        <v>0</v>
      </c>
      <c r="F1034" s="39">
        <f t="shared" ref="F1034" si="1827">$C1033*F1033</f>
        <v>209.97016299999999</v>
      </c>
      <c r="G1034" s="39">
        <f t="shared" ref="G1034:AB1034" si="1828">$C1033*G1033</f>
        <v>0</v>
      </c>
      <c r="H1034" s="39">
        <f t="shared" si="1828"/>
        <v>0</v>
      </c>
      <c r="I1034" s="39">
        <f t="shared" si="1828"/>
        <v>0</v>
      </c>
      <c r="J1034" s="39">
        <f t="shared" si="1828"/>
        <v>0</v>
      </c>
      <c r="K1034" s="39">
        <f t="shared" si="1828"/>
        <v>0</v>
      </c>
      <c r="L1034" s="39">
        <f t="shared" si="1828"/>
        <v>0</v>
      </c>
      <c r="M1034" s="39">
        <f t="shared" si="1828"/>
        <v>1520.730648</v>
      </c>
      <c r="N1034" s="39">
        <f t="shared" si="1828"/>
        <v>0</v>
      </c>
      <c r="O1034" s="39">
        <f t="shared" si="1828"/>
        <v>0</v>
      </c>
      <c r="P1034" s="39">
        <f t="shared" si="1828"/>
        <v>0</v>
      </c>
      <c r="Q1034" s="39">
        <f t="shared" si="1828"/>
        <v>2256.2474320000001</v>
      </c>
      <c r="R1034" s="39">
        <f t="shared" si="1828"/>
        <v>192.57618500000001</v>
      </c>
      <c r="S1034" s="39">
        <f t="shared" si="1828"/>
        <v>219.90957900000001</v>
      </c>
      <c r="T1034" s="39">
        <f t="shared" si="1828"/>
        <v>2706.0060060000001</v>
      </c>
      <c r="U1034" s="39">
        <f t="shared" si="1828"/>
        <v>0</v>
      </c>
      <c r="V1034" s="39">
        <f t="shared" si="1828"/>
        <v>0</v>
      </c>
      <c r="W1034" s="39">
        <f t="shared" si="1828"/>
        <v>795.15328</v>
      </c>
      <c r="X1034" s="39">
        <f t="shared" si="1828"/>
        <v>3246.4617509999998</v>
      </c>
      <c r="Y1034" s="39">
        <f t="shared" si="1828"/>
        <v>120.51541900000001</v>
      </c>
      <c r="Z1034" s="39">
        <f t="shared" si="1828"/>
        <v>90.697170999999997</v>
      </c>
      <c r="AA1034" s="39">
        <f t="shared" si="1828"/>
        <v>0</v>
      </c>
      <c r="AB1034" s="39">
        <f t="shared" si="1828"/>
        <v>0</v>
      </c>
      <c r="AC1034" s="67"/>
      <c r="AD1034" s="55"/>
    </row>
    <row r="1035" spans="1:30" s="52" customFormat="1">
      <c r="A1035" s="96" t="s">
        <v>335</v>
      </c>
      <c r="B1035" s="181">
        <v>129662.85061480277</v>
      </c>
      <c r="C1035" s="211">
        <f t="shared" si="1813"/>
        <v>10805.24</v>
      </c>
      <c r="D1035" s="38">
        <v>8.5800000000000001E-2</v>
      </c>
      <c r="E1035" s="38"/>
      <c r="F1035" s="38">
        <v>1.6899999999999998E-2</v>
      </c>
      <c r="G1035" s="38"/>
      <c r="H1035" s="38"/>
      <c r="I1035" s="38"/>
      <c r="J1035" s="38"/>
      <c r="K1035" s="38"/>
      <c r="L1035" s="38"/>
      <c r="M1035" s="38">
        <v>0.12239999999999999</v>
      </c>
      <c r="N1035" s="38"/>
      <c r="O1035" s="38"/>
      <c r="P1035" s="38"/>
      <c r="Q1035" s="38">
        <v>0.18160000000000001</v>
      </c>
      <c r="R1035" s="38">
        <v>1.55E-2</v>
      </c>
      <c r="S1035" s="38">
        <v>1.77E-2</v>
      </c>
      <c r="T1035" s="38">
        <v>0.21779999999999999</v>
      </c>
      <c r="U1035" s="38"/>
      <c r="V1035" s="38"/>
      <c r="W1035" s="38">
        <v>6.4000000000000001E-2</v>
      </c>
      <c r="X1035" s="38">
        <v>0.26129999999999998</v>
      </c>
      <c r="Y1035" s="38">
        <v>9.7000000000000003E-3</v>
      </c>
      <c r="Z1035" s="40">
        <v>7.3000000000000001E-3</v>
      </c>
      <c r="AA1035" s="40">
        <v>0</v>
      </c>
      <c r="AB1035" s="40">
        <v>0</v>
      </c>
      <c r="AC1035" s="67"/>
      <c r="AD1035" s="55"/>
    </row>
    <row r="1036" spans="1:30" s="52" customFormat="1">
      <c r="A1036" s="97"/>
      <c r="B1036" s="84"/>
      <c r="C1036" s="211"/>
      <c r="D1036" s="39">
        <f>$C1035*D1035</f>
        <v>927.08959200000004</v>
      </c>
      <c r="E1036" s="39">
        <f t="shared" ref="E1036" si="1829">$C1035*E1035</f>
        <v>0</v>
      </c>
      <c r="F1036" s="39">
        <f t="shared" ref="F1036" si="1830">$C1035*F1035</f>
        <v>182.60855599999996</v>
      </c>
      <c r="G1036" s="39">
        <f t="shared" ref="G1036:AB1036" si="1831">$C1035*G1035</f>
        <v>0</v>
      </c>
      <c r="H1036" s="39">
        <f t="shared" si="1831"/>
        <v>0</v>
      </c>
      <c r="I1036" s="39">
        <f t="shared" si="1831"/>
        <v>0</v>
      </c>
      <c r="J1036" s="39">
        <f t="shared" si="1831"/>
        <v>0</v>
      </c>
      <c r="K1036" s="39">
        <f t="shared" si="1831"/>
        <v>0</v>
      </c>
      <c r="L1036" s="39">
        <f t="shared" si="1831"/>
        <v>0</v>
      </c>
      <c r="M1036" s="39">
        <f t="shared" si="1831"/>
        <v>1322.5613759999999</v>
      </c>
      <c r="N1036" s="39">
        <f t="shared" si="1831"/>
        <v>0</v>
      </c>
      <c r="O1036" s="39">
        <f t="shared" si="1831"/>
        <v>0</v>
      </c>
      <c r="P1036" s="39">
        <f t="shared" si="1831"/>
        <v>0</v>
      </c>
      <c r="Q1036" s="39">
        <f t="shared" si="1831"/>
        <v>1962.2315840000001</v>
      </c>
      <c r="R1036" s="39">
        <f t="shared" si="1831"/>
        <v>167.48122000000001</v>
      </c>
      <c r="S1036" s="39">
        <f t="shared" si="1831"/>
        <v>191.252748</v>
      </c>
      <c r="T1036" s="39">
        <f t="shared" si="1831"/>
        <v>2353.3812720000001</v>
      </c>
      <c r="U1036" s="39">
        <f t="shared" si="1831"/>
        <v>0</v>
      </c>
      <c r="V1036" s="39">
        <f t="shared" si="1831"/>
        <v>0</v>
      </c>
      <c r="W1036" s="39">
        <f t="shared" si="1831"/>
        <v>691.53535999999997</v>
      </c>
      <c r="X1036" s="39">
        <f t="shared" si="1831"/>
        <v>2823.4092119999996</v>
      </c>
      <c r="Y1036" s="39">
        <f t="shared" si="1831"/>
        <v>104.810828</v>
      </c>
      <c r="Z1036" s="39">
        <f t="shared" si="1831"/>
        <v>78.878252000000003</v>
      </c>
      <c r="AA1036" s="39">
        <f t="shared" si="1831"/>
        <v>0</v>
      </c>
      <c r="AB1036" s="39">
        <f t="shared" si="1831"/>
        <v>0</v>
      </c>
      <c r="AC1036" s="67"/>
      <c r="AD1036" s="55"/>
    </row>
    <row r="1037" spans="1:30" s="52" customFormat="1">
      <c r="A1037" s="96" t="s">
        <v>336</v>
      </c>
      <c r="B1037" s="181">
        <v>305428.34621091827</v>
      </c>
      <c r="C1037" s="211">
        <f t="shared" si="1813"/>
        <v>25452.36</v>
      </c>
      <c r="D1037" s="38">
        <v>8.5800000000000001E-2</v>
      </c>
      <c r="E1037" s="38"/>
      <c r="F1037" s="38">
        <v>1.6899999999999998E-2</v>
      </c>
      <c r="G1037" s="38"/>
      <c r="H1037" s="38"/>
      <c r="I1037" s="38"/>
      <c r="J1037" s="38"/>
      <c r="K1037" s="38"/>
      <c r="L1037" s="38"/>
      <c r="M1037" s="38">
        <v>0.12239999999999999</v>
      </c>
      <c r="N1037" s="38"/>
      <c r="O1037" s="38"/>
      <c r="P1037" s="38"/>
      <c r="Q1037" s="38">
        <v>0.18160000000000001</v>
      </c>
      <c r="R1037" s="38">
        <v>1.55E-2</v>
      </c>
      <c r="S1037" s="38">
        <v>1.77E-2</v>
      </c>
      <c r="T1037" s="38">
        <v>0.21779999999999999</v>
      </c>
      <c r="U1037" s="38"/>
      <c r="V1037" s="38"/>
      <c r="W1037" s="38">
        <v>6.4000000000000001E-2</v>
      </c>
      <c r="X1037" s="38">
        <v>0.26129999999999998</v>
      </c>
      <c r="Y1037" s="38">
        <v>9.7000000000000003E-3</v>
      </c>
      <c r="Z1037" s="40">
        <v>7.3000000000000001E-3</v>
      </c>
      <c r="AA1037" s="40">
        <v>0</v>
      </c>
      <c r="AB1037" s="40">
        <v>0</v>
      </c>
      <c r="AC1037" s="67"/>
      <c r="AD1037" s="55"/>
    </row>
    <row r="1038" spans="1:30" s="52" customFormat="1">
      <c r="A1038" s="97"/>
      <c r="B1038" s="84"/>
      <c r="C1038" s="211"/>
      <c r="D1038" s="39">
        <f>$C1037*D1037</f>
        <v>2183.812488</v>
      </c>
      <c r="E1038" s="39">
        <f t="shared" ref="E1038" si="1832">$C1037*E1037</f>
        <v>0</v>
      </c>
      <c r="F1038" s="39">
        <f t="shared" ref="F1038" si="1833">$C1037*F1037</f>
        <v>430.14488399999999</v>
      </c>
      <c r="G1038" s="39">
        <f t="shared" ref="G1038:AB1038" si="1834">$C1037*G1037</f>
        <v>0</v>
      </c>
      <c r="H1038" s="39">
        <f t="shared" si="1834"/>
        <v>0</v>
      </c>
      <c r="I1038" s="39">
        <f t="shared" si="1834"/>
        <v>0</v>
      </c>
      <c r="J1038" s="39">
        <f t="shared" si="1834"/>
        <v>0</v>
      </c>
      <c r="K1038" s="39">
        <f t="shared" si="1834"/>
        <v>0</v>
      </c>
      <c r="L1038" s="39">
        <f t="shared" si="1834"/>
        <v>0</v>
      </c>
      <c r="M1038" s="39">
        <f t="shared" si="1834"/>
        <v>3115.368864</v>
      </c>
      <c r="N1038" s="39">
        <f t="shared" si="1834"/>
        <v>0</v>
      </c>
      <c r="O1038" s="39">
        <f t="shared" si="1834"/>
        <v>0</v>
      </c>
      <c r="P1038" s="39">
        <f t="shared" si="1834"/>
        <v>0</v>
      </c>
      <c r="Q1038" s="39">
        <f t="shared" si="1834"/>
        <v>4622.1485760000005</v>
      </c>
      <c r="R1038" s="39">
        <f t="shared" si="1834"/>
        <v>394.51157999999998</v>
      </c>
      <c r="S1038" s="39">
        <f t="shared" si="1834"/>
        <v>450.50677200000001</v>
      </c>
      <c r="T1038" s="39">
        <f t="shared" si="1834"/>
        <v>5543.5240080000003</v>
      </c>
      <c r="U1038" s="39">
        <f t="shared" si="1834"/>
        <v>0</v>
      </c>
      <c r="V1038" s="39">
        <f t="shared" si="1834"/>
        <v>0</v>
      </c>
      <c r="W1038" s="39">
        <f t="shared" si="1834"/>
        <v>1628.9510400000001</v>
      </c>
      <c r="X1038" s="39">
        <f t="shared" si="1834"/>
        <v>6650.7016679999997</v>
      </c>
      <c r="Y1038" s="39">
        <f t="shared" si="1834"/>
        <v>246.88789200000002</v>
      </c>
      <c r="Z1038" s="39">
        <f t="shared" si="1834"/>
        <v>185.80222800000001</v>
      </c>
      <c r="AA1038" s="39">
        <f t="shared" si="1834"/>
        <v>0</v>
      </c>
      <c r="AB1038" s="39">
        <f t="shared" si="1834"/>
        <v>0</v>
      </c>
      <c r="AC1038" s="67"/>
      <c r="AD1038" s="55"/>
    </row>
    <row r="1039" spans="1:30" s="52" customFormat="1">
      <c r="A1039" s="96" t="s">
        <v>337</v>
      </c>
      <c r="B1039" s="181">
        <v>1607879.2434089107</v>
      </c>
      <c r="C1039" s="211">
        <f t="shared" si="1813"/>
        <v>133989.94</v>
      </c>
      <c r="D1039" s="38"/>
      <c r="E1039" s="38"/>
      <c r="F1039" s="38">
        <v>0.1009</v>
      </c>
      <c r="G1039" s="38"/>
      <c r="H1039" s="38"/>
      <c r="I1039" s="38"/>
      <c r="J1039" s="38"/>
      <c r="K1039" s="38"/>
      <c r="L1039" s="38"/>
      <c r="M1039" s="38"/>
      <c r="N1039" s="38"/>
      <c r="O1039" s="38"/>
      <c r="P1039" s="38">
        <v>4.8999999999999998E-3</v>
      </c>
      <c r="Q1039" s="38">
        <v>5.1400000000000001E-2</v>
      </c>
      <c r="R1039" s="38"/>
      <c r="S1039" s="38">
        <v>5.4000000000000003E-3</v>
      </c>
      <c r="T1039" s="38"/>
      <c r="U1039" s="38">
        <v>0.70709999999999995</v>
      </c>
      <c r="V1039" s="38"/>
      <c r="W1039" s="38"/>
      <c r="X1039" s="38">
        <v>0.121</v>
      </c>
      <c r="Y1039" s="38">
        <v>4.7999999999999996E-3</v>
      </c>
      <c r="Z1039" s="40">
        <v>4.4999999999999997E-3</v>
      </c>
      <c r="AA1039" s="40">
        <v>0</v>
      </c>
      <c r="AB1039" s="40">
        <v>0</v>
      </c>
      <c r="AC1039" s="67"/>
      <c r="AD1039" s="55"/>
    </row>
    <row r="1040" spans="1:30" s="52" customFormat="1">
      <c r="A1040" s="97"/>
      <c r="B1040" s="84"/>
      <c r="C1040" s="211"/>
      <c r="D1040" s="39">
        <f>$C1039*D1039</f>
        <v>0</v>
      </c>
      <c r="E1040" s="39">
        <f t="shared" ref="E1040" si="1835">$C1039*E1039</f>
        <v>0</v>
      </c>
      <c r="F1040" s="39">
        <f t="shared" ref="F1040" si="1836">$C1039*F1039</f>
        <v>13519.584946000001</v>
      </c>
      <c r="G1040" s="39">
        <f t="shared" ref="G1040:AB1040" si="1837">$C1039*G1039</f>
        <v>0</v>
      </c>
      <c r="H1040" s="39">
        <f t="shared" si="1837"/>
        <v>0</v>
      </c>
      <c r="I1040" s="39">
        <f t="shared" si="1837"/>
        <v>0</v>
      </c>
      <c r="J1040" s="39">
        <f t="shared" si="1837"/>
        <v>0</v>
      </c>
      <c r="K1040" s="39">
        <f t="shared" si="1837"/>
        <v>0</v>
      </c>
      <c r="L1040" s="39">
        <f t="shared" si="1837"/>
        <v>0</v>
      </c>
      <c r="M1040" s="39">
        <f t="shared" si="1837"/>
        <v>0</v>
      </c>
      <c r="N1040" s="39">
        <f t="shared" si="1837"/>
        <v>0</v>
      </c>
      <c r="O1040" s="39">
        <f t="shared" si="1837"/>
        <v>0</v>
      </c>
      <c r="P1040" s="39">
        <f t="shared" si="1837"/>
        <v>656.55070599999999</v>
      </c>
      <c r="Q1040" s="39">
        <f t="shared" si="1837"/>
        <v>6887.0829160000003</v>
      </c>
      <c r="R1040" s="39">
        <f t="shared" si="1837"/>
        <v>0</v>
      </c>
      <c r="S1040" s="39">
        <f t="shared" si="1837"/>
        <v>723.54567600000007</v>
      </c>
      <c r="T1040" s="39">
        <f t="shared" si="1837"/>
        <v>0</v>
      </c>
      <c r="U1040" s="39">
        <f t="shared" si="1837"/>
        <v>94744.286573999998</v>
      </c>
      <c r="V1040" s="39">
        <f t="shared" si="1837"/>
        <v>0</v>
      </c>
      <c r="W1040" s="39">
        <f t="shared" si="1837"/>
        <v>0</v>
      </c>
      <c r="X1040" s="39">
        <f t="shared" si="1837"/>
        <v>16212.782740000001</v>
      </c>
      <c r="Y1040" s="39">
        <f t="shared" si="1837"/>
        <v>643.15171199999997</v>
      </c>
      <c r="Z1040" s="39">
        <f t="shared" si="1837"/>
        <v>602.95472999999993</v>
      </c>
      <c r="AA1040" s="39">
        <f t="shared" si="1837"/>
        <v>0</v>
      </c>
      <c r="AB1040" s="39">
        <f t="shared" si="1837"/>
        <v>0</v>
      </c>
      <c r="AC1040" s="67"/>
      <c r="AD1040" s="55"/>
    </row>
    <row r="1041" spans="1:30" s="52" customFormat="1">
      <c r="A1041" s="96" t="s">
        <v>338</v>
      </c>
      <c r="B1041" s="181">
        <v>10110743.704232333</v>
      </c>
      <c r="C1041" s="211">
        <f t="shared" si="1813"/>
        <v>842561.98</v>
      </c>
      <c r="D1041" s="38"/>
      <c r="E1041" s="38"/>
      <c r="F1041" s="38">
        <v>0.33200000000000002</v>
      </c>
      <c r="G1041" s="38"/>
      <c r="H1041" s="38"/>
      <c r="I1041" s="38"/>
      <c r="J1041" s="38"/>
      <c r="K1041" s="38"/>
      <c r="L1041" s="38"/>
      <c r="M1041" s="38"/>
      <c r="N1041" s="38"/>
      <c r="O1041" s="38"/>
      <c r="P1041" s="38">
        <v>4.4000000000000003E-3</v>
      </c>
      <c r="Q1041" s="38">
        <v>8.6400000000000005E-2</v>
      </c>
      <c r="R1041" s="38">
        <v>5.5199999999999999E-2</v>
      </c>
      <c r="S1041" s="38">
        <v>8.6E-3</v>
      </c>
      <c r="T1041" s="38"/>
      <c r="U1041" s="38">
        <v>0.36809999999999998</v>
      </c>
      <c r="V1041" s="38"/>
      <c r="W1041" s="38"/>
      <c r="X1041" s="38">
        <v>0.13550000000000001</v>
      </c>
      <c r="Y1041" s="38">
        <v>5.4000000000000003E-3</v>
      </c>
      <c r="Z1041" s="40">
        <v>4.4000000000000003E-3</v>
      </c>
      <c r="AA1041" s="40">
        <v>0</v>
      </c>
      <c r="AB1041" s="40">
        <v>0</v>
      </c>
      <c r="AC1041" s="67"/>
      <c r="AD1041" s="55"/>
    </row>
    <row r="1042" spans="1:30" s="52" customFormat="1">
      <c r="A1042" s="97"/>
      <c r="B1042" s="84"/>
      <c r="C1042" s="211"/>
      <c r="D1042" s="39">
        <f>$C1041*D1041</f>
        <v>0</v>
      </c>
      <c r="E1042" s="39">
        <f t="shared" ref="E1042" si="1838">$C1041*E1041</f>
        <v>0</v>
      </c>
      <c r="F1042" s="39">
        <f t="shared" ref="F1042" si="1839">$C1041*F1041</f>
        <v>279730.57736</v>
      </c>
      <c r="G1042" s="39">
        <f t="shared" ref="G1042:AB1042" si="1840">$C1041*G1041</f>
        <v>0</v>
      </c>
      <c r="H1042" s="39">
        <f t="shared" si="1840"/>
        <v>0</v>
      </c>
      <c r="I1042" s="39">
        <f t="shared" si="1840"/>
        <v>0</v>
      </c>
      <c r="J1042" s="39">
        <f t="shared" si="1840"/>
        <v>0</v>
      </c>
      <c r="K1042" s="39">
        <f t="shared" si="1840"/>
        <v>0</v>
      </c>
      <c r="L1042" s="39">
        <f t="shared" si="1840"/>
        <v>0</v>
      </c>
      <c r="M1042" s="39">
        <f t="shared" si="1840"/>
        <v>0</v>
      </c>
      <c r="N1042" s="39">
        <f t="shared" si="1840"/>
        <v>0</v>
      </c>
      <c r="O1042" s="39">
        <f t="shared" si="1840"/>
        <v>0</v>
      </c>
      <c r="P1042" s="39">
        <f t="shared" si="1840"/>
        <v>3707.272712</v>
      </c>
      <c r="Q1042" s="39">
        <f t="shared" si="1840"/>
        <v>72797.355072000006</v>
      </c>
      <c r="R1042" s="39">
        <f t="shared" si="1840"/>
        <v>46509.421296</v>
      </c>
      <c r="S1042" s="39">
        <f t="shared" si="1840"/>
        <v>7246.0330279999998</v>
      </c>
      <c r="T1042" s="39">
        <f t="shared" si="1840"/>
        <v>0</v>
      </c>
      <c r="U1042" s="39">
        <f t="shared" si="1840"/>
        <v>310147.06483799999</v>
      </c>
      <c r="V1042" s="39">
        <f t="shared" si="1840"/>
        <v>0</v>
      </c>
      <c r="W1042" s="39">
        <f t="shared" si="1840"/>
        <v>0</v>
      </c>
      <c r="X1042" s="39">
        <f t="shared" si="1840"/>
        <v>114167.14829000001</v>
      </c>
      <c r="Y1042" s="39">
        <f t="shared" si="1840"/>
        <v>4549.8346920000004</v>
      </c>
      <c r="Z1042" s="39">
        <f t="shared" si="1840"/>
        <v>3707.272712</v>
      </c>
      <c r="AA1042" s="39">
        <f t="shared" si="1840"/>
        <v>0</v>
      </c>
      <c r="AB1042" s="39">
        <f t="shared" si="1840"/>
        <v>0</v>
      </c>
      <c r="AC1042" s="67"/>
      <c r="AD1042" s="55"/>
    </row>
    <row r="1043" spans="1:30" s="52" customFormat="1">
      <c r="A1043" s="96" t="s">
        <v>339</v>
      </c>
      <c r="B1043" s="181">
        <v>236737.018312556</v>
      </c>
      <c r="C1043" s="211">
        <f t="shared" si="1813"/>
        <v>19728.080000000002</v>
      </c>
      <c r="D1043" s="170">
        <v>1.6500000000000001E-2</v>
      </c>
      <c r="E1043" s="170">
        <v>0.1368</v>
      </c>
      <c r="F1043" s="170">
        <v>5.7599999999999998E-2</v>
      </c>
      <c r="G1043" s="170">
        <v>8.0399999999999999E-2</v>
      </c>
      <c r="H1043" s="170">
        <v>4.1099999999999998E-2</v>
      </c>
      <c r="I1043" s="170">
        <v>0.13389999999999999</v>
      </c>
      <c r="J1043" s="170">
        <v>2.12E-2</v>
      </c>
      <c r="K1043" s="170">
        <v>3.2500000000000001E-2</v>
      </c>
      <c r="L1043" s="170">
        <v>1.7100000000000001E-2</v>
      </c>
      <c r="M1043" s="170">
        <v>2.5999999999999999E-2</v>
      </c>
      <c r="N1043" s="170">
        <v>0.13320000000000001</v>
      </c>
      <c r="O1043" s="170">
        <v>1.89E-2</v>
      </c>
      <c r="P1043" s="170">
        <v>0</v>
      </c>
      <c r="Q1043" s="170">
        <v>3.8600000000000002E-2</v>
      </c>
      <c r="R1043" s="170">
        <v>1.9E-2</v>
      </c>
      <c r="S1043" s="170">
        <v>4.1999999999999997E-3</v>
      </c>
      <c r="T1043" s="170">
        <v>5.3999999999999999E-2</v>
      </c>
      <c r="U1043" s="170">
        <v>1.78E-2</v>
      </c>
      <c r="V1043" s="170">
        <v>3.6700000000000003E-2</v>
      </c>
      <c r="W1043" s="170">
        <v>4.7199999999999999E-2</v>
      </c>
      <c r="X1043" s="170">
        <v>6.3899999999999998E-2</v>
      </c>
      <c r="Y1043" s="170">
        <v>2.5999999999999999E-3</v>
      </c>
      <c r="Z1043" s="171">
        <v>0</v>
      </c>
      <c r="AA1043" s="171">
        <v>8.0000000000000004E-4</v>
      </c>
      <c r="AB1043" s="171">
        <v>0</v>
      </c>
      <c r="AC1043" s="67"/>
      <c r="AD1043" s="55"/>
    </row>
    <row r="1044" spans="1:30" s="52" customFormat="1">
      <c r="A1044" s="97"/>
      <c r="B1044" s="84"/>
      <c r="C1044" s="211"/>
      <c r="D1044" s="6">
        <f>$C1043*D1043</f>
        <v>325.51332000000002</v>
      </c>
      <c r="E1044" s="6">
        <f t="shared" ref="E1044" si="1841">$C1043*E1043</f>
        <v>2698.8013440000004</v>
      </c>
      <c r="F1044" s="6">
        <f t="shared" ref="F1044" si="1842">$C1043*F1043</f>
        <v>1136.3374080000001</v>
      </c>
      <c r="G1044" s="6">
        <f t="shared" ref="G1044:AB1044" si="1843">$C1043*G1043</f>
        <v>1586.1376320000002</v>
      </c>
      <c r="H1044" s="6">
        <f t="shared" si="1843"/>
        <v>810.82408800000007</v>
      </c>
      <c r="I1044" s="6">
        <f t="shared" si="1843"/>
        <v>2641.5899119999999</v>
      </c>
      <c r="J1044" s="6">
        <f t="shared" si="1843"/>
        <v>418.23529600000006</v>
      </c>
      <c r="K1044" s="6">
        <f t="shared" si="1843"/>
        <v>641.16260000000011</v>
      </c>
      <c r="L1044" s="6">
        <f t="shared" si="1843"/>
        <v>337.35016800000005</v>
      </c>
      <c r="M1044" s="6">
        <f t="shared" si="1843"/>
        <v>512.93007999999998</v>
      </c>
      <c r="N1044" s="6">
        <f t="shared" si="1843"/>
        <v>2627.7802560000005</v>
      </c>
      <c r="O1044" s="6">
        <f t="shared" si="1843"/>
        <v>372.86071200000004</v>
      </c>
      <c r="P1044" s="6">
        <f t="shared" si="1843"/>
        <v>0</v>
      </c>
      <c r="Q1044" s="6">
        <f t="shared" si="1843"/>
        <v>761.50388800000007</v>
      </c>
      <c r="R1044" s="6">
        <f t="shared" si="1843"/>
        <v>374.83352000000002</v>
      </c>
      <c r="S1044" s="6">
        <f t="shared" si="1843"/>
        <v>82.857935999999995</v>
      </c>
      <c r="T1044" s="6">
        <f t="shared" si="1843"/>
        <v>1065.3163200000001</v>
      </c>
      <c r="U1044" s="6">
        <f t="shared" si="1843"/>
        <v>351.15982400000001</v>
      </c>
      <c r="V1044" s="6">
        <f t="shared" si="1843"/>
        <v>724.02053600000011</v>
      </c>
      <c r="W1044" s="6">
        <f t="shared" si="1843"/>
        <v>931.16537600000004</v>
      </c>
      <c r="X1044" s="6">
        <f t="shared" si="1843"/>
        <v>1260.6243120000001</v>
      </c>
      <c r="Y1044" s="6">
        <f t="shared" si="1843"/>
        <v>51.293008</v>
      </c>
      <c r="Z1044" s="6">
        <f t="shared" si="1843"/>
        <v>0</v>
      </c>
      <c r="AA1044" s="6">
        <f t="shared" si="1843"/>
        <v>15.782464000000003</v>
      </c>
      <c r="AB1044" s="6">
        <f t="shared" si="1843"/>
        <v>0</v>
      </c>
      <c r="AC1044" s="67"/>
      <c r="AD1044" s="55"/>
    </row>
    <row r="1045" spans="1:30" s="52" customFormat="1">
      <c r="A1045" s="96" t="s">
        <v>340</v>
      </c>
      <c r="B1045" s="181">
        <v>236736.93542196444</v>
      </c>
      <c r="C1045" s="211">
        <f t="shared" si="1813"/>
        <v>19728.080000000002</v>
      </c>
      <c r="D1045" s="38"/>
      <c r="E1045" s="38"/>
      <c r="F1045" s="38"/>
      <c r="G1045" s="38"/>
      <c r="H1045" s="170">
        <v>0.24310000000000001</v>
      </c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170">
        <v>0.75690000000000002</v>
      </c>
      <c r="X1045" s="38"/>
      <c r="Y1045" s="38"/>
      <c r="Z1045" s="5"/>
      <c r="AA1045" s="5"/>
      <c r="AB1045" s="5"/>
      <c r="AC1045" s="67"/>
      <c r="AD1045" s="55"/>
    </row>
    <row r="1046" spans="1:30" s="52" customFormat="1">
      <c r="A1046" s="97"/>
      <c r="B1046" s="84"/>
      <c r="C1046" s="211"/>
      <c r="D1046" s="6">
        <f t="shared" ref="D1046" si="1844">$C1045*D1045</f>
        <v>0</v>
      </c>
      <c r="E1046" s="6">
        <f t="shared" ref="E1046" si="1845">$C1045*E1045</f>
        <v>0</v>
      </c>
      <c r="F1046" s="6">
        <f t="shared" ref="F1046:O1046" si="1846">$C1045*F1045</f>
        <v>0</v>
      </c>
      <c r="G1046" s="6">
        <f t="shared" si="1846"/>
        <v>0</v>
      </c>
      <c r="H1046" s="6">
        <f t="shared" si="1846"/>
        <v>4795.8962480000009</v>
      </c>
      <c r="I1046" s="6">
        <f t="shared" si="1846"/>
        <v>0</v>
      </c>
      <c r="J1046" s="6">
        <f t="shared" si="1846"/>
        <v>0</v>
      </c>
      <c r="K1046" s="6">
        <f t="shared" si="1846"/>
        <v>0</v>
      </c>
      <c r="L1046" s="6">
        <f t="shared" si="1846"/>
        <v>0</v>
      </c>
      <c r="M1046" s="6">
        <f t="shared" si="1846"/>
        <v>0</v>
      </c>
      <c r="N1046" s="6">
        <f t="shared" si="1846"/>
        <v>0</v>
      </c>
      <c r="O1046" s="6">
        <f t="shared" si="1846"/>
        <v>0</v>
      </c>
      <c r="P1046" s="6">
        <f t="shared" ref="P1046" si="1847">$C1045*P1045</f>
        <v>0</v>
      </c>
      <c r="Q1046" s="6">
        <f t="shared" ref="Q1046" si="1848">$C1045*Q1045</f>
        <v>0</v>
      </c>
      <c r="R1046" s="6">
        <f t="shared" ref="R1046:AB1046" si="1849">$C1045*R1045</f>
        <v>0</v>
      </c>
      <c r="S1046" s="6">
        <f t="shared" si="1849"/>
        <v>0</v>
      </c>
      <c r="T1046" s="6">
        <f t="shared" si="1849"/>
        <v>0</v>
      </c>
      <c r="U1046" s="6">
        <f t="shared" si="1849"/>
        <v>0</v>
      </c>
      <c r="V1046" s="6">
        <f t="shared" si="1849"/>
        <v>0</v>
      </c>
      <c r="W1046" s="6">
        <f t="shared" si="1849"/>
        <v>14932.183752000001</v>
      </c>
      <c r="X1046" s="6">
        <f t="shared" si="1849"/>
        <v>0</v>
      </c>
      <c r="Y1046" s="6">
        <f t="shared" si="1849"/>
        <v>0</v>
      </c>
      <c r="Z1046" s="6">
        <f t="shared" si="1849"/>
        <v>0</v>
      </c>
      <c r="AA1046" s="6">
        <f t="shared" si="1849"/>
        <v>0</v>
      </c>
      <c r="AB1046" s="6">
        <f t="shared" si="1849"/>
        <v>0</v>
      </c>
      <c r="AC1046" s="67"/>
      <c r="AD1046" s="55"/>
    </row>
    <row r="1047" spans="1:30" s="52" customFormat="1">
      <c r="A1047" s="96" t="s">
        <v>341</v>
      </c>
      <c r="B1047" s="181">
        <v>879582.78462896019</v>
      </c>
      <c r="C1047" s="211">
        <f t="shared" si="1813"/>
        <v>73298.570000000007</v>
      </c>
      <c r="D1047" s="38"/>
      <c r="E1047" s="38"/>
      <c r="F1047" s="38">
        <v>8.3000000000000004E-2</v>
      </c>
      <c r="G1047" s="38"/>
      <c r="H1047" s="38">
        <v>0.14699999999999999</v>
      </c>
      <c r="I1047" s="38"/>
      <c r="J1047" s="38"/>
      <c r="K1047" s="38">
        <v>4.7999999999999996E-3</v>
      </c>
      <c r="L1047" s="38"/>
      <c r="M1047" s="38"/>
      <c r="N1047" s="38">
        <v>0.36919999999999997</v>
      </c>
      <c r="O1047" s="38"/>
      <c r="P1047" s="38"/>
      <c r="Q1047" s="38"/>
      <c r="R1047" s="38">
        <v>0.23849999999999999</v>
      </c>
      <c r="S1047" s="38"/>
      <c r="T1047" s="38"/>
      <c r="U1047" s="38"/>
      <c r="V1047" s="38">
        <v>0.1575</v>
      </c>
      <c r="W1047" s="38"/>
      <c r="X1047" s="38"/>
      <c r="Y1047" s="38"/>
      <c r="Z1047" s="5"/>
      <c r="AA1047" s="5"/>
      <c r="AB1047" s="5"/>
      <c r="AC1047" s="67"/>
      <c r="AD1047" s="55"/>
    </row>
    <row r="1048" spans="1:30" s="52" customFormat="1">
      <c r="A1048" s="97"/>
      <c r="B1048" s="84"/>
      <c r="C1048" s="211"/>
      <c r="D1048" s="6">
        <f>$C1047*D1047</f>
        <v>0</v>
      </c>
      <c r="E1048" s="6">
        <f t="shared" ref="E1048" si="1850">$C1047*E1047</f>
        <v>0</v>
      </c>
      <c r="F1048" s="6">
        <f t="shared" ref="F1048" si="1851">$C1047*F1047</f>
        <v>6083.7813100000012</v>
      </c>
      <c r="G1048" s="6">
        <f t="shared" ref="G1048:AB1048" si="1852">$C1047*G1047</f>
        <v>0</v>
      </c>
      <c r="H1048" s="6">
        <f t="shared" si="1852"/>
        <v>10774.889790000001</v>
      </c>
      <c r="I1048" s="6">
        <f t="shared" si="1852"/>
        <v>0</v>
      </c>
      <c r="J1048" s="6">
        <f t="shared" si="1852"/>
        <v>0</v>
      </c>
      <c r="K1048" s="6">
        <f t="shared" si="1852"/>
        <v>351.83313600000002</v>
      </c>
      <c r="L1048" s="6">
        <f t="shared" si="1852"/>
        <v>0</v>
      </c>
      <c r="M1048" s="6">
        <f t="shared" si="1852"/>
        <v>0</v>
      </c>
      <c r="N1048" s="6">
        <f t="shared" si="1852"/>
        <v>27061.832043999999</v>
      </c>
      <c r="O1048" s="6">
        <f t="shared" si="1852"/>
        <v>0</v>
      </c>
      <c r="P1048" s="6">
        <f t="shared" si="1852"/>
        <v>0</v>
      </c>
      <c r="Q1048" s="6">
        <f t="shared" si="1852"/>
        <v>0</v>
      </c>
      <c r="R1048" s="6">
        <f t="shared" si="1852"/>
        <v>17481.708945000002</v>
      </c>
      <c r="S1048" s="6">
        <f t="shared" si="1852"/>
        <v>0</v>
      </c>
      <c r="T1048" s="6">
        <f t="shared" si="1852"/>
        <v>0</v>
      </c>
      <c r="U1048" s="6">
        <f t="shared" si="1852"/>
        <v>0</v>
      </c>
      <c r="V1048" s="6">
        <f t="shared" si="1852"/>
        <v>11544.524775000002</v>
      </c>
      <c r="W1048" s="6">
        <f t="shared" si="1852"/>
        <v>0</v>
      </c>
      <c r="X1048" s="6">
        <f t="shared" si="1852"/>
        <v>0</v>
      </c>
      <c r="Y1048" s="6">
        <f t="shared" si="1852"/>
        <v>0</v>
      </c>
      <c r="Z1048" s="6">
        <f t="shared" si="1852"/>
        <v>0</v>
      </c>
      <c r="AA1048" s="6">
        <f t="shared" si="1852"/>
        <v>0</v>
      </c>
      <c r="AB1048" s="6">
        <f t="shared" si="1852"/>
        <v>0</v>
      </c>
      <c r="AC1048" s="67"/>
      <c r="AD1048" s="55"/>
    </row>
    <row r="1049" spans="1:30" s="52" customFormat="1">
      <c r="A1049" s="96" t="s">
        <v>342</v>
      </c>
      <c r="B1049" s="181">
        <v>381271.01875425107</v>
      </c>
      <c r="C1049" s="211">
        <f t="shared" si="1813"/>
        <v>31772.58</v>
      </c>
      <c r="D1049" s="38"/>
      <c r="E1049" s="38"/>
      <c r="F1049" s="38">
        <v>8.3000000000000004E-2</v>
      </c>
      <c r="G1049" s="38"/>
      <c r="H1049" s="38">
        <v>0.14699999999999999</v>
      </c>
      <c r="I1049" s="38"/>
      <c r="J1049" s="38"/>
      <c r="K1049" s="38">
        <v>4.7999999999999996E-3</v>
      </c>
      <c r="L1049" s="38"/>
      <c r="M1049" s="38"/>
      <c r="N1049" s="38">
        <v>0.36919999999999997</v>
      </c>
      <c r="O1049" s="38"/>
      <c r="P1049" s="38"/>
      <c r="Q1049" s="38"/>
      <c r="R1049" s="38">
        <v>0.23849999999999999</v>
      </c>
      <c r="S1049" s="38"/>
      <c r="T1049" s="38"/>
      <c r="U1049" s="38"/>
      <c r="V1049" s="38">
        <v>0.1575</v>
      </c>
      <c r="W1049" s="38"/>
      <c r="X1049" s="38"/>
      <c r="Y1049" s="38"/>
      <c r="Z1049" s="5"/>
      <c r="AA1049" s="5"/>
      <c r="AB1049" s="5"/>
      <c r="AC1049" s="67"/>
      <c r="AD1049" s="55"/>
    </row>
    <row r="1050" spans="1:30" s="52" customFormat="1">
      <c r="A1050" s="97"/>
      <c r="B1050" s="65"/>
      <c r="C1050" s="211"/>
      <c r="D1050" s="6">
        <f>$C1049*D1049</f>
        <v>0</v>
      </c>
      <c r="E1050" s="6">
        <f t="shared" ref="E1050" si="1853">$C1049*E1049</f>
        <v>0</v>
      </c>
      <c r="F1050" s="6">
        <f t="shared" ref="F1050" si="1854">$C1049*F1049</f>
        <v>2637.1241400000004</v>
      </c>
      <c r="G1050" s="6">
        <f t="shared" ref="G1050:AB1050" si="1855">$C1049*G1049</f>
        <v>0</v>
      </c>
      <c r="H1050" s="6">
        <f t="shared" si="1855"/>
        <v>4670.5692600000002</v>
      </c>
      <c r="I1050" s="6">
        <f t="shared" si="1855"/>
        <v>0</v>
      </c>
      <c r="J1050" s="6">
        <f t="shared" si="1855"/>
        <v>0</v>
      </c>
      <c r="K1050" s="6">
        <f t="shared" si="1855"/>
        <v>152.50838400000001</v>
      </c>
      <c r="L1050" s="6">
        <f t="shared" si="1855"/>
        <v>0</v>
      </c>
      <c r="M1050" s="6">
        <f t="shared" si="1855"/>
        <v>0</v>
      </c>
      <c r="N1050" s="6">
        <f t="shared" si="1855"/>
        <v>11730.436535999999</v>
      </c>
      <c r="O1050" s="6">
        <f t="shared" si="1855"/>
        <v>0</v>
      </c>
      <c r="P1050" s="6">
        <f t="shared" si="1855"/>
        <v>0</v>
      </c>
      <c r="Q1050" s="6">
        <f t="shared" si="1855"/>
        <v>0</v>
      </c>
      <c r="R1050" s="6">
        <f t="shared" si="1855"/>
        <v>7577.7603300000001</v>
      </c>
      <c r="S1050" s="6">
        <f t="shared" si="1855"/>
        <v>0</v>
      </c>
      <c r="T1050" s="6">
        <f t="shared" si="1855"/>
        <v>0</v>
      </c>
      <c r="U1050" s="6">
        <f t="shared" si="1855"/>
        <v>0</v>
      </c>
      <c r="V1050" s="6">
        <f t="shared" si="1855"/>
        <v>5004.1813500000007</v>
      </c>
      <c r="W1050" s="6">
        <f t="shared" si="1855"/>
        <v>0</v>
      </c>
      <c r="X1050" s="6">
        <f t="shared" si="1855"/>
        <v>0</v>
      </c>
      <c r="Y1050" s="6">
        <f t="shared" si="1855"/>
        <v>0</v>
      </c>
      <c r="Z1050" s="6">
        <f t="shared" si="1855"/>
        <v>0</v>
      </c>
      <c r="AA1050" s="6">
        <f t="shared" si="1855"/>
        <v>0</v>
      </c>
      <c r="AB1050" s="6">
        <f t="shared" si="1855"/>
        <v>0</v>
      </c>
      <c r="AC1050" s="67"/>
      <c r="AD1050" s="55"/>
    </row>
    <row r="1051" spans="1:30" s="52" customFormat="1">
      <c r="A1051" s="96" t="s">
        <v>494</v>
      </c>
      <c r="B1051" s="181">
        <v>-75320.790163125275</v>
      </c>
      <c r="C1051" s="211">
        <f t="shared" si="1813"/>
        <v>-6276.73</v>
      </c>
      <c r="D1051" s="38"/>
      <c r="E1051" s="38">
        <v>6.4600000000000005E-2</v>
      </c>
      <c r="F1051" s="38">
        <v>8.7400000000000005E-2</v>
      </c>
      <c r="G1051" s="38"/>
      <c r="H1051" s="38">
        <v>0.19739999999999999</v>
      </c>
      <c r="I1051" s="38">
        <v>2.1600000000000001E-2</v>
      </c>
      <c r="J1051" s="38">
        <v>5.8999999999999999E-3</v>
      </c>
      <c r="K1051" s="38">
        <v>1.0200000000000001E-2</v>
      </c>
      <c r="L1051" s="38">
        <v>1E-4</v>
      </c>
      <c r="M1051" s="38"/>
      <c r="N1051" s="38">
        <v>0.39950000000000002</v>
      </c>
      <c r="O1051" s="38">
        <v>4.4999999999999997E-3</v>
      </c>
      <c r="P1051" s="38"/>
      <c r="Q1051" s="38"/>
      <c r="R1051" s="38"/>
      <c r="S1051" s="38"/>
      <c r="T1051" s="38"/>
      <c r="U1051" s="38"/>
      <c r="V1051" s="38">
        <v>0.20880000000000001</v>
      </c>
      <c r="W1051" s="38"/>
      <c r="X1051" s="38"/>
      <c r="Y1051" s="38"/>
      <c r="Z1051" s="5"/>
      <c r="AA1051" s="5"/>
      <c r="AB1051" s="5"/>
      <c r="AC1051" s="67"/>
      <c r="AD1051" s="55"/>
    </row>
    <row r="1052" spans="1:30" s="52" customFormat="1">
      <c r="A1052" s="97"/>
      <c r="B1052" s="65"/>
      <c r="C1052" s="211"/>
      <c r="D1052" s="6">
        <f>$C1051*D1051</f>
        <v>0</v>
      </c>
      <c r="E1052" s="6">
        <f t="shared" ref="E1052" si="1856">$C1051*E1051</f>
        <v>-405.47675800000002</v>
      </c>
      <c r="F1052" s="6">
        <f t="shared" ref="F1052" si="1857">$C1051*F1051</f>
        <v>-548.58620199999996</v>
      </c>
      <c r="G1052" s="6">
        <f t="shared" ref="G1052:AB1052" si="1858">$C1051*G1051</f>
        <v>0</v>
      </c>
      <c r="H1052" s="6">
        <f t="shared" si="1858"/>
        <v>-1239.0265019999999</v>
      </c>
      <c r="I1052" s="6">
        <f t="shared" si="1858"/>
        <v>-135.57736800000001</v>
      </c>
      <c r="J1052" s="6">
        <f t="shared" si="1858"/>
        <v>-37.032706999999995</v>
      </c>
      <c r="K1052" s="6">
        <f t="shared" si="1858"/>
        <v>-64.022645999999995</v>
      </c>
      <c r="L1052" s="6">
        <f t="shared" si="1858"/>
        <v>-0.62767300000000004</v>
      </c>
      <c r="M1052" s="6">
        <f t="shared" si="1858"/>
        <v>0</v>
      </c>
      <c r="N1052" s="6">
        <f t="shared" si="1858"/>
        <v>-2507.5536349999998</v>
      </c>
      <c r="O1052" s="6">
        <f t="shared" si="1858"/>
        <v>-28.245284999999996</v>
      </c>
      <c r="P1052" s="6">
        <f t="shared" si="1858"/>
        <v>0</v>
      </c>
      <c r="Q1052" s="6">
        <f t="shared" si="1858"/>
        <v>0</v>
      </c>
      <c r="R1052" s="6">
        <f t="shared" si="1858"/>
        <v>0</v>
      </c>
      <c r="S1052" s="6">
        <f t="shared" si="1858"/>
        <v>0</v>
      </c>
      <c r="T1052" s="6">
        <f t="shared" si="1858"/>
        <v>0</v>
      </c>
      <c r="U1052" s="6">
        <f t="shared" si="1858"/>
        <v>0</v>
      </c>
      <c r="V1052" s="6">
        <f t="shared" si="1858"/>
        <v>-1310.581224</v>
      </c>
      <c r="W1052" s="6">
        <f t="shared" si="1858"/>
        <v>0</v>
      </c>
      <c r="X1052" s="6">
        <f t="shared" si="1858"/>
        <v>0</v>
      </c>
      <c r="Y1052" s="6">
        <f t="shared" si="1858"/>
        <v>0</v>
      </c>
      <c r="Z1052" s="6">
        <f t="shared" si="1858"/>
        <v>0</v>
      </c>
      <c r="AA1052" s="6">
        <f t="shared" si="1858"/>
        <v>0</v>
      </c>
      <c r="AB1052" s="6">
        <f t="shared" si="1858"/>
        <v>0</v>
      </c>
      <c r="AC1052" s="67"/>
      <c r="AD1052" s="55"/>
    </row>
    <row r="1053" spans="1:30" s="52" customFormat="1">
      <c r="A1053" s="96" t="s">
        <v>495</v>
      </c>
      <c r="B1053" s="181">
        <v>1899.6200574854884</v>
      </c>
      <c r="C1053" s="211">
        <f t="shared" si="1813"/>
        <v>158.30000000000001</v>
      </c>
      <c r="D1053" s="38"/>
      <c r="E1053" s="38">
        <v>6.4600000000000005E-2</v>
      </c>
      <c r="F1053" s="38">
        <v>8.7400000000000005E-2</v>
      </c>
      <c r="G1053" s="38"/>
      <c r="H1053" s="38">
        <v>0.19739999999999999</v>
      </c>
      <c r="I1053" s="38">
        <v>2.1600000000000001E-2</v>
      </c>
      <c r="J1053" s="38">
        <v>5.8999999999999999E-3</v>
      </c>
      <c r="K1053" s="38">
        <v>1.0200000000000001E-2</v>
      </c>
      <c r="L1053" s="38">
        <v>1E-4</v>
      </c>
      <c r="M1053" s="38"/>
      <c r="N1053" s="38">
        <v>0.39950000000000002</v>
      </c>
      <c r="O1053" s="38">
        <v>4.4999999999999997E-3</v>
      </c>
      <c r="P1053" s="38"/>
      <c r="Q1053" s="38"/>
      <c r="R1053" s="38"/>
      <c r="S1053" s="38"/>
      <c r="T1053" s="38"/>
      <c r="U1053" s="38"/>
      <c r="V1053" s="38">
        <v>0.20880000000000001</v>
      </c>
      <c r="W1053" s="38"/>
      <c r="X1053" s="38"/>
      <c r="Y1053" s="38"/>
      <c r="Z1053" s="5"/>
      <c r="AA1053" s="5"/>
      <c r="AB1053" s="5"/>
      <c r="AC1053" s="67"/>
      <c r="AD1053" s="55"/>
    </row>
    <row r="1054" spans="1:30" s="52" customFormat="1">
      <c r="A1054" s="97"/>
      <c r="B1054" s="65"/>
      <c r="C1054" s="211"/>
      <c r="D1054" s="6">
        <f>$C1053*D1053</f>
        <v>0</v>
      </c>
      <c r="E1054" s="6">
        <f t="shared" ref="E1054" si="1859">$C1053*E1053</f>
        <v>10.226180000000001</v>
      </c>
      <c r="F1054" s="6">
        <f t="shared" ref="F1054" si="1860">$C1053*F1053</f>
        <v>13.835420000000003</v>
      </c>
      <c r="G1054" s="6">
        <f t="shared" ref="G1054:AB1054" si="1861">$C1053*G1053</f>
        <v>0</v>
      </c>
      <c r="H1054" s="6">
        <f t="shared" si="1861"/>
        <v>31.248419999999999</v>
      </c>
      <c r="I1054" s="6">
        <f t="shared" si="1861"/>
        <v>3.4192800000000005</v>
      </c>
      <c r="J1054" s="6">
        <f t="shared" si="1861"/>
        <v>0.93397000000000008</v>
      </c>
      <c r="K1054" s="6">
        <f t="shared" si="1861"/>
        <v>1.6146600000000002</v>
      </c>
      <c r="L1054" s="6">
        <f t="shared" si="1861"/>
        <v>1.583E-2</v>
      </c>
      <c r="M1054" s="6">
        <f t="shared" si="1861"/>
        <v>0</v>
      </c>
      <c r="N1054" s="6">
        <f t="shared" si="1861"/>
        <v>63.240850000000009</v>
      </c>
      <c r="O1054" s="6">
        <f t="shared" si="1861"/>
        <v>0.71235000000000004</v>
      </c>
      <c r="P1054" s="6">
        <f t="shared" si="1861"/>
        <v>0</v>
      </c>
      <c r="Q1054" s="6">
        <f t="shared" si="1861"/>
        <v>0</v>
      </c>
      <c r="R1054" s="6">
        <f t="shared" si="1861"/>
        <v>0</v>
      </c>
      <c r="S1054" s="6">
        <f t="shared" si="1861"/>
        <v>0</v>
      </c>
      <c r="T1054" s="6">
        <f t="shared" si="1861"/>
        <v>0</v>
      </c>
      <c r="U1054" s="6">
        <f t="shared" si="1861"/>
        <v>0</v>
      </c>
      <c r="V1054" s="6">
        <f t="shared" si="1861"/>
        <v>33.053040000000003</v>
      </c>
      <c r="W1054" s="6">
        <f t="shared" si="1861"/>
        <v>0</v>
      </c>
      <c r="X1054" s="6">
        <f t="shared" si="1861"/>
        <v>0</v>
      </c>
      <c r="Y1054" s="6">
        <f t="shared" si="1861"/>
        <v>0</v>
      </c>
      <c r="Z1054" s="6">
        <f t="shared" si="1861"/>
        <v>0</v>
      </c>
      <c r="AA1054" s="6">
        <f t="shared" si="1861"/>
        <v>0</v>
      </c>
      <c r="AB1054" s="6">
        <f t="shared" si="1861"/>
        <v>0</v>
      </c>
      <c r="AC1054" s="67"/>
      <c r="AD1054" s="55"/>
    </row>
    <row r="1055" spans="1:30" s="52" customFormat="1">
      <c r="A1055" s="96" t="s">
        <v>496</v>
      </c>
      <c r="B1055" s="181">
        <v>-5326.953672054522</v>
      </c>
      <c r="C1055" s="211">
        <f t="shared" si="1813"/>
        <v>-443.91</v>
      </c>
      <c r="D1055" s="38"/>
      <c r="E1055" s="38">
        <v>6.4600000000000005E-2</v>
      </c>
      <c r="F1055" s="38">
        <v>8.7400000000000005E-2</v>
      </c>
      <c r="G1055" s="38"/>
      <c r="H1055" s="38">
        <v>0.19739999999999999</v>
      </c>
      <c r="I1055" s="38">
        <v>2.1600000000000001E-2</v>
      </c>
      <c r="J1055" s="38">
        <v>5.8999999999999999E-3</v>
      </c>
      <c r="K1055" s="38">
        <v>1.0200000000000001E-2</v>
      </c>
      <c r="L1055" s="38">
        <v>1E-4</v>
      </c>
      <c r="M1055" s="38"/>
      <c r="N1055" s="38">
        <v>0.39950000000000002</v>
      </c>
      <c r="O1055" s="38">
        <v>4.4999999999999997E-3</v>
      </c>
      <c r="P1055" s="38"/>
      <c r="Q1055" s="38"/>
      <c r="R1055" s="38"/>
      <c r="S1055" s="38"/>
      <c r="T1055" s="38"/>
      <c r="U1055" s="38"/>
      <c r="V1055" s="38">
        <v>0.20880000000000001</v>
      </c>
      <c r="W1055" s="38"/>
      <c r="X1055" s="38"/>
      <c r="Y1055" s="38"/>
      <c r="Z1055" s="5"/>
      <c r="AA1055" s="5"/>
      <c r="AB1055" s="5"/>
      <c r="AC1055" s="67"/>
      <c r="AD1055" s="55"/>
    </row>
    <row r="1056" spans="1:30" s="52" customFormat="1">
      <c r="A1056" s="97"/>
      <c r="B1056" s="65"/>
      <c r="C1056" s="211"/>
      <c r="D1056" s="6">
        <f>$C1055*D1055</f>
        <v>0</v>
      </c>
      <c r="E1056" s="6">
        <f t="shared" ref="E1056" si="1862">$C1055*E1055</f>
        <v>-28.676586000000004</v>
      </c>
      <c r="F1056" s="6">
        <f t="shared" ref="F1056" si="1863">$C1055*F1055</f>
        <v>-38.797734000000005</v>
      </c>
      <c r="G1056" s="6">
        <f t="shared" ref="G1056:AB1056" si="1864">$C1055*G1055</f>
        <v>0</v>
      </c>
      <c r="H1056" s="6">
        <f t="shared" si="1864"/>
        <v>-87.627834000000007</v>
      </c>
      <c r="I1056" s="6">
        <f t="shared" si="1864"/>
        <v>-9.5884560000000008</v>
      </c>
      <c r="J1056" s="6">
        <f t="shared" si="1864"/>
        <v>-2.6190690000000001</v>
      </c>
      <c r="K1056" s="6">
        <f t="shared" si="1864"/>
        <v>-4.5278820000000009</v>
      </c>
      <c r="L1056" s="6">
        <f t="shared" si="1864"/>
        <v>-4.4391000000000007E-2</v>
      </c>
      <c r="M1056" s="6">
        <f t="shared" si="1864"/>
        <v>0</v>
      </c>
      <c r="N1056" s="6">
        <f t="shared" si="1864"/>
        <v>-177.34204500000001</v>
      </c>
      <c r="O1056" s="6">
        <f t="shared" si="1864"/>
        <v>-1.997595</v>
      </c>
      <c r="P1056" s="6">
        <f t="shared" si="1864"/>
        <v>0</v>
      </c>
      <c r="Q1056" s="6">
        <f t="shared" si="1864"/>
        <v>0</v>
      </c>
      <c r="R1056" s="6">
        <f t="shared" si="1864"/>
        <v>0</v>
      </c>
      <c r="S1056" s="6">
        <f t="shared" si="1864"/>
        <v>0</v>
      </c>
      <c r="T1056" s="6">
        <f t="shared" si="1864"/>
        <v>0</v>
      </c>
      <c r="U1056" s="6">
        <f t="shared" si="1864"/>
        <v>0</v>
      </c>
      <c r="V1056" s="6">
        <f t="shared" si="1864"/>
        <v>-92.68840800000001</v>
      </c>
      <c r="W1056" s="6">
        <f t="shared" si="1864"/>
        <v>0</v>
      </c>
      <c r="X1056" s="6">
        <f t="shared" si="1864"/>
        <v>0</v>
      </c>
      <c r="Y1056" s="6">
        <f t="shared" si="1864"/>
        <v>0</v>
      </c>
      <c r="Z1056" s="6">
        <f t="shared" si="1864"/>
        <v>0</v>
      </c>
      <c r="AA1056" s="6">
        <f t="shared" si="1864"/>
        <v>0</v>
      </c>
      <c r="AB1056" s="6">
        <f t="shared" si="1864"/>
        <v>0</v>
      </c>
      <c r="AC1056" s="67"/>
      <c r="AD1056" s="55"/>
    </row>
    <row r="1057" spans="1:30" s="52" customFormat="1">
      <c r="A1057" s="96" t="s">
        <v>497</v>
      </c>
      <c r="B1057" s="181">
        <v>-18330.440841589847</v>
      </c>
      <c r="C1057" s="211">
        <f t="shared" si="1813"/>
        <v>-1527.54</v>
      </c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>
        <v>1</v>
      </c>
      <c r="R1057" s="38"/>
      <c r="S1057" s="38"/>
      <c r="T1057" s="38"/>
      <c r="U1057" s="38"/>
      <c r="V1057" s="38"/>
      <c r="W1057" s="38"/>
      <c r="X1057" s="38"/>
      <c r="Y1057" s="38"/>
      <c r="Z1057" s="5"/>
      <c r="AA1057" s="5"/>
      <c r="AB1057" s="5"/>
      <c r="AC1057" s="67"/>
      <c r="AD1057" s="55"/>
    </row>
    <row r="1058" spans="1:30" s="52" customFormat="1">
      <c r="A1058" s="97"/>
      <c r="B1058" s="65"/>
      <c r="C1058" s="211"/>
      <c r="D1058" s="6">
        <f>$C1057*D1057</f>
        <v>0</v>
      </c>
      <c r="E1058" s="6">
        <f t="shared" ref="E1058" si="1865">$C1057*E1057</f>
        <v>0</v>
      </c>
      <c r="F1058" s="6">
        <f t="shared" ref="F1058" si="1866">$C1057*F1057</f>
        <v>0</v>
      </c>
      <c r="G1058" s="6">
        <f t="shared" ref="G1058:AB1058" si="1867">$C1057*G1057</f>
        <v>0</v>
      </c>
      <c r="H1058" s="6">
        <f t="shared" si="1867"/>
        <v>0</v>
      </c>
      <c r="I1058" s="6">
        <f t="shared" si="1867"/>
        <v>0</v>
      </c>
      <c r="J1058" s="6">
        <f t="shared" si="1867"/>
        <v>0</v>
      </c>
      <c r="K1058" s="6">
        <f t="shared" si="1867"/>
        <v>0</v>
      </c>
      <c r="L1058" s="6">
        <f t="shared" si="1867"/>
        <v>0</v>
      </c>
      <c r="M1058" s="6">
        <f t="shared" si="1867"/>
        <v>0</v>
      </c>
      <c r="N1058" s="6">
        <f t="shared" si="1867"/>
        <v>0</v>
      </c>
      <c r="O1058" s="6">
        <f t="shared" si="1867"/>
        <v>0</v>
      </c>
      <c r="P1058" s="6">
        <f t="shared" si="1867"/>
        <v>0</v>
      </c>
      <c r="Q1058" s="6">
        <f t="shared" si="1867"/>
        <v>-1527.54</v>
      </c>
      <c r="R1058" s="6">
        <f t="shared" si="1867"/>
        <v>0</v>
      </c>
      <c r="S1058" s="6">
        <f t="shared" si="1867"/>
        <v>0</v>
      </c>
      <c r="T1058" s="6">
        <f t="shared" si="1867"/>
        <v>0</v>
      </c>
      <c r="U1058" s="6">
        <f t="shared" si="1867"/>
        <v>0</v>
      </c>
      <c r="V1058" s="6">
        <f t="shared" si="1867"/>
        <v>0</v>
      </c>
      <c r="W1058" s="6">
        <f t="shared" si="1867"/>
        <v>0</v>
      </c>
      <c r="X1058" s="6">
        <f t="shared" si="1867"/>
        <v>0</v>
      </c>
      <c r="Y1058" s="6">
        <f t="shared" si="1867"/>
        <v>0</v>
      </c>
      <c r="Z1058" s="6">
        <f t="shared" si="1867"/>
        <v>0</v>
      </c>
      <c r="AA1058" s="6">
        <f t="shared" si="1867"/>
        <v>0</v>
      </c>
      <c r="AB1058" s="6">
        <f t="shared" si="1867"/>
        <v>0</v>
      </c>
      <c r="AC1058" s="67"/>
      <c r="AD1058" s="55"/>
    </row>
    <row r="1059" spans="1:30" s="52" customFormat="1">
      <c r="A1059" s="96" t="s">
        <v>498</v>
      </c>
      <c r="B1059" s="181">
        <v>-969.36790630290852</v>
      </c>
      <c r="C1059" s="211">
        <f t="shared" si="1813"/>
        <v>-80.78</v>
      </c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>
        <v>1</v>
      </c>
      <c r="R1059" s="38"/>
      <c r="S1059" s="38"/>
      <c r="T1059" s="38"/>
      <c r="U1059" s="38"/>
      <c r="V1059" s="38"/>
      <c r="W1059" s="38"/>
      <c r="X1059" s="38"/>
      <c r="Y1059" s="38"/>
      <c r="Z1059" s="5"/>
      <c r="AA1059" s="5"/>
      <c r="AB1059" s="5"/>
      <c r="AC1059" s="67"/>
      <c r="AD1059" s="55"/>
    </row>
    <row r="1060" spans="1:30" s="52" customFormat="1">
      <c r="A1060" s="97"/>
      <c r="B1060" s="65"/>
      <c r="C1060" s="211"/>
      <c r="D1060" s="6">
        <f>$C1059*D1059</f>
        <v>0</v>
      </c>
      <c r="E1060" s="6">
        <f t="shared" ref="E1060" si="1868">$C1059*E1059</f>
        <v>0</v>
      </c>
      <c r="F1060" s="6">
        <f t="shared" ref="F1060" si="1869">$C1059*F1059</f>
        <v>0</v>
      </c>
      <c r="G1060" s="6">
        <f t="shared" ref="G1060:AB1060" si="1870">$C1059*G1059</f>
        <v>0</v>
      </c>
      <c r="H1060" s="6">
        <f t="shared" si="1870"/>
        <v>0</v>
      </c>
      <c r="I1060" s="6">
        <f t="shared" si="1870"/>
        <v>0</v>
      </c>
      <c r="J1060" s="6">
        <f t="shared" si="1870"/>
        <v>0</v>
      </c>
      <c r="K1060" s="6">
        <f t="shared" si="1870"/>
        <v>0</v>
      </c>
      <c r="L1060" s="6">
        <f t="shared" si="1870"/>
        <v>0</v>
      </c>
      <c r="M1060" s="6">
        <f t="shared" si="1870"/>
        <v>0</v>
      </c>
      <c r="N1060" s="6">
        <f t="shared" si="1870"/>
        <v>0</v>
      </c>
      <c r="O1060" s="6">
        <f t="shared" si="1870"/>
        <v>0</v>
      </c>
      <c r="P1060" s="6">
        <f t="shared" si="1870"/>
        <v>0</v>
      </c>
      <c r="Q1060" s="6">
        <f t="shared" si="1870"/>
        <v>-80.78</v>
      </c>
      <c r="R1060" s="6">
        <f t="shared" si="1870"/>
        <v>0</v>
      </c>
      <c r="S1060" s="6">
        <f t="shared" si="1870"/>
        <v>0</v>
      </c>
      <c r="T1060" s="6">
        <f t="shared" si="1870"/>
        <v>0</v>
      </c>
      <c r="U1060" s="6">
        <f t="shared" si="1870"/>
        <v>0</v>
      </c>
      <c r="V1060" s="6">
        <f t="shared" si="1870"/>
        <v>0</v>
      </c>
      <c r="W1060" s="6">
        <f t="shared" si="1870"/>
        <v>0</v>
      </c>
      <c r="X1060" s="6">
        <f t="shared" si="1870"/>
        <v>0</v>
      </c>
      <c r="Y1060" s="6">
        <f t="shared" si="1870"/>
        <v>0</v>
      </c>
      <c r="Z1060" s="6">
        <f t="shared" si="1870"/>
        <v>0</v>
      </c>
      <c r="AA1060" s="6">
        <f t="shared" si="1870"/>
        <v>0</v>
      </c>
      <c r="AB1060" s="6">
        <f t="shared" si="1870"/>
        <v>0</v>
      </c>
      <c r="AC1060" s="67"/>
      <c r="AD1060" s="55"/>
    </row>
    <row r="1061" spans="1:30" s="52" customFormat="1">
      <c r="A1061" s="96" t="s">
        <v>499</v>
      </c>
      <c r="B1061" s="181">
        <v>345.29250228062119</v>
      </c>
      <c r="C1061" s="211">
        <f t="shared" si="1813"/>
        <v>28.77</v>
      </c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>
        <v>1</v>
      </c>
      <c r="R1061" s="38"/>
      <c r="S1061" s="38"/>
      <c r="T1061" s="38"/>
      <c r="U1061" s="38"/>
      <c r="V1061" s="38"/>
      <c r="W1061" s="38"/>
      <c r="X1061" s="38"/>
      <c r="Y1061" s="38"/>
      <c r="Z1061" s="5"/>
      <c r="AA1061" s="5"/>
      <c r="AB1061" s="5"/>
      <c r="AC1061" s="67"/>
      <c r="AD1061" s="55"/>
    </row>
    <row r="1062" spans="1:30" s="52" customFormat="1">
      <c r="A1062" s="97"/>
      <c r="B1062" s="65"/>
      <c r="C1062" s="211"/>
      <c r="D1062" s="6">
        <f>$C1061*D1061</f>
        <v>0</v>
      </c>
      <c r="E1062" s="6">
        <f t="shared" ref="E1062" si="1871">$C1061*E1061</f>
        <v>0</v>
      </c>
      <c r="F1062" s="6">
        <f t="shared" ref="F1062" si="1872">$C1061*F1061</f>
        <v>0</v>
      </c>
      <c r="G1062" s="6">
        <f t="shared" ref="G1062:AB1062" si="1873">$C1061*G1061</f>
        <v>0</v>
      </c>
      <c r="H1062" s="6">
        <f t="shared" si="1873"/>
        <v>0</v>
      </c>
      <c r="I1062" s="6">
        <f t="shared" si="1873"/>
        <v>0</v>
      </c>
      <c r="J1062" s="6">
        <f t="shared" si="1873"/>
        <v>0</v>
      </c>
      <c r="K1062" s="6">
        <f t="shared" si="1873"/>
        <v>0</v>
      </c>
      <c r="L1062" s="6">
        <f t="shared" si="1873"/>
        <v>0</v>
      </c>
      <c r="M1062" s="6">
        <f t="shared" si="1873"/>
        <v>0</v>
      </c>
      <c r="N1062" s="6">
        <f t="shared" si="1873"/>
        <v>0</v>
      </c>
      <c r="O1062" s="6">
        <f t="shared" si="1873"/>
        <v>0</v>
      </c>
      <c r="P1062" s="6">
        <f t="shared" si="1873"/>
        <v>0</v>
      </c>
      <c r="Q1062" s="6">
        <f t="shared" si="1873"/>
        <v>28.77</v>
      </c>
      <c r="R1062" s="6">
        <f t="shared" si="1873"/>
        <v>0</v>
      </c>
      <c r="S1062" s="6">
        <f t="shared" si="1873"/>
        <v>0</v>
      </c>
      <c r="T1062" s="6">
        <f t="shared" si="1873"/>
        <v>0</v>
      </c>
      <c r="U1062" s="6">
        <f t="shared" si="1873"/>
        <v>0</v>
      </c>
      <c r="V1062" s="6">
        <f t="shared" si="1873"/>
        <v>0</v>
      </c>
      <c r="W1062" s="6">
        <f t="shared" si="1873"/>
        <v>0</v>
      </c>
      <c r="X1062" s="6">
        <f t="shared" si="1873"/>
        <v>0</v>
      </c>
      <c r="Y1062" s="6">
        <f t="shared" si="1873"/>
        <v>0</v>
      </c>
      <c r="Z1062" s="6">
        <f t="shared" si="1873"/>
        <v>0</v>
      </c>
      <c r="AA1062" s="6">
        <f t="shared" si="1873"/>
        <v>0</v>
      </c>
      <c r="AB1062" s="6">
        <f t="shared" si="1873"/>
        <v>0</v>
      </c>
      <c r="AC1062" s="67"/>
      <c r="AD1062" s="55"/>
    </row>
    <row r="1063" spans="1:30" s="52" customFormat="1">
      <c r="A1063" s="96" t="s">
        <v>500</v>
      </c>
      <c r="B1063" s="181">
        <v>12928.416248070007</v>
      </c>
      <c r="C1063" s="211">
        <f t="shared" si="1813"/>
        <v>1077.3699999999999</v>
      </c>
      <c r="D1063" s="38"/>
      <c r="E1063" s="38"/>
      <c r="F1063" s="38">
        <v>1</v>
      </c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5"/>
      <c r="AA1063" s="5"/>
      <c r="AB1063" s="5"/>
      <c r="AC1063" s="67"/>
      <c r="AD1063" s="55"/>
    </row>
    <row r="1064" spans="1:30" s="52" customFormat="1">
      <c r="A1064" s="97"/>
      <c r="B1064" s="65"/>
      <c r="C1064" s="211"/>
      <c r="D1064" s="6">
        <f>$C1063*D1063</f>
        <v>0</v>
      </c>
      <c r="E1064" s="6">
        <f t="shared" ref="E1064" si="1874">$C1063*E1063</f>
        <v>0</v>
      </c>
      <c r="F1064" s="6">
        <f t="shared" ref="F1064" si="1875">$C1063*F1063</f>
        <v>1077.3699999999999</v>
      </c>
      <c r="G1064" s="6">
        <f t="shared" ref="G1064:AB1064" si="1876">$C1063*G1063</f>
        <v>0</v>
      </c>
      <c r="H1064" s="6">
        <f t="shared" si="1876"/>
        <v>0</v>
      </c>
      <c r="I1064" s="6">
        <f t="shared" si="1876"/>
        <v>0</v>
      </c>
      <c r="J1064" s="6">
        <f t="shared" si="1876"/>
        <v>0</v>
      </c>
      <c r="K1064" s="6">
        <f t="shared" si="1876"/>
        <v>0</v>
      </c>
      <c r="L1064" s="6">
        <f t="shared" si="1876"/>
        <v>0</v>
      </c>
      <c r="M1064" s="6">
        <f t="shared" si="1876"/>
        <v>0</v>
      </c>
      <c r="N1064" s="6">
        <f t="shared" si="1876"/>
        <v>0</v>
      </c>
      <c r="O1064" s="6">
        <f t="shared" si="1876"/>
        <v>0</v>
      </c>
      <c r="P1064" s="6">
        <f t="shared" si="1876"/>
        <v>0</v>
      </c>
      <c r="Q1064" s="6">
        <f t="shared" si="1876"/>
        <v>0</v>
      </c>
      <c r="R1064" s="6">
        <f t="shared" si="1876"/>
        <v>0</v>
      </c>
      <c r="S1064" s="6">
        <f t="shared" si="1876"/>
        <v>0</v>
      </c>
      <c r="T1064" s="6">
        <f t="shared" si="1876"/>
        <v>0</v>
      </c>
      <c r="U1064" s="6">
        <f t="shared" si="1876"/>
        <v>0</v>
      </c>
      <c r="V1064" s="6">
        <f t="shared" si="1876"/>
        <v>0</v>
      </c>
      <c r="W1064" s="6">
        <f t="shared" si="1876"/>
        <v>0</v>
      </c>
      <c r="X1064" s="6">
        <f t="shared" si="1876"/>
        <v>0</v>
      </c>
      <c r="Y1064" s="6">
        <f t="shared" si="1876"/>
        <v>0</v>
      </c>
      <c r="Z1064" s="6">
        <f t="shared" si="1876"/>
        <v>0</v>
      </c>
      <c r="AA1064" s="6">
        <f t="shared" si="1876"/>
        <v>0</v>
      </c>
      <c r="AB1064" s="6">
        <f t="shared" si="1876"/>
        <v>0</v>
      </c>
      <c r="AC1064" s="67"/>
      <c r="AD1064" s="55"/>
    </row>
    <row r="1065" spans="1:30" s="52" customFormat="1">
      <c r="A1065" s="96" t="s">
        <v>501</v>
      </c>
      <c r="B1065" s="181">
        <v>-23622.624361511436</v>
      </c>
      <c r="C1065" s="211">
        <f t="shared" si="1813"/>
        <v>-1968.55</v>
      </c>
      <c r="D1065" s="38"/>
      <c r="E1065" s="38">
        <v>0.12909999999999999</v>
      </c>
      <c r="F1065" s="38">
        <v>0.19040000000000001</v>
      </c>
      <c r="G1065" s="38">
        <v>1.24E-2</v>
      </c>
      <c r="H1065" s="38"/>
      <c r="I1065" s="38">
        <v>3.5000000000000001E-3</v>
      </c>
      <c r="J1065" s="38">
        <v>1.4500000000000001E-2</v>
      </c>
      <c r="K1065" s="38">
        <v>2.3E-2</v>
      </c>
      <c r="L1065" s="38">
        <v>1.11E-2</v>
      </c>
      <c r="M1065" s="38"/>
      <c r="N1065" s="38">
        <v>0.44850000000000001</v>
      </c>
      <c r="O1065" s="38">
        <v>7.7999999999999996E-3</v>
      </c>
      <c r="P1065" s="38"/>
      <c r="Q1065" s="38"/>
      <c r="R1065" s="38"/>
      <c r="S1065" s="38"/>
      <c r="T1065" s="38"/>
      <c r="U1065" s="38"/>
      <c r="V1065" s="38">
        <v>0.1585</v>
      </c>
      <c r="W1065" s="38"/>
      <c r="X1065" s="38"/>
      <c r="Y1065" s="38">
        <v>1.1999999999999999E-3</v>
      </c>
      <c r="Z1065" s="5"/>
      <c r="AA1065" s="5"/>
      <c r="AB1065" s="5"/>
      <c r="AC1065" s="67"/>
      <c r="AD1065" s="55"/>
    </row>
    <row r="1066" spans="1:30" s="52" customFormat="1">
      <c r="A1066" s="97"/>
      <c r="B1066" s="65"/>
      <c r="C1066" s="211"/>
      <c r="D1066" s="6">
        <f>$C1065*D1065</f>
        <v>0</v>
      </c>
      <c r="E1066" s="6">
        <f t="shared" ref="E1066" si="1877">$C1065*E1065</f>
        <v>-254.13980499999997</v>
      </c>
      <c r="F1066" s="6">
        <f t="shared" ref="F1066" si="1878">$C1065*F1065</f>
        <v>-374.81192000000004</v>
      </c>
      <c r="G1066" s="6">
        <f t="shared" ref="G1066:AB1066" si="1879">$C1065*G1065</f>
        <v>-24.410019999999999</v>
      </c>
      <c r="H1066" s="6">
        <f t="shared" si="1879"/>
        <v>0</v>
      </c>
      <c r="I1066" s="6">
        <f t="shared" si="1879"/>
        <v>-6.8899249999999999</v>
      </c>
      <c r="J1066" s="6">
        <f t="shared" si="1879"/>
        <v>-28.543975</v>
      </c>
      <c r="K1066" s="6">
        <f t="shared" si="1879"/>
        <v>-45.276649999999997</v>
      </c>
      <c r="L1066" s="6">
        <f t="shared" si="1879"/>
        <v>-21.850905000000001</v>
      </c>
      <c r="M1066" s="6">
        <f t="shared" si="1879"/>
        <v>0</v>
      </c>
      <c r="N1066" s="6">
        <f t="shared" si="1879"/>
        <v>-882.89467500000001</v>
      </c>
      <c r="O1066" s="6">
        <f t="shared" si="1879"/>
        <v>-15.35469</v>
      </c>
      <c r="P1066" s="6">
        <f t="shared" si="1879"/>
        <v>0</v>
      </c>
      <c r="Q1066" s="6">
        <f t="shared" si="1879"/>
        <v>0</v>
      </c>
      <c r="R1066" s="6">
        <f t="shared" si="1879"/>
        <v>0</v>
      </c>
      <c r="S1066" s="6">
        <f t="shared" si="1879"/>
        <v>0</v>
      </c>
      <c r="T1066" s="6">
        <f t="shared" si="1879"/>
        <v>0</v>
      </c>
      <c r="U1066" s="6">
        <f t="shared" si="1879"/>
        <v>0</v>
      </c>
      <c r="V1066" s="6">
        <f t="shared" si="1879"/>
        <v>-312.015175</v>
      </c>
      <c r="W1066" s="6">
        <f t="shared" si="1879"/>
        <v>0</v>
      </c>
      <c r="X1066" s="6">
        <f t="shared" si="1879"/>
        <v>0</v>
      </c>
      <c r="Y1066" s="6">
        <f t="shared" si="1879"/>
        <v>-2.3622599999999996</v>
      </c>
      <c r="Z1066" s="6">
        <f t="shared" si="1879"/>
        <v>0</v>
      </c>
      <c r="AA1066" s="6">
        <f t="shared" si="1879"/>
        <v>0</v>
      </c>
      <c r="AB1066" s="6">
        <f t="shared" si="1879"/>
        <v>0</v>
      </c>
      <c r="AC1066" s="67"/>
      <c r="AD1066" s="55"/>
    </row>
    <row r="1067" spans="1:30" s="52" customFormat="1">
      <c r="A1067" s="96" t="s">
        <v>565</v>
      </c>
      <c r="B1067" s="181">
        <f>-6284.65997793231/2</f>
        <v>-3142.3299889661548</v>
      </c>
      <c r="C1067" s="211">
        <f t="shared" si="1813"/>
        <v>-261.86</v>
      </c>
      <c r="D1067" s="170">
        <v>1.6500000000000001E-2</v>
      </c>
      <c r="E1067" s="170">
        <v>0.1368</v>
      </c>
      <c r="F1067" s="170">
        <v>5.7599999999999998E-2</v>
      </c>
      <c r="G1067" s="170">
        <v>8.0399999999999999E-2</v>
      </c>
      <c r="H1067" s="170">
        <v>4.1099999999999998E-2</v>
      </c>
      <c r="I1067" s="170">
        <v>0.13389999999999999</v>
      </c>
      <c r="J1067" s="170">
        <v>2.12E-2</v>
      </c>
      <c r="K1067" s="170">
        <v>3.2500000000000001E-2</v>
      </c>
      <c r="L1067" s="170">
        <v>1.7100000000000001E-2</v>
      </c>
      <c r="M1067" s="170">
        <v>2.5999999999999999E-2</v>
      </c>
      <c r="N1067" s="170">
        <v>0.13320000000000001</v>
      </c>
      <c r="O1067" s="170">
        <v>1.89E-2</v>
      </c>
      <c r="P1067" s="170">
        <v>0</v>
      </c>
      <c r="Q1067" s="170">
        <v>3.8600000000000002E-2</v>
      </c>
      <c r="R1067" s="170">
        <v>1.9E-2</v>
      </c>
      <c r="S1067" s="170">
        <v>4.1999999999999997E-3</v>
      </c>
      <c r="T1067" s="170">
        <v>5.3999999999999999E-2</v>
      </c>
      <c r="U1067" s="170">
        <v>1.78E-2</v>
      </c>
      <c r="V1067" s="170">
        <v>3.6700000000000003E-2</v>
      </c>
      <c r="W1067" s="170">
        <v>4.7199999999999999E-2</v>
      </c>
      <c r="X1067" s="170">
        <v>6.3899999999999998E-2</v>
      </c>
      <c r="Y1067" s="170">
        <v>2.5999999999999999E-3</v>
      </c>
      <c r="Z1067" s="171">
        <v>0</v>
      </c>
      <c r="AA1067" s="171">
        <v>8.0000000000000004E-4</v>
      </c>
      <c r="AB1067" s="171">
        <v>0</v>
      </c>
      <c r="AC1067" s="67"/>
      <c r="AD1067" s="55"/>
    </row>
    <row r="1068" spans="1:30" s="52" customFormat="1">
      <c r="A1068" s="97"/>
      <c r="B1068" s="65"/>
      <c r="C1068" s="211"/>
      <c r="D1068" s="6">
        <f>$C1067*D1067</f>
        <v>-4.3206900000000008</v>
      </c>
      <c r="E1068" s="6">
        <f t="shared" ref="E1068" si="1880">$C1067*E1067</f>
        <v>-35.822448000000001</v>
      </c>
      <c r="F1068" s="6">
        <f t="shared" ref="F1068" si="1881">$C1067*F1067</f>
        <v>-15.083136</v>
      </c>
      <c r="G1068" s="6">
        <f t="shared" ref="G1068:AB1068" si="1882">$C1067*G1067</f>
        <v>-21.053544000000002</v>
      </c>
      <c r="H1068" s="6">
        <f t="shared" si="1882"/>
        <v>-10.762446000000001</v>
      </c>
      <c r="I1068" s="6">
        <f t="shared" si="1882"/>
        <v>-35.063054000000001</v>
      </c>
      <c r="J1068" s="6">
        <f t="shared" si="1882"/>
        <v>-5.5514320000000001</v>
      </c>
      <c r="K1068" s="6">
        <f t="shared" si="1882"/>
        <v>-8.5104500000000005</v>
      </c>
      <c r="L1068" s="6">
        <f t="shared" si="1882"/>
        <v>-4.4778060000000002</v>
      </c>
      <c r="M1068" s="6">
        <f t="shared" si="1882"/>
        <v>-6.8083600000000004</v>
      </c>
      <c r="N1068" s="6">
        <f t="shared" si="1882"/>
        <v>-34.879752000000003</v>
      </c>
      <c r="O1068" s="6">
        <f t="shared" si="1882"/>
        <v>-4.9491540000000001</v>
      </c>
      <c r="P1068" s="6">
        <f t="shared" si="1882"/>
        <v>0</v>
      </c>
      <c r="Q1068" s="6">
        <f t="shared" si="1882"/>
        <v>-10.107796</v>
      </c>
      <c r="R1068" s="6">
        <f t="shared" si="1882"/>
        <v>-4.9753400000000001</v>
      </c>
      <c r="S1068" s="6">
        <f t="shared" si="1882"/>
        <v>-1.099812</v>
      </c>
      <c r="T1068" s="6">
        <f t="shared" si="1882"/>
        <v>-14.14044</v>
      </c>
      <c r="U1068" s="6">
        <f t="shared" si="1882"/>
        <v>-4.6611080000000005</v>
      </c>
      <c r="V1068" s="6">
        <f t="shared" si="1882"/>
        <v>-9.6102620000000005</v>
      </c>
      <c r="W1068" s="6">
        <f t="shared" si="1882"/>
        <v>-12.359792000000001</v>
      </c>
      <c r="X1068" s="6">
        <f t="shared" si="1882"/>
        <v>-16.732854</v>
      </c>
      <c r="Y1068" s="6">
        <f t="shared" si="1882"/>
        <v>-0.680836</v>
      </c>
      <c r="Z1068" s="6">
        <f t="shared" si="1882"/>
        <v>0</v>
      </c>
      <c r="AA1068" s="6">
        <f t="shared" si="1882"/>
        <v>-0.20948800000000001</v>
      </c>
      <c r="AB1068" s="6">
        <f t="shared" si="1882"/>
        <v>0</v>
      </c>
      <c r="AC1068" s="67"/>
      <c r="AD1068" s="55"/>
    </row>
    <row r="1069" spans="1:30" s="52" customFormat="1">
      <c r="A1069" s="96" t="s">
        <v>567</v>
      </c>
      <c r="B1069" s="181">
        <f>-6284.65997793231/2</f>
        <v>-3142.3299889661548</v>
      </c>
      <c r="C1069" s="211">
        <f t="shared" si="1813"/>
        <v>-261.86</v>
      </c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>
        <v>1</v>
      </c>
      <c r="V1069" s="38"/>
      <c r="W1069" s="38"/>
      <c r="X1069" s="38"/>
      <c r="Y1069" s="38"/>
      <c r="Z1069" s="5"/>
      <c r="AA1069" s="5"/>
      <c r="AB1069" s="5"/>
      <c r="AC1069" s="67"/>
      <c r="AD1069" s="55"/>
    </row>
    <row r="1070" spans="1:30" s="52" customFormat="1">
      <c r="A1070" s="97"/>
      <c r="B1070" s="65"/>
      <c r="C1070" s="211"/>
      <c r="D1070" s="6">
        <f>$C1069*D1069</f>
        <v>0</v>
      </c>
      <c r="E1070" s="6">
        <f t="shared" ref="E1070" si="1883">$C1069*E1069</f>
        <v>0</v>
      </c>
      <c r="F1070" s="6">
        <f t="shared" ref="F1070" si="1884">$C1069*F1069</f>
        <v>0</v>
      </c>
      <c r="G1070" s="6">
        <f t="shared" ref="G1070:AB1070" si="1885">$C1069*G1069</f>
        <v>0</v>
      </c>
      <c r="H1070" s="6">
        <f t="shared" si="1885"/>
        <v>0</v>
      </c>
      <c r="I1070" s="6">
        <f t="shared" si="1885"/>
        <v>0</v>
      </c>
      <c r="J1070" s="6">
        <f t="shared" si="1885"/>
        <v>0</v>
      </c>
      <c r="K1070" s="6">
        <f t="shared" si="1885"/>
        <v>0</v>
      </c>
      <c r="L1070" s="6">
        <f t="shared" si="1885"/>
        <v>0</v>
      </c>
      <c r="M1070" s="6">
        <f t="shared" si="1885"/>
        <v>0</v>
      </c>
      <c r="N1070" s="6">
        <f t="shared" si="1885"/>
        <v>0</v>
      </c>
      <c r="O1070" s="6">
        <f t="shared" si="1885"/>
        <v>0</v>
      </c>
      <c r="P1070" s="6">
        <f t="shared" si="1885"/>
        <v>0</v>
      </c>
      <c r="Q1070" s="6">
        <f t="shared" si="1885"/>
        <v>0</v>
      </c>
      <c r="R1070" s="6">
        <f t="shared" si="1885"/>
        <v>0</v>
      </c>
      <c r="S1070" s="6">
        <f t="shared" si="1885"/>
        <v>0</v>
      </c>
      <c r="T1070" s="6">
        <f t="shared" si="1885"/>
        <v>0</v>
      </c>
      <c r="U1070" s="6">
        <f t="shared" si="1885"/>
        <v>-261.86</v>
      </c>
      <c r="V1070" s="6">
        <f t="shared" si="1885"/>
        <v>0</v>
      </c>
      <c r="W1070" s="6">
        <f t="shared" si="1885"/>
        <v>0</v>
      </c>
      <c r="X1070" s="6">
        <f t="shared" si="1885"/>
        <v>0</v>
      </c>
      <c r="Y1070" s="6">
        <f t="shared" si="1885"/>
        <v>0</v>
      </c>
      <c r="Z1070" s="6">
        <f t="shared" si="1885"/>
        <v>0</v>
      </c>
      <c r="AA1070" s="6">
        <f t="shared" si="1885"/>
        <v>0</v>
      </c>
      <c r="AB1070" s="6">
        <f t="shared" si="1885"/>
        <v>0</v>
      </c>
      <c r="AC1070" s="67"/>
      <c r="AD1070" s="55"/>
    </row>
    <row r="1071" spans="1:30" s="52" customFormat="1">
      <c r="A1071" s="96" t="s">
        <v>566</v>
      </c>
      <c r="B1071" s="181">
        <f>-307948.338918683/2</f>
        <v>-153974.1694593415</v>
      </c>
      <c r="C1071" s="211">
        <f t="shared" si="1813"/>
        <v>-12831.18</v>
      </c>
      <c r="D1071" s="170">
        <v>1.6500000000000001E-2</v>
      </c>
      <c r="E1071" s="170">
        <v>0.1368</v>
      </c>
      <c r="F1071" s="170">
        <v>5.7599999999999998E-2</v>
      </c>
      <c r="G1071" s="170">
        <v>8.0399999999999999E-2</v>
      </c>
      <c r="H1071" s="170">
        <v>4.1099999999999998E-2</v>
      </c>
      <c r="I1071" s="170">
        <v>0.13389999999999999</v>
      </c>
      <c r="J1071" s="170">
        <v>2.12E-2</v>
      </c>
      <c r="K1071" s="170">
        <v>3.2500000000000001E-2</v>
      </c>
      <c r="L1071" s="170">
        <v>1.7100000000000001E-2</v>
      </c>
      <c r="M1071" s="170">
        <v>2.5999999999999999E-2</v>
      </c>
      <c r="N1071" s="170">
        <v>0.13320000000000001</v>
      </c>
      <c r="O1071" s="170">
        <v>1.89E-2</v>
      </c>
      <c r="P1071" s="170">
        <v>0</v>
      </c>
      <c r="Q1071" s="170">
        <v>3.8600000000000002E-2</v>
      </c>
      <c r="R1071" s="170">
        <v>1.9E-2</v>
      </c>
      <c r="S1071" s="170">
        <v>4.1999999999999997E-3</v>
      </c>
      <c r="T1071" s="170">
        <v>5.3999999999999999E-2</v>
      </c>
      <c r="U1071" s="170">
        <v>1.78E-2</v>
      </c>
      <c r="V1071" s="170">
        <v>3.6700000000000003E-2</v>
      </c>
      <c r="W1071" s="170">
        <v>4.7199999999999999E-2</v>
      </c>
      <c r="X1071" s="170">
        <v>6.3899999999999998E-2</v>
      </c>
      <c r="Y1071" s="170">
        <v>2.5999999999999999E-3</v>
      </c>
      <c r="Z1071" s="171">
        <v>0</v>
      </c>
      <c r="AA1071" s="171">
        <v>8.0000000000000004E-4</v>
      </c>
      <c r="AB1071" s="171">
        <v>0</v>
      </c>
      <c r="AC1071" s="67"/>
      <c r="AD1071" s="55"/>
    </row>
    <row r="1072" spans="1:30" s="52" customFormat="1">
      <c r="A1072" s="97"/>
      <c r="B1072" s="65"/>
      <c r="C1072" s="211"/>
      <c r="D1072" s="6">
        <f>$C1071*D1071</f>
        <v>-211.71447000000001</v>
      </c>
      <c r="E1072" s="6">
        <f t="shared" ref="E1072" si="1886">$C1071*E1071</f>
        <v>-1755.3054240000001</v>
      </c>
      <c r="F1072" s="6">
        <f t="shared" ref="F1072" si="1887">$C1071*F1071</f>
        <v>-739.07596799999999</v>
      </c>
      <c r="G1072" s="6">
        <f t="shared" ref="G1072:AB1072" si="1888">$C1071*G1071</f>
        <v>-1031.626872</v>
      </c>
      <c r="H1072" s="6">
        <f t="shared" si="1888"/>
        <v>-527.36149799999998</v>
      </c>
      <c r="I1072" s="6">
        <f t="shared" si="1888"/>
        <v>-1718.095002</v>
      </c>
      <c r="J1072" s="6">
        <f t="shared" si="1888"/>
        <v>-272.02101600000003</v>
      </c>
      <c r="K1072" s="6">
        <f t="shared" si="1888"/>
        <v>-417.01335</v>
      </c>
      <c r="L1072" s="6">
        <f t="shared" si="1888"/>
        <v>-219.41317800000002</v>
      </c>
      <c r="M1072" s="6">
        <f t="shared" si="1888"/>
        <v>-333.61068</v>
      </c>
      <c r="N1072" s="6">
        <f t="shared" si="1888"/>
        <v>-1709.1131760000003</v>
      </c>
      <c r="O1072" s="6">
        <f t="shared" si="1888"/>
        <v>-242.50930200000002</v>
      </c>
      <c r="P1072" s="6">
        <f t="shared" si="1888"/>
        <v>0</v>
      </c>
      <c r="Q1072" s="6">
        <f t="shared" si="1888"/>
        <v>-495.28354800000005</v>
      </c>
      <c r="R1072" s="6">
        <f t="shared" si="1888"/>
        <v>-243.79241999999999</v>
      </c>
      <c r="S1072" s="6">
        <f t="shared" si="1888"/>
        <v>-53.890955999999996</v>
      </c>
      <c r="T1072" s="6">
        <f t="shared" si="1888"/>
        <v>-692.88372000000004</v>
      </c>
      <c r="U1072" s="6">
        <f t="shared" si="1888"/>
        <v>-228.395004</v>
      </c>
      <c r="V1072" s="6">
        <f t="shared" si="1888"/>
        <v>-470.90430600000008</v>
      </c>
      <c r="W1072" s="6">
        <f t="shared" si="1888"/>
        <v>-605.63169600000003</v>
      </c>
      <c r="X1072" s="6">
        <f t="shared" si="1888"/>
        <v>-819.91240200000004</v>
      </c>
      <c r="Y1072" s="6">
        <f t="shared" si="1888"/>
        <v>-33.361067999999996</v>
      </c>
      <c r="Z1072" s="6">
        <f t="shared" si="1888"/>
        <v>0</v>
      </c>
      <c r="AA1072" s="6">
        <f t="shared" si="1888"/>
        <v>-10.264944</v>
      </c>
      <c r="AB1072" s="6">
        <f t="shared" si="1888"/>
        <v>0</v>
      </c>
      <c r="AC1072" s="67"/>
      <c r="AD1072" s="55"/>
    </row>
    <row r="1073" spans="1:30" s="52" customFormat="1">
      <c r="A1073" s="96" t="s">
        <v>568</v>
      </c>
      <c r="B1073" s="181">
        <f>-307948.338918683/2</f>
        <v>-153974.1694593415</v>
      </c>
      <c r="C1073" s="211">
        <f t="shared" si="1813"/>
        <v>-12831.18</v>
      </c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>
        <v>1</v>
      </c>
      <c r="V1073" s="38"/>
      <c r="W1073" s="38"/>
      <c r="X1073" s="38"/>
      <c r="Y1073" s="38"/>
      <c r="Z1073" s="5"/>
      <c r="AA1073" s="5"/>
      <c r="AB1073" s="5"/>
      <c r="AC1073" s="67"/>
      <c r="AD1073" s="55"/>
    </row>
    <row r="1074" spans="1:30" s="52" customFormat="1">
      <c r="A1074" s="97"/>
      <c r="B1074" s="65"/>
      <c r="C1074" s="211"/>
      <c r="D1074" s="6">
        <f>$C1073*D1073</f>
        <v>0</v>
      </c>
      <c r="E1074" s="6">
        <f t="shared" ref="E1074" si="1889">$C1073*E1073</f>
        <v>0</v>
      </c>
      <c r="F1074" s="6">
        <f t="shared" ref="F1074" si="1890">$C1073*F1073</f>
        <v>0</v>
      </c>
      <c r="G1074" s="6">
        <f t="shared" ref="G1074:AB1074" si="1891">$C1073*G1073</f>
        <v>0</v>
      </c>
      <c r="H1074" s="6">
        <f t="shared" si="1891"/>
        <v>0</v>
      </c>
      <c r="I1074" s="6">
        <f t="shared" si="1891"/>
        <v>0</v>
      </c>
      <c r="J1074" s="6">
        <f t="shared" si="1891"/>
        <v>0</v>
      </c>
      <c r="K1074" s="6">
        <f t="shared" si="1891"/>
        <v>0</v>
      </c>
      <c r="L1074" s="6">
        <f t="shared" si="1891"/>
        <v>0</v>
      </c>
      <c r="M1074" s="6">
        <f t="shared" si="1891"/>
        <v>0</v>
      </c>
      <c r="N1074" s="6">
        <f t="shared" si="1891"/>
        <v>0</v>
      </c>
      <c r="O1074" s="6">
        <f t="shared" si="1891"/>
        <v>0</v>
      </c>
      <c r="P1074" s="6">
        <f t="shared" si="1891"/>
        <v>0</v>
      </c>
      <c r="Q1074" s="6">
        <f t="shared" si="1891"/>
        <v>0</v>
      </c>
      <c r="R1074" s="6">
        <f t="shared" si="1891"/>
        <v>0</v>
      </c>
      <c r="S1074" s="6">
        <f t="shared" si="1891"/>
        <v>0</v>
      </c>
      <c r="T1074" s="6">
        <f t="shared" si="1891"/>
        <v>0</v>
      </c>
      <c r="U1074" s="6">
        <f t="shared" si="1891"/>
        <v>-12831.18</v>
      </c>
      <c r="V1074" s="6">
        <f t="shared" si="1891"/>
        <v>0</v>
      </c>
      <c r="W1074" s="6">
        <f t="shared" si="1891"/>
        <v>0</v>
      </c>
      <c r="X1074" s="6">
        <f t="shared" si="1891"/>
        <v>0</v>
      </c>
      <c r="Y1074" s="6">
        <f t="shared" si="1891"/>
        <v>0</v>
      </c>
      <c r="Z1074" s="6">
        <f t="shared" si="1891"/>
        <v>0</v>
      </c>
      <c r="AA1074" s="6">
        <f t="shared" si="1891"/>
        <v>0</v>
      </c>
      <c r="AB1074" s="6">
        <f t="shared" si="1891"/>
        <v>0</v>
      </c>
      <c r="AC1074" s="67"/>
      <c r="AD1074" s="55"/>
    </row>
    <row r="1075" spans="1:30" s="52" customFormat="1">
      <c r="A1075" s="96" t="s">
        <v>611</v>
      </c>
      <c r="B1075" s="181">
        <v>29233259.078956753</v>
      </c>
      <c r="C1075" s="211">
        <f t="shared" si="1813"/>
        <v>2436104.92</v>
      </c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170">
        <v>0.75480000000000003</v>
      </c>
      <c r="V1075" s="38"/>
      <c r="W1075" s="170">
        <v>0.2452</v>
      </c>
      <c r="X1075" s="38"/>
      <c r="Y1075" s="38"/>
      <c r="Z1075" s="5"/>
      <c r="AA1075" s="5"/>
      <c r="AB1075" s="5"/>
      <c r="AC1075" s="67"/>
      <c r="AD1075" s="55"/>
    </row>
    <row r="1076" spans="1:30" s="52" customFormat="1">
      <c r="A1076" s="97"/>
      <c r="B1076" s="65"/>
      <c r="C1076" s="211"/>
      <c r="D1076" s="6">
        <f>$C1075*D1075</f>
        <v>0</v>
      </c>
      <c r="E1076" s="6">
        <f t="shared" ref="E1076" si="1892">$C1075*E1075</f>
        <v>0</v>
      </c>
      <c r="F1076" s="6">
        <f t="shared" ref="F1076:AB1076" si="1893">$C1075*F1075</f>
        <v>0</v>
      </c>
      <c r="G1076" s="6">
        <f t="shared" si="1893"/>
        <v>0</v>
      </c>
      <c r="H1076" s="6">
        <f t="shared" si="1893"/>
        <v>0</v>
      </c>
      <c r="I1076" s="6">
        <f t="shared" si="1893"/>
        <v>0</v>
      </c>
      <c r="J1076" s="6">
        <f t="shared" si="1893"/>
        <v>0</v>
      </c>
      <c r="K1076" s="6">
        <f t="shared" si="1893"/>
        <v>0</v>
      </c>
      <c r="L1076" s="6">
        <f t="shared" si="1893"/>
        <v>0</v>
      </c>
      <c r="M1076" s="6">
        <f t="shared" si="1893"/>
        <v>0</v>
      </c>
      <c r="N1076" s="6">
        <f t="shared" si="1893"/>
        <v>0</v>
      </c>
      <c r="O1076" s="6">
        <f t="shared" si="1893"/>
        <v>0</v>
      </c>
      <c r="P1076" s="6">
        <f t="shared" si="1893"/>
        <v>0</v>
      </c>
      <c r="Q1076" s="6">
        <f t="shared" si="1893"/>
        <v>0</v>
      </c>
      <c r="R1076" s="6">
        <f t="shared" si="1893"/>
        <v>0</v>
      </c>
      <c r="S1076" s="6">
        <f t="shared" si="1893"/>
        <v>0</v>
      </c>
      <c r="T1076" s="6">
        <f t="shared" si="1893"/>
        <v>0</v>
      </c>
      <c r="U1076" s="6">
        <f t="shared" si="1893"/>
        <v>1838771.9936160001</v>
      </c>
      <c r="V1076" s="6">
        <f t="shared" si="1893"/>
        <v>0</v>
      </c>
      <c r="W1076" s="6">
        <f t="shared" si="1893"/>
        <v>597332.92638399999</v>
      </c>
      <c r="X1076" s="6">
        <f t="shared" si="1893"/>
        <v>0</v>
      </c>
      <c r="Y1076" s="6">
        <f t="shared" si="1893"/>
        <v>0</v>
      </c>
      <c r="Z1076" s="6">
        <f t="shared" si="1893"/>
        <v>0</v>
      </c>
      <c r="AA1076" s="6">
        <f t="shared" si="1893"/>
        <v>0</v>
      </c>
      <c r="AB1076" s="6">
        <f t="shared" si="1893"/>
        <v>0</v>
      </c>
      <c r="AC1076" s="67"/>
      <c r="AD1076" s="55"/>
    </row>
    <row r="1077" spans="1:30" s="52" customFormat="1">
      <c r="A1077" s="96" t="s">
        <v>612</v>
      </c>
      <c r="B1077" s="181">
        <v>0</v>
      </c>
      <c r="C1077" s="211">
        <f t="shared" si="1813"/>
        <v>0</v>
      </c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>
        <v>1</v>
      </c>
      <c r="S1077" s="38"/>
      <c r="T1077" s="38"/>
      <c r="U1077" s="38"/>
      <c r="V1077" s="38"/>
      <c r="W1077" s="38"/>
      <c r="X1077" s="38"/>
      <c r="Y1077" s="38"/>
      <c r="Z1077" s="5"/>
      <c r="AA1077" s="5"/>
      <c r="AB1077" s="5"/>
      <c r="AC1077" s="67"/>
      <c r="AD1077" s="55"/>
    </row>
    <row r="1078" spans="1:30" s="52" customFormat="1">
      <c r="A1078" s="97"/>
      <c r="B1078" s="65"/>
      <c r="C1078" s="211"/>
      <c r="D1078" s="6">
        <f>$C1077*D1077</f>
        <v>0</v>
      </c>
      <c r="E1078" s="6">
        <f t="shared" ref="E1078:T1084" si="1894">$C1077*E1077</f>
        <v>0</v>
      </c>
      <c r="F1078" s="6">
        <f t="shared" ref="F1078:AB1078" si="1895">$C1077*F1077</f>
        <v>0</v>
      </c>
      <c r="G1078" s="6">
        <f t="shared" si="1895"/>
        <v>0</v>
      </c>
      <c r="H1078" s="6">
        <f t="shared" si="1895"/>
        <v>0</v>
      </c>
      <c r="I1078" s="6">
        <f t="shared" si="1895"/>
        <v>0</v>
      </c>
      <c r="J1078" s="6">
        <f t="shared" si="1895"/>
        <v>0</v>
      </c>
      <c r="K1078" s="6">
        <f t="shared" si="1895"/>
        <v>0</v>
      </c>
      <c r="L1078" s="6">
        <f t="shared" si="1895"/>
        <v>0</v>
      </c>
      <c r="M1078" s="6">
        <f t="shared" si="1895"/>
        <v>0</v>
      </c>
      <c r="N1078" s="6">
        <f t="shared" si="1895"/>
        <v>0</v>
      </c>
      <c r="O1078" s="6">
        <f t="shared" si="1895"/>
        <v>0</v>
      </c>
      <c r="P1078" s="6">
        <f t="shared" si="1895"/>
        <v>0</v>
      </c>
      <c r="Q1078" s="6">
        <f t="shared" si="1895"/>
        <v>0</v>
      </c>
      <c r="R1078" s="6">
        <f t="shared" si="1895"/>
        <v>0</v>
      </c>
      <c r="S1078" s="6">
        <f t="shared" si="1895"/>
        <v>0</v>
      </c>
      <c r="T1078" s="6">
        <f t="shared" si="1895"/>
        <v>0</v>
      </c>
      <c r="U1078" s="6">
        <f t="shared" si="1895"/>
        <v>0</v>
      </c>
      <c r="V1078" s="6">
        <f t="shared" si="1895"/>
        <v>0</v>
      </c>
      <c r="W1078" s="6">
        <f t="shared" si="1895"/>
        <v>0</v>
      </c>
      <c r="X1078" s="6">
        <f t="shared" si="1895"/>
        <v>0</v>
      </c>
      <c r="Y1078" s="6">
        <f t="shared" si="1895"/>
        <v>0</v>
      </c>
      <c r="Z1078" s="6">
        <f t="shared" si="1895"/>
        <v>0</v>
      </c>
      <c r="AA1078" s="6">
        <f t="shared" si="1895"/>
        <v>0</v>
      </c>
      <c r="AB1078" s="6">
        <f t="shared" si="1895"/>
        <v>0</v>
      </c>
      <c r="AC1078" s="67"/>
      <c r="AD1078" s="55"/>
    </row>
    <row r="1079" spans="1:30" s="52" customFormat="1">
      <c r="A1079" s="183" t="s">
        <v>628</v>
      </c>
      <c r="B1079" s="184">
        <v>165823.48517566026</v>
      </c>
      <c r="C1079" s="214">
        <f t="shared" si="1813"/>
        <v>13818.62</v>
      </c>
      <c r="D1079" s="190"/>
      <c r="E1079" s="190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Q1079" s="190"/>
      <c r="R1079" s="185">
        <v>1</v>
      </c>
      <c r="S1079" s="190"/>
      <c r="T1079" s="190"/>
      <c r="U1079" s="190"/>
      <c r="V1079" s="190"/>
      <c r="W1079" s="190"/>
      <c r="X1079" s="190"/>
      <c r="Y1079" s="190"/>
      <c r="Z1079" s="191"/>
      <c r="AA1079" s="191"/>
      <c r="AB1079" s="191"/>
      <c r="AC1079" s="67"/>
      <c r="AD1079" s="55"/>
    </row>
    <row r="1080" spans="1:30" s="52" customFormat="1">
      <c r="A1080" s="187"/>
      <c r="B1080" s="188"/>
      <c r="C1080" s="214"/>
      <c r="D1080" s="189">
        <f>$C1079*D1079</f>
        <v>0</v>
      </c>
      <c r="E1080" s="189">
        <f t="shared" ref="E1080:AB1080" si="1896">$C1079*E1079</f>
        <v>0</v>
      </c>
      <c r="F1080" s="189">
        <f t="shared" si="1896"/>
        <v>0</v>
      </c>
      <c r="G1080" s="189">
        <f t="shared" si="1896"/>
        <v>0</v>
      </c>
      <c r="H1080" s="189">
        <f t="shared" si="1896"/>
        <v>0</v>
      </c>
      <c r="I1080" s="189">
        <f t="shared" si="1896"/>
        <v>0</v>
      </c>
      <c r="J1080" s="189">
        <f t="shared" si="1896"/>
        <v>0</v>
      </c>
      <c r="K1080" s="189">
        <f t="shared" si="1896"/>
        <v>0</v>
      </c>
      <c r="L1080" s="189">
        <f t="shared" si="1896"/>
        <v>0</v>
      </c>
      <c r="M1080" s="189">
        <f t="shared" si="1896"/>
        <v>0</v>
      </c>
      <c r="N1080" s="189">
        <f t="shared" si="1896"/>
        <v>0</v>
      </c>
      <c r="O1080" s="189">
        <f t="shared" si="1896"/>
        <v>0</v>
      </c>
      <c r="P1080" s="189">
        <f t="shared" si="1896"/>
        <v>0</v>
      </c>
      <c r="Q1080" s="189">
        <f t="shared" si="1896"/>
        <v>0</v>
      </c>
      <c r="R1080" s="189">
        <f t="shared" si="1896"/>
        <v>13818.62</v>
      </c>
      <c r="S1080" s="189">
        <f t="shared" si="1896"/>
        <v>0</v>
      </c>
      <c r="T1080" s="189">
        <f t="shared" si="1896"/>
        <v>0</v>
      </c>
      <c r="U1080" s="189">
        <f t="shared" si="1896"/>
        <v>0</v>
      </c>
      <c r="V1080" s="189">
        <f t="shared" si="1896"/>
        <v>0</v>
      </c>
      <c r="W1080" s="189">
        <f t="shared" si="1896"/>
        <v>0</v>
      </c>
      <c r="X1080" s="189">
        <f t="shared" si="1896"/>
        <v>0</v>
      </c>
      <c r="Y1080" s="189">
        <f t="shared" si="1896"/>
        <v>0</v>
      </c>
      <c r="Z1080" s="189">
        <f t="shared" si="1896"/>
        <v>0</v>
      </c>
      <c r="AA1080" s="189">
        <f t="shared" si="1896"/>
        <v>0</v>
      </c>
      <c r="AB1080" s="189">
        <f t="shared" si="1896"/>
        <v>0</v>
      </c>
      <c r="AC1080" s="67"/>
      <c r="AD1080" s="55"/>
    </row>
    <row r="1081" spans="1:30" s="52" customFormat="1">
      <c r="A1081" s="183" t="s">
        <v>626</v>
      </c>
      <c r="B1081" s="184">
        <v>612832.501969303</v>
      </c>
      <c r="C1081" s="214">
        <f t="shared" si="1813"/>
        <v>51069.38</v>
      </c>
      <c r="D1081" s="185"/>
      <c r="E1081" s="185">
        <v>0.16600000000000001</v>
      </c>
      <c r="F1081" s="185">
        <v>8.09E-2</v>
      </c>
      <c r="G1081" s="185"/>
      <c r="H1081" s="185">
        <v>2.7400000000000001E-2</v>
      </c>
      <c r="I1081" s="185"/>
      <c r="J1081" s="185">
        <v>0.02</v>
      </c>
      <c r="K1081" s="185">
        <v>3.5000000000000001E-3</v>
      </c>
      <c r="L1081" s="185">
        <v>1.3100000000000001E-2</v>
      </c>
      <c r="M1081" s="185"/>
      <c r="N1081" s="185">
        <v>0.52769999999999995</v>
      </c>
      <c r="O1081" s="185">
        <v>1.54E-2</v>
      </c>
      <c r="P1081" s="185"/>
      <c r="Q1081" s="185"/>
      <c r="R1081" s="185"/>
      <c r="S1081" s="185"/>
      <c r="T1081" s="185"/>
      <c r="U1081" s="185"/>
      <c r="V1081" s="185">
        <v>0.1454</v>
      </c>
      <c r="W1081" s="185"/>
      <c r="X1081" s="185"/>
      <c r="Y1081" s="185"/>
      <c r="Z1081" s="186"/>
      <c r="AA1081" s="186">
        <v>5.9999999999999995E-4</v>
      </c>
      <c r="AB1081" s="186"/>
      <c r="AC1081" s="67"/>
      <c r="AD1081" s="55"/>
    </row>
    <row r="1082" spans="1:30" s="52" customFormat="1">
      <c r="A1082" s="187"/>
      <c r="B1082" s="188"/>
      <c r="C1082" s="214"/>
      <c r="D1082" s="189">
        <f>$C1081*D1081</f>
        <v>0</v>
      </c>
      <c r="E1082" s="189">
        <f t="shared" ref="E1082:AB1082" si="1897">$C1081*E1081</f>
        <v>8477.5170799999996</v>
      </c>
      <c r="F1082" s="189">
        <f t="shared" si="1897"/>
        <v>4131.5128420000001</v>
      </c>
      <c r="G1082" s="189">
        <f t="shared" si="1897"/>
        <v>0</v>
      </c>
      <c r="H1082" s="189">
        <f t="shared" si="1897"/>
        <v>1399.3010119999999</v>
      </c>
      <c r="I1082" s="189">
        <f t="shared" si="1897"/>
        <v>0</v>
      </c>
      <c r="J1082" s="189">
        <f t="shared" si="1897"/>
        <v>1021.3876</v>
      </c>
      <c r="K1082" s="189">
        <f t="shared" si="1897"/>
        <v>178.74283</v>
      </c>
      <c r="L1082" s="189">
        <f t="shared" si="1897"/>
        <v>669.00887799999998</v>
      </c>
      <c r="M1082" s="189">
        <f t="shared" si="1897"/>
        <v>0</v>
      </c>
      <c r="N1082" s="189">
        <f t="shared" si="1897"/>
        <v>26949.311825999997</v>
      </c>
      <c r="O1082" s="189">
        <f t="shared" si="1897"/>
        <v>786.46845199999996</v>
      </c>
      <c r="P1082" s="189">
        <f t="shared" si="1897"/>
        <v>0</v>
      </c>
      <c r="Q1082" s="189">
        <f t="shared" si="1897"/>
        <v>0</v>
      </c>
      <c r="R1082" s="189">
        <f t="shared" si="1897"/>
        <v>0</v>
      </c>
      <c r="S1082" s="189">
        <f t="shared" si="1897"/>
        <v>0</v>
      </c>
      <c r="T1082" s="189">
        <f t="shared" si="1897"/>
        <v>0</v>
      </c>
      <c r="U1082" s="189">
        <f t="shared" si="1897"/>
        <v>0</v>
      </c>
      <c r="V1082" s="189">
        <f t="shared" si="1897"/>
        <v>7425.4878519999993</v>
      </c>
      <c r="W1082" s="189">
        <f t="shared" si="1897"/>
        <v>0</v>
      </c>
      <c r="X1082" s="189">
        <f t="shared" si="1897"/>
        <v>0</v>
      </c>
      <c r="Y1082" s="189">
        <f t="shared" si="1897"/>
        <v>0</v>
      </c>
      <c r="Z1082" s="189">
        <f t="shared" si="1897"/>
        <v>0</v>
      </c>
      <c r="AA1082" s="189">
        <f t="shared" si="1897"/>
        <v>30.641627999999997</v>
      </c>
      <c r="AB1082" s="189">
        <f t="shared" si="1897"/>
        <v>0</v>
      </c>
      <c r="AC1082" s="67"/>
      <c r="AD1082" s="55"/>
    </row>
    <row r="1083" spans="1:30" s="52" customFormat="1">
      <c r="A1083" s="183" t="s">
        <v>627</v>
      </c>
      <c r="B1083" s="184">
        <v>5295.7280810839784</v>
      </c>
      <c r="C1083" s="214">
        <f t="shared" si="1813"/>
        <v>441.31</v>
      </c>
      <c r="D1083" s="185"/>
      <c r="E1083" s="185">
        <v>6.4600000000000005E-2</v>
      </c>
      <c r="F1083" s="185">
        <v>8.7400000000000005E-2</v>
      </c>
      <c r="G1083" s="185"/>
      <c r="H1083" s="185">
        <v>0.19739999999999999</v>
      </c>
      <c r="I1083" s="185">
        <v>2.1600000000000001E-2</v>
      </c>
      <c r="J1083" s="185">
        <v>5.8999999999999999E-3</v>
      </c>
      <c r="K1083" s="185">
        <v>1.0200000000000001E-2</v>
      </c>
      <c r="L1083" s="185">
        <v>1E-4</v>
      </c>
      <c r="M1083" s="185"/>
      <c r="N1083" s="185">
        <v>0.39950000000000002</v>
      </c>
      <c r="O1083" s="185">
        <v>4.4999999999999997E-3</v>
      </c>
      <c r="P1083" s="185"/>
      <c r="Q1083" s="185"/>
      <c r="R1083" s="185"/>
      <c r="S1083" s="185"/>
      <c r="T1083" s="185"/>
      <c r="U1083" s="185"/>
      <c r="V1083" s="185">
        <v>0.20880000000000001</v>
      </c>
      <c r="W1083" s="185"/>
      <c r="X1083" s="185"/>
      <c r="Y1083" s="185"/>
      <c r="Z1083" s="186"/>
      <c r="AA1083" s="186"/>
      <c r="AB1083" s="186"/>
      <c r="AC1083" s="67"/>
      <c r="AD1083" s="55"/>
    </row>
    <row r="1084" spans="1:30" s="52" customFormat="1">
      <c r="A1084" s="187"/>
      <c r="B1084" s="188"/>
      <c r="C1084" s="252"/>
      <c r="D1084" s="189">
        <f>$C1083*D1083</f>
        <v>0</v>
      </c>
      <c r="E1084" s="189">
        <f t="shared" si="1894"/>
        <v>28.508626000000003</v>
      </c>
      <c r="F1084" s="189">
        <f t="shared" si="1894"/>
        <v>38.570494000000004</v>
      </c>
      <c r="G1084" s="189">
        <f t="shared" si="1894"/>
        <v>0</v>
      </c>
      <c r="H1084" s="189">
        <f t="shared" si="1894"/>
        <v>87.114593999999997</v>
      </c>
      <c r="I1084" s="189">
        <f t="shared" si="1894"/>
        <v>9.5322960000000005</v>
      </c>
      <c r="J1084" s="189">
        <f t="shared" si="1894"/>
        <v>2.603729</v>
      </c>
      <c r="K1084" s="189">
        <f t="shared" si="1894"/>
        <v>4.5013620000000003</v>
      </c>
      <c r="L1084" s="189">
        <f t="shared" si="1894"/>
        <v>4.4131000000000004E-2</v>
      </c>
      <c r="M1084" s="189">
        <f t="shared" si="1894"/>
        <v>0</v>
      </c>
      <c r="N1084" s="189">
        <f t="shared" si="1894"/>
        <v>176.30334500000001</v>
      </c>
      <c r="O1084" s="189">
        <f t="shared" si="1894"/>
        <v>1.985895</v>
      </c>
      <c r="P1084" s="189">
        <f t="shared" si="1894"/>
        <v>0</v>
      </c>
      <c r="Q1084" s="189">
        <f t="shared" si="1894"/>
        <v>0</v>
      </c>
      <c r="R1084" s="189">
        <f t="shared" si="1894"/>
        <v>0</v>
      </c>
      <c r="S1084" s="189">
        <f t="shared" si="1894"/>
        <v>0</v>
      </c>
      <c r="T1084" s="189">
        <f t="shared" si="1894"/>
        <v>0</v>
      </c>
      <c r="U1084" s="189">
        <f t="shared" ref="U1084:AB1084" si="1898">$C1083*U1083</f>
        <v>0</v>
      </c>
      <c r="V1084" s="189">
        <f t="shared" si="1898"/>
        <v>92.145528000000013</v>
      </c>
      <c r="W1084" s="189">
        <f t="shared" si="1898"/>
        <v>0</v>
      </c>
      <c r="X1084" s="189">
        <f t="shared" si="1898"/>
        <v>0</v>
      </c>
      <c r="Y1084" s="189">
        <f t="shared" si="1898"/>
        <v>0</v>
      </c>
      <c r="Z1084" s="189">
        <f t="shared" si="1898"/>
        <v>0</v>
      </c>
      <c r="AA1084" s="189">
        <f t="shared" si="1898"/>
        <v>0</v>
      </c>
      <c r="AB1084" s="189">
        <f t="shared" si="1898"/>
        <v>0</v>
      </c>
      <c r="AC1084" s="67"/>
      <c r="AD1084" s="55"/>
    </row>
    <row r="1085" spans="1:30" s="52" customFormat="1">
      <c r="A1085" s="50" t="s">
        <v>50</v>
      </c>
      <c r="B1085" s="33">
        <f>SUM(B1025:B1083)</f>
        <v>45901848.667531408</v>
      </c>
      <c r="C1085" s="126">
        <f>SUM(C1025:C1083)</f>
        <v>3825154.06</v>
      </c>
      <c r="D1085" s="51">
        <f>D1026+D1028+D1030+D1032+D1034+D1036+D1038+D1040+D1042+D1044+D1046+D1048+D1050+D1052+D1054+D1056+D1058+D1060+D1062+D1064+D1066+D1068+D1070+D1072+D1074+D1076+D1078+D1080+D1082+D1084</f>
        <v>15972.651717000001</v>
      </c>
      <c r="E1085" s="51">
        <f t="shared" ref="E1085:AB1085" si="1899">E1026+E1028+E1030+E1032+E1034+E1036+E1038+E1040+E1042+E1044+E1046+E1048+E1050+E1052+E1054+E1056+E1058+E1060+E1062+E1064+E1066+E1068+E1070+E1072+E1074+E1076+E1078+E1080+E1082+E1084</f>
        <v>11285.136873000001</v>
      </c>
      <c r="F1085" s="51">
        <f t="shared" si="1899"/>
        <v>314232.92659700004</v>
      </c>
      <c r="G1085" s="51">
        <f t="shared" si="1899"/>
        <v>2007.4402880000005</v>
      </c>
      <c r="H1085" s="51">
        <f t="shared" si="1899"/>
        <v>25865.575669000002</v>
      </c>
      <c r="I1085" s="51">
        <f t="shared" si="1899"/>
        <v>3244.7858299999984</v>
      </c>
      <c r="J1085" s="51">
        <f t="shared" si="1899"/>
        <v>1492.4910720000003</v>
      </c>
      <c r="K1085" s="51">
        <f t="shared" si="1899"/>
        <v>1396.705719</v>
      </c>
      <c r="L1085" s="51">
        <f t="shared" si="1899"/>
        <v>1078.6931370000002</v>
      </c>
      <c r="M1085" s="51">
        <f t="shared" si="1899"/>
        <v>20915.836872</v>
      </c>
      <c r="N1085" s="51">
        <f t="shared" si="1899"/>
        <v>65779.534010000003</v>
      </c>
      <c r="O1085" s="51">
        <f t="shared" si="1899"/>
        <v>1221.2055800000001</v>
      </c>
      <c r="P1085" s="51">
        <f t="shared" si="1899"/>
        <v>4363.8234179999999</v>
      </c>
      <c r="Q1085" s="51">
        <f t="shared" si="1899"/>
        <v>116652.97229600002</v>
      </c>
      <c r="R1085" s="51">
        <f t="shared" si="1899"/>
        <v>103760.809389</v>
      </c>
      <c r="S1085" s="51">
        <f t="shared" si="1899"/>
        <v>11852.183043000001</v>
      </c>
      <c r="T1085" s="51">
        <f t="shared" si="1899"/>
        <v>44518.587323</v>
      </c>
      <c r="U1085" s="51">
        <f t="shared" si="1899"/>
        <v>2231637.0182969999</v>
      </c>
      <c r="V1085" s="51">
        <f t="shared" si="1899"/>
        <v>23311.581696999998</v>
      </c>
      <c r="W1085" s="51">
        <f t="shared" si="1899"/>
        <v>629166.56889999995</v>
      </c>
      <c r="X1085" s="51">
        <f t="shared" si="1899"/>
        <v>183211.025402</v>
      </c>
      <c r="Y1085" s="51">
        <f t="shared" si="1899"/>
        <v>6484.1879819999995</v>
      </c>
      <c r="Z1085" s="51">
        <f t="shared" si="1899"/>
        <v>5651.4598449999994</v>
      </c>
      <c r="AA1085" s="51">
        <f t="shared" si="1899"/>
        <v>50.859043999999997</v>
      </c>
      <c r="AB1085" s="51">
        <f t="shared" si="1899"/>
        <v>0</v>
      </c>
      <c r="AC1085" s="67"/>
      <c r="AD1085" s="55"/>
    </row>
    <row r="1086" spans="1:30" s="52" customFormat="1">
      <c r="A1086" s="54"/>
      <c r="B1086" s="7"/>
      <c r="C1086" s="84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67"/>
      <c r="AD1086" s="55"/>
    </row>
    <row r="1087" spans="1:30" s="52" customFormat="1">
      <c r="A1087" s="54"/>
      <c r="B1087" s="7"/>
      <c r="C1087" s="84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67"/>
      <c r="AD1087" s="55"/>
    </row>
    <row r="1088" spans="1:30" s="52" customFormat="1" ht="13.8" thickBot="1">
      <c r="A1088" s="82" t="s">
        <v>343</v>
      </c>
      <c r="B1088" s="127"/>
      <c r="C1088" s="234"/>
      <c r="D1088" s="127"/>
      <c r="E1088" s="1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67"/>
      <c r="AD1088" s="55"/>
    </row>
    <row r="1089" spans="1:30" s="52" customFormat="1" ht="13.8" thickBot="1">
      <c r="A1089" s="113" t="s">
        <v>1</v>
      </c>
      <c r="B1089" s="114" t="s">
        <v>2</v>
      </c>
      <c r="C1089" s="239" t="s">
        <v>3</v>
      </c>
      <c r="D1089" s="263" t="s">
        <v>4</v>
      </c>
      <c r="E1089" s="264"/>
      <c r="F1089" s="264"/>
      <c r="G1089" s="264"/>
      <c r="H1089" s="264"/>
      <c r="I1089" s="264"/>
      <c r="J1089" s="264"/>
      <c r="K1089" s="264"/>
      <c r="L1089" s="264"/>
      <c r="M1089" s="264"/>
      <c r="N1089" s="264"/>
      <c r="O1089" s="264"/>
      <c r="P1089" s="264"/>
      <c r="Q1089" s="264"/>
      <c r="R1089" s="264"/>
      <c r="S1089" s="264"/>
      <c r="T1089" s="264"/>
      <c r="U1089" s="264"/>
      <c r="V1089" s="264"/>
      <c r="W1089" s="264"/>
      <c r="X1089" s="264"/>
      <c r="Y1089" s="264"/>
      <c r="Z1089" s="123"/>
      <c r="AA1089" s="123"/>
      <c r="AB1089" s="123"/>
      <c r="AC1089" s="67"/>
      <c r="AD1089" s="55"/>
    </row>
    <row r="1090" spans="1:30" s="52" customFormat="1">
      <c r="A1090" s="115" t="s">
        <v>5</v>
      </c>
      <c r="B1090" s="116" t="s">
        <v>6</v>
      </c>
      <c r="C1090" s="240" t="s">
        <v>6</v>
      </c>
      <c r="D1090" s="117"/>
      <c r="E1090" s="118"/>
      <c r="F1090" s="118"/>
      <c r="G1090" s="118"/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  <c r="W1090" s="118"/>
      <c r="X1090" s="118"/>
      <c r="Y1090" s="119"/>
      <c r="Z1090" s="116" t="s">
        <v>7</v>
      </c>
      <c r="AA1090" s="116"/>
      <c r="AB1090" s="116"/>
      <c r="AC1090" s="67"/>
      <c r="AD1090" s="55"/>
    </row>
    <row r="1091" spans="1:30" s="52" customFormat="1">
      <c r="A1091" s="115" t="s">
        <v>8</v>
      </c>
      <c r="B1091" s="116" t="s">
        <v>9</v>
      </c>
      <c r="C1091" s="240" t="s">
        <v>9</v>
      </c>
      <c r="D1091" s="120" t="s">
        <v>10</v>
      </c>
      <c r="E1091" s="116" t="s">
        <v>11</v>
      </c>
      <c r="F1091" s="116" t="s">
        <v>12</v>
      </c>
      <c r="G1091" s="116" t="s">
        <v>13</v>
      </c>
      <c r="H1091" s="116" t="s">
        <v>14</v>
      </c>
      <c r="I1091" s="116" t="s">
        <v>15</v>
      </c>
      <c r="J1091" s="116" t="s">
        <v>16</v>
      </c>
      <c r="K1091" s="116" t="s">
        <v>17</v>
      </c>
      <c r="L1091" s="116" t="s">
        <v>18</v>
      </c>
      <c r="M1091" s="116" t="s">
        <v>19</v>
      </c>
      <c r="N1091" s="116" t="s">
        <v>20</v>
      </c>
      <c r="O1091" s="116" t="s">
        <v>175</v>
      </c>
      <c r="P1091" s="116" t="s">
        <v>21</v>
      </c>
      <c r="Q1091" s="116" t="s">
        <v>22</v>
      </c>
      <c r="R1091" s="116" t="s">
        <v>23</v>
      </c>
      <c r="S1091" s="116" t="s">
        <v>24</v>
      </c>
      <c r="T1091" s="116" t="s">
        <v>25</v>
      </c>
      <c r="U1091" s="116" t="s">
        <v>26</v>
      </c>
      <c r="V1091" s="116" t="s">
        <v>27</v>
      </c>
      <c r="W1091" s="116" t="s">
        <v>28</v>
      </c>
      <c r="X1091" s="116" t="s">
        <v>29</v>
      </c>
      <c r="Y1091" s="116" t="s">
        <v>30</v>
      </c>
      <c r="Z1091" s="116" t="s">
        <v>31</v>
      </c>
      <c r="AA1091" s="116" t="s">
        <v>493</v>
      </c>
      <c r="AB1091" s="116" t="s">
        <v>476</v>
      </c>
      <c r="AC1091" s="67"/>
      <c r="AD1091" s="55"/>
    </row>
    <row r="1092" spans="1:30" s="52" customFormat="1">
      <c r="A1092" s="115"/>
      <c r="B1092" s="116"/>
      <c r="C1092" s="240" t="s">
        <v>617</v>
      </c>
      <c r="D1092" s="117"/>
      <c r="E1092" s="118"/>
      <c r="F1092" s="118"/>
      <c r="G1092" s="118"/>
      <c r="H1092" s="118"/>
      <c r="I1092" s="118"/>
      <c r="J1092" s="118"/>
      <c r="K1092" s="118"/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  <c r="W1092" s="118"/>
      <c r="X1092" s="118"/>
      <c r="Y1092" s="118"/>
      <c r="Z1092" s="118"/>
      <c r="AA1092" s="118"/>
      <c r="AB1092" s="118"/>
      <c r="AC1092" s="67"/>
      <c r="AD1092" s="55"/>
    </row>
    <row r="1093" spans="1:30" s="52" customFormat="1">
      <c r="A1093" s="96" t="s">
        <v>344</v>
      </c>
      <c r="B1093" s="29">
        <f xml:space="preserve"> 5275659 /2</f>
        <v>2637829.5</v>
      </c>
      <c r="C1093" s="242">
        <f>ROUND(B1093/12,2)</f>
        <v>219819.13</v>
      </c>
      <c r="D1093" s="170">
        <v>1.6500000000000001E-2</v>
      </c>
      <c r="E1093" s="170">
        <v>0.1368</v>
      </c>
      <c r="F1093" s="170">
        <v>5.7599999999999998E-2</v>
      </c>
      <c r="G1093" s="170">
        <v>8.0399999999999999E-2</v>
      </c>
      <c r="H1093" s="170">
        <v>4.1099999999999998E-2</v>
      </c>
      <c r="I1093" s="170">
        <v>0.13389999999999999</v>
      </c>
      <c r="J1093" s="170">
        <v>2.12E-2</v>
      </c>
      <c r="K1093" s="170">
        <v>3.2500000000000001E-2</v>
      </c>
      <c r="L1093" s="170">
        <v>1.7100000000000001E-2</v>
      </c>
      <c r="M1093" s="170">
        <v>2.5999999999999999E-2</v>
      </c>
      <c r="N1093" s="170">
        <v>0.13320000000000001</v>
      </c>
      <c r="O1093" s="170">
        <v>1.89E-2</v>
      </c>
      <c r="P1093" s="170">
        <v>0</v>
      </c>
      <c r="Q1093" s="170">
        <v>3.8600000000000002E-2</v>
      </c>
      <c r="R1093" s="170">
        <v>1.9E-2</v>
      </c>
      <c r="S1093" s="170">
        <v>4.1999999999999997E-3</v>
      </c>
      <c r="T1093" s="170">
        <v>5.3999999999999999E-2</v>
      </c>
      <c r="U1093" s="170">
        <v>1.78E-2</v>
      </c>
      <c r="V1093" s="170">
        <v>3.6700000000000003E-2</v>
      </c>
      <c r="W1093" s="170">
        <v>4.7199999999999999E-2</v>
      </c>
      <c r="X1093" s="170">
        <v>6.3899999999999998E-2</v>
      </c>
      <c r="Y1093" s="170">
        <v>2.5999999999999999E-3</v>
      </c>
      <c r="Z1093" s="171">
        <v>0</v>
      </c>
      <c r="AA1093" s="171">
        <v>8.0000000000000004E-4</v>
      </c>
      <c r="AB1093" s="171">
        <v>0</v>
      </c>
      <c r="AC1093" s="67"/>
      <c r="AD1093" s="55"/>
    </row>
    <row r="1094" spans="1:30" s="52" customFormat="1">
      <c r="A1094" s="97"/>
      <c r="B1094" s="30"/>
      <c r="C1094" s="242"/>
      <c r="D1094" s="6">
        <f>$C1093*D1093</f>
        <v>3627.0156450000004</v>
      </c>
      <c r="E1094" s="6">
        <f t="shared" ref="E1094" si="1900">$C1093*E1093</f>
        <v>30071.256984000003</v>
      </c>
      <c r="F1094" s="6">
        <f t="shared" ref="F1094" si="1901">$C1093*F1093</f>
        <v>12661.581888000001</v>
      </c>
      <c r="G1094" s="6">
        <f t="shared" ref="G1094:AB1094" si="1902">$C1093*G1093</f>
        <v>17673.458052000002</v>
      </c>
      <c r="H1094" s="6">
        <f t="shared" si="1902"/>
        <v>9034.5662429999993</v>
      </c>
      <c r="I1094" s="6">
        <f t="shared" si="1902"/>
        <v>29433.781507</v>
      </c>
      <c r="J1094" s="6">
        <f t="shared" si="1902"/>
        <v>4660.1655559999999</v>
      </c>
      <c r="K1094" s="6">
        <f t="shared" si="1902"/>
        <v>7144.121725</v>
      </c>
      <c r="L1094" s="6">
        <f t="shared" si="1902"/>
        <v>3758.9071230000004</v>
      </c>
      <c r="M1094" s="6">
        <f t="shared" si="1902"/>
        <v>5715.29738</v>
      </c>
      <c r="N1094" s="6">
        <f t="shared" si="1902"/>
        <v>29279.908116000002</v>
      </c>
      <c r="O1094" s="6">
        <f t="shared" si="1902"/>
        <v>4154.5815570000004</v>
      </c>
      <c r="P1094" s="6">
        <f t="shared" si="1902"/>
        <v>0</v>
      </c>
      <c r="Q1094" s="6">
        <f t="shared" si="1902"/>
        <v>8485.0184180000015</v>
      </c>
      <c r="R1094" s="6">
        <f t="shared" si="1902"/>
        <v>4176.5634700000001</v>
      </c>
      <c r="S1094" s="6">
        <f t="shared" si="1902"/>
        <v>923.24034599999993</v>
      </c>
      <c r="T1094" s="6">
        <f t="shared" si="1902"/>
        <v>11870.23302</v>
      </c>
      <c r="U1094" s="6">
        <f t="shared" si="1902"/>
        <v>3912.780514</v>
      </c>
      <c r="V1094" s="6">
        <f t="shared" si="1902"/>
        <v>8067.3620710000014</v>
      </c>
      <c r="W1094" s="6">
        <f t="shared" si="1902"/>
        <v>10375.462936</v>
      </c>
      <c r="X1094" s="6">
        <f t="shared" si="1902"/>
        <v>14046.442407</v>
      </c>
      <c r="Y1094" s="6">
        <f t="shared" si="1902"/>
        <v>571.52973799999995</v>
      </c>
      <c r="Z1094" s="6">
        <f t="shared" si="1902"/>
        <v>0</v>
      </c>
      <c r="AA1094" s="6">
        <f t="shared" si="1902"/>
        <v>175.85530400000002</v>
      </c>
      <c r="AB1094" s="6">
        <f t="shared" si="1902"/>
        <v>0</v>
      </c>
      <c r="AC1094" s="67"/>
      <c r="AD1094" s="55"/>
    </row>
    <row r="1095" spans="1:30" s="52" customFormat="1">
      <c r="A1095" s="96" t="s">
        <v>462</v>
      </c>
      <c r="B1095" s="29">
        <f xml:space="preserve"> 5275659 /2</f>
        <v>2637829.5</v>
      </c>
      <c r="C1095" s="242">
        <f t="shared" ref="C1095:C1153" si="1903">ROUND(B1095/12,2)</f>
        <v>219819.13</v>
      </c>
      <c r="D1095" s="171">
        <v>8.6699999999999999E-2</v>
      </c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171">
        <v>0.9133</v>
      </c>
      <c r="U1095" s="5"/>
      <c r="V1095" s="5"/>
      <c r="W1095" s="5"/>
      <c r="X1095" s="5"/>
      <c r="Y1095" s="5"/>
      <c r="Z1095" s="5"/>
      <c r="AA1095" s="5"/>
      <c r="AB1095" s="5"/>
      <c r="AC1095" s="67"/>
      <c r="AD1095" s="55"/>
    </row>
    <row r="1096" spans="1:30" s="52" customFormat="1">
      <c r="A1096" s="97"/>
      <c r="B1096" s="12"/>
      <c r="C1096" s="242"/>
      <c r="D1096" s="6">
        <f t="shared" ref="D1096" si="1904">$C1095*D1095</f>
        <v>19058.318571</v>
      </c>
      <c r="E1096" s="6">
        <f t="shared" ref="E1096" si="1905">$C1095*E1095</f>
        <v>0</v>
      </c>
      <c r="F1096" s="6">
        <f t="shared" ref="F1096:O1096" si="1906">$C1095*F1095</f>
        <v>0</v>
      </c>
      <c r="G1096" s="6">
        <f t="shared" si="1906"/>
        <v>0</v>
      </c>
      <c r="H1096" s="6">
        <f t="shared" si="1906"/>
        <v>0</v>
      </c>
      <c r="I1096" s="6">
        <f t="shared" si="1906"/>
        <v>0</v>
      </c>
      <c r="J1096" s="6">
        <f t="shared" si="1906"/>
        <v>0</v>
      </c>
      <c r="K1096" s="6">
        <f t="shared" si="1906"/>
        <v>0</v>
      </c>
      <c r="L1096" s="6">
        <f t="shared" si="1906"/>
        <v>0</v>
      </c>
      <c r="M1096" s="6">
        <f t="shared" si="1906"/>
        <v>0</v>
      </c>
      <c r="N1096" s="6">
        <f t="shared" si="1906"/>
        <v>0</v>
      </c>
      <c r="O1096" s="6">
        <f t="shared" si="1906"/>
        <v>0</v>
      </c>
      <c r="P1096" s="6">
        <f t="shared" ref="P1096" si="1907">$C1095*P1095</f>
        <v>0</v>
      </c>
      <c r="Q1096" s="6">
        <f t="shared" ref="Q1096" si="1908">$C1095*Q1095</f>
        <v>0</v>
      </c>
      <c r="R1096" s="6">
        <f t="shared" ref="R1096:AB1096" si="1909">$C1095*R1095</f>
        <v>0</v>
      </c>
      <c r="S1096" s="6">
        <f t="shared" si="1909"/>
        <v>0</v>
      </c>
      <c r="T1096" s="6">
        <f t="shared" si="1909"/>
        <v>200760.81142899999</v>
      </c>
      <c r="U1096" s="6">
        <f t="shared" si="1909"/>
        <v>0</v>
      </c>
      <c r="V1096" s="6">
        <f t="shared" si="1909"/>
        <v>0</v>
      </c>
      <c r="W1096" s="6">
        <f t="shared" si="1909"/>
        <v>0</v>
      </c>
      <c r="X1096" s="6">
        <f t="shared" si="1909"/>
        <v>0</v>
      </c>
      <c r="Y1096" s="6">
        <f t="shared" si="1909"/>
        <v>0</v>
      </c>
      <c r="Z1096" s="6">
        <f t="shared" si="1909"/>
        <v>0</v>
      </c>
      <c r="AA1096" s="6">
        <f t="shared" si="1909"/>
        <v>0</v>
      </c>
      <c r="AB1096" s="6">
        <f t="shared" si="1909"/>
        <v>0</v>
      </c>
      <c r="AC1096" s="67"/>
      <c r="AD1096" s="55"/>
    </row>
    <row r="1097" spans="1:30" s="52" customFormat="1">
      <c r="A1097" s="157" t="s">
        <v>345</v>
      </c>
      <c r="B1097" s="29">
        <v>1882353</v>
      </c>
      <c r="C1097" s="242">
        <f t="shared" si="1903"/>
        <v>156862.75</v>
      </c>
      <c r="D1097" s="10">
        <v>8.2500000000000004E-2</v>
      </c>
      <c r="E1097" s="37"/>
      <c r="F1097" s="5"/>
      <c r="G1097" s="5"/>
      <c r="H1097" s="10"/>
      <c r="I1097" s="10"/>
      <c r="J1097" s="10"/>
      <c r="K1097" s="10"/>
      <c r="L1097" s="5"/>
      <c r="M1097" s="10">
        <v>9.5600000000000004E-2</v>
      </c>
      <c r="N1097" s="10"/>
      <c r="O1097" s="10"/>
      <c r="P1097" s="10"/>
      <c r="Q1097" s="10"/>
      <c r="R1097" s="10"/>
      <c r="S1097" s="10"/>
      <c r="T1097" s="10">
        <v>0.82189999999999996</v>
      </c>
      <c r="U1097" s="10"/>
      <c r="V1097" s="10"/>
      <c r="W1097" s="10"/>
      <c r="X1097" s="10"/>
      <c r="Y1097" s="10"/>
      <c r="Z1097" s="10"/>
      <c r="AA1097" s="10"/>
      <c r="AB1097" s="10"/>
      <c r="AC1097" s="67"/>
      <c r="AD1097" s="55"/>
    </row>
    <row r="1098" spans="1:30" s="52" customFormat="1">
      <c r="A1098" s="105"/>
      <c r="B1098" s="24"/>
      <c r="C1098" s="242"/>
      <c r="D1098" s="30">
        <f>$C1097*D1097</f>
        <v>12941.176875000001</v>
      </c>
      <c r="E1098" s="30">
        <f t="shared" ref="E1098" si="1910">$C1097*E1097</f>
        <v>0</v>
      </c>
      <c r="F1098" s="30">
        <f t="shared" ref="F1098" si="1911">$C1097*F1097</f>
        <v>0</v>
      </c>
      <c r="G1098" s="30">
        <f t="shared" ref="G1098:AB1098" si="1912">$C1097*G1097</f>
        <v>0</v>
      </c>
      <c r="H1098" s="30">
        <f t="shared" si="1912"/>
        <v>0</v>
      </c>
      <c r="I1098" s="30">
        <f t="shared" si="1912"/>
        <v>0</v>
      </c>
      <c r="J1098" s="30">
        <f t="shared" si="1912"/>
        <v>0</v>
      </c>
      <c r="K1098" s="30">
        <f t="shared" si="1912"/>
        <v>0</v>
      </c>
      <c r="L1098" s="30">
        <f t="shared" si="1912"/>
        <v>0</v>
      </c>
      <c r="M1098" s="30">
        <f t="shared" si="1912"/>
        <v>14996.0789</v>
      </c>
      <c r="N1098" s="30">
        <f t="shared" si="1912"/>
        <v>0</v>
      </c>
      <c r="O1098" s="30">
        <f t="shared" si="1912"/>
        <v>0</v>
      </c>
      <c r="P1098" s="30">
        <f t="shared" si="1912"/>
        <v>0</v>
      </c>
      <c r="Q1098" s="30">
        <f t="shared" si="1912"/>
        <v>0</v>
      </c>
      <c r="R1098" s="30">
        <f t="shared" si="1912"/>
        <v>0</v>
      </c>
      <c r="S1098" s="30">
        <f t="shared" si="1912"/>
        <v>0</v>
      </c>
      <c r="T1098" s="30">
        <f t="shared" si="1912"/>
        <v>128925.49422499999</v>
      </c>
      <c r="U1098" s="30">
        <f t="shared" si="1912"/>
        <v>0</v>
      </c>
      <c r="V1098" s="30">
        <f t="shared" si="1912"/>
        <v>0</v>
      </c>
      <c r="W1098" s="30">
        <f t="shared" si="1912"/>
        <v>0</v>
      </c>
      <c r="X1098" s="30">
        <f t="shared" si="1912"/>
        <v>0</v>
      </c>
      <c r="Y1098" s="30">
        <f t="shared" si="1912"/>
        <v>0</v>
      </c>
      <c r="Z1098" s="30">
        <f t="shared" si="1912"/>
        <v>0</v>
      </c>
      <c r="AA1098" s="30">
        <f t="shared" si="1912"/>
        <v>0</v>
      </c>
      <c r="AB1098" s="30">
        <f t="shared" si="1912"/>
        <v>0</v>
      </c>
      <c r="AC1098" s="67"/>
      <c r="AD1098" s="55"/>
    </row>
    <row r="1099" spans="1:30" s="52" customFormat="1">
      <c r="A1099" s="157" t="s">
        <v>346</v>
      </c>
      <c r="B1099" s="29">
        <v>712795</v>
      </c>
      <c r="C1099" s="242">
        <f t="shared" si="1903"/>
        <v>59399.58</v>
      </c>
      <c r="D1099" s="149"/>
      <c r="E1099" s="37"/>
      <c r="F1099" s="40"/>
      <c r="G1099" s="40"/>
      <c r="H1099" s="149">
        <v>4.5400000000000003E-2</v>
      </c>
      <c r="I1099" s="149"/>
      <c r="J1099" s="149"/>
      <c r="K1099" s="149"/>
      <c r="L1099" s="40">
        <v>2.7000000000000001E-3</v>
      </c>
      <c r="M1099" s="149"/>
      <c r="N1099" s="149"/>
      <c r="O1099" s="149"/>
      <c r="P1099" s="149">
        <v>2.9999999999999997E-4</v>
      </c>
      <c r="Q1099" s="149"/>
      <c r="R1099" s="149">
        <v>1.04E-2</v>
      </c>
      <c r="S1099" s="149"/>
      <c r="T1099" s="149">
        <v>0.88080000000000003</v>
      </c>
      <c r="U1099" s="149"/>
      <c r="V1099" s="149">
        <v>2.7900000000000001E-2</v>
      </c>
      <c r="W1099" s="149">
        <v>3.2500000000000001E-2</v>
      </c>
      <c r="X1099" s="149"/>
      <c r="Y1099" s="149"/>
      <c r="Z1099" s="149"/>
      <c r="AA1099" s="149"/>
      <c r="AB1099" s="149"/>
      <c r="AC1099" s="67"/>
      <c r="AD1099" s="55"/>
    </row>
    <row r="1100" spans="1:30" s="52" customFormat="1">
      <c r="A1100" s="105"/>
      <c r="B1100" s="24"/>
      <c r="C1100" s="242"/>
      <c r="D1100" s="30">
        <f>$C1099*D1099</f>
        <v>0</v>
      </c>
      <c r="E1100" s="30">
        <f t="shared" ref="E1100" si="1913">$C1099*E1099</f>
        <v>0</v>
      </c>
      <c r="F1100" s="30">
        <f t="shared" ref="F1100" si="1914">$C1099*F1099</f>
        <v>0</v>
      </c>
      <c r="G1100" s="30">
        <f t="shared" ref="G1100:AB1100" si="1915">$C1099*G1099</f>
        <v>0</v>
      </c>
      <c r="H1100" s="30">
        <f t="shared" si="1915"/>
        <v>2696.7409320000002</v>
      </c>
      <c r="I1100" s="30">
        <f t="shared" si="1915"/>
        <v>0</v>
      </c>
      <c r="J1100" s="30">
        <f t="shared" si="1915"/>
        <v>0</v>
      </c>
      <c r="K1100" s="30">
        <f t="shared" si="1915"/>
        <v>0</v>
      </c>
      <c r="L1100" s="30">
        <f t="shared" si="1915"/>
        <v>160.37886600000002</v>
      </c>
      <c r="M1100" s="30">
        <f t="shared" si="1915"/>
        <v>0</v>
      </c>
      <c r="N1100" s="30">
        <f t="shared" si="1915"/>
        <v>0</v>
      </c>
      <c r="O1100" s="30">
        <f t="shared" si="1915"/>
        <v>0</v>
      </c>
      <c r="P1100" s="30">
        <f t="shared" si="1915"/>
        <v>17.819873999999999</v>
      </c>
      <c r="Q1100" s="30">
        <f t="shared" si="1915"/>
        <v>0</v>
      </c>
      <c r="R1100" s="30">
        <f t="shared" si="1915"/>
        <v>617.75563199999999</v>
      </c>
      <c r="S1100" s="30">
        <f t="shared" si="1915"/>
        <v>0</v>
      </c>
      <c r="T1100" s="30">
        <f t="shared" si="1915"/>
        <v>52319.150064000001</v>
      </c>
      <c r="U1100" s="30">
        <f t="shared" si="1915"/>
        <v>0</v>
      </c>
      <c r="V1100" s="30">
        <f t="shared" si="1915"/>
        <v>1657.248282</v>
      </c>
      <c r="W1100" s="30">
        <f t="shared" si="1915"/>
        <v>1930.4863500000001</v>
      </c>
      <c r="X1100" s="30">
        <f t="shared" si="1915"/>
        <v>0</v>
      </c>
      <c r="Y1100" s="30">
        <f t="shared" si="1915"/>
        <v>0</v>
      </c>
      <c r="Z1100" s="30">
        <f t="shared" si="1915"/>
        <v>0</v>
      </c>
      <c r="AA1100" s="30">
        <f t="shared" si="1915"/>
        <v>0</v>
      </c>
      <c r="AB1100" s="30">
        <f t="shared" si="1915"/>
        <v>0</v>
      </c>
      <c r="AC1100" s="67"/>
      <c r="AD1100" s="55"/>
    </row>
    <row r="1101" spans="1:30" s="52" customFormat="1">
      <c r="A1101" s="96" t="s">
        <v>347</v>
      </c>
      <c r="B1101" s="29">
        <f xml:space="preserve"> 449252/2</f>
        <v>224626</v>
      </c>
      <c r="C1101" s="242">
        <f t="shared" si="1903"/>
        <v>18718.830000000002</v>
      </c>
      <c r="D1101" s="170">
        <v>1.6500000000000001E-2</v>
      </c>
      <c r="E1101" s="170">
        <v>0.1368</v>
      </c>
      <c r="F1101" s="170">
        <v>5.7599999999999998E-2</v>
      </c>
      <c r="G1101" s="170">
        <v>8.0399999999999999E-2</v>
      </c>
      <c r="H1101" s="170">
        <v>4.1099999999999998E-2</v>
      </c>
      <c r="I1101" s="170">
        <v>0.13389999999999999</v>
      </c>
      <c r="J1101" s="170">
        <v>2.12E-2</v>
      </c>
      <c r="K1101" s="170">
        <v>3.2500000000000001E-2</v>
      </c>
      <c r="L1101" s="170">
        <v>1.7100000000000001E-2</v>
      </c>
      <c r="M1101" s="170">
        <v>2.5999999999999999E-2</v>
      </c>
      <c r="N1101" s="170">
        <v>0.13320000000000001</v>
      </c>
      <c r="O1101" s="170">
        <v>1.89E-2</v>
      </c>
      <c r="P1101" s="170">
        <v>0</v>
      </c>
      <c r="Q1101" s="170">
        <v>3.8600000000000002E-2</v>
      </c>
      <c r="R1101" s="170">
        <v>1.9E-2</v>
      </c>
      <c r="S1101" s="170">
        <v>4.1999999999999997E-3</v>
      </c>
      <c r="T1101" s="170">
        <v>5.3999999999999999E-2</v>
      </c>
      <c r="U1101" s="170">
        <v>1.78E-2</v>
      </c>
      <c r="V1101" s="170">
        <v>3.6700000000000003E-2</v>
      </c>
      <c r="W1101" s="170">
        <v>4.7199999999999999E-2</v>
      </c>
      <c r="X1101" s="170">
        <v>6.3899999999999998E-2</v>
      </c>
      <c r="Y1101" s="170">
        <v>2.5999999999999999E-3</v>
      </c>
      <c r="Z1101" s="171">
        <v>0</v>
      </c>
      <c r="AA1101" s="171">
        <v>8.0000000000000004E-4</v>
      </c>
      <c r="AB1101" s="171">
        <v>0</v>
      </c>
      <c r="AC1101" s="67"/>
      <c r="AD1101" s="55"/>
    </row>
    <row r="1102" spans="1:30" s="52" customFormat="1">
      <c r="A1102" s="97"/>
      <c r="B1102" s="30"/>
      <c r="C1102" s="242"/>
      <c r="D1102" s="6">
        <f>$C1101*D1101</f>
        <v>308.86069500000002</v>
      </c>
      <c r="E1102" s="6">
        <f t="shared" ref="E1102" si="1916">$C1101*E1101</f>
        <v>2560.7359440000005</v>
      </c>
      <c r="F1102" s="6">
        <f t="shared" ref="F1102" si="1917">$C1101*F1101</f>
        <v>1078.204608</v>
      </c>
      <c r="G1102" s="6">
        <f t="shared" ref="G1102:AB1102" si="1918">$C1101*G1101</f>
        <v>1504.9939320000001</v>
      </c>
      <c r="H1102" s="6">
        <f t="shared" si="1918"/>
        <v>769.34391300000004</v>
      </c>
      <c r="I1102" s="6">
        <f t="shared" si="1918"/>
        <v>2506.451337</v>
      </c>
      <c r="J1102" s="6">
        <f t="shared" si="1918"/>
        <v>396.83919600000002</v>
      </c>
      <c r="K1102" s="6">
        <f t="shared" si="1918"/>
        <v>608.36197500000003</v>
      </c>
      <c r="L1102" s="6">
        <f t="shared" si="1918"/>
        <v>320.09199300000006</v>
      </c>
      <c r="M1102" s="6">
        <f t="shared" si="1918"/>
        <v>486.68958000000003</v>
      </c>
      <c r="N1102" s="6">
        <f t="shared" si="1918"/>
        <v>2493.3481560000005</v>
      </c>
      <c r="O1102" s="6">
        <f t="shared" si="1918"/>
        <v>353.78588700000006</v>
      </c>
      <c r="P1102" s="6">
        <f t="shared" si="1918"/>
        <v>0</v>
      </c>
      <c r="Q1102" s="6">
        <f t="shared" si="1918"/>
        <v>722.54683800000009</v>
      </c>
      <c r="R1102" s="6">
        <f t="shared" si="1918"/>
        <v>355.65777000000003</v>
      </c>
      <c r="S1102" s="6">
        <f t="shared" si="1918"/>
        <v>78.619085999999996</v>
      </c>
      <c r="T1102" s="6">
        <f t="shared" si="1918"/>
        <v>1010.8168200000001</v>
      </c>
      <c r="U1102" s="6">
        <f t="shared" si="1918"/>
        <v>333.19517400000001</v>
      </c>
      <c r="V1102" s="6">
        <f t="shared" si="1918"/>
        <v>686.98106100000018</v>
      </c>
      <c r="W1102" s="6">
        <f t="shared" si="1918"/>
        <v>883.52877600000011</v>
      </c>
      <c r="X1102" s="6">
        <f t="shared" si="1918"/>
        <v>1196.133237</v>
      </c>
      <c r="Y1102" s="6">
        <f t="shared" si="1918"/>
        <v>48.668958000000003</v>
      </c>
      <c r="Z1102" s="6">
        <f t="shared" si="1918"/>
        <v>0</v>
      </c>
      <c r="AA1102" s="6">
        <f t="shared" si="1918"/>
        <v>14.975064000000001</v>
      </c>
      <c r="AB1102" s="6">
        <f t="shared" si="1918"/>
        <v>0</v>
      </c>
      <c r="AC1102" s="67"/>
      <c r="AD1102" s="55"/>
    </row>
    <row r="1103" spans="1:30" s="52" customFormat="1">
      <c r="A1103" s="96" t="s">
        <v>463</v>
      </c>
      <c r="B1103" s="29">
        <f xml:space="preserve"> 449252/2</f>
        <v>224626</v>
      </c>
      <c r="C1103" s="242">
        <f t="shared" si="1903"/>
        <v>18718.830000000002</v>
      </c>
      <c r="D1103" s="171">
        <v>8.6699999999999999E-2</v>
      </c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171">
        <v>0.9133</v>
      </c>
      <c r="U1103" s="5"/>
      <c r="V1103" s="5"/>
      <c r="W1103" s="5"/>
      <c r="X1103" s="5"/>
      <c r="Y1103" s="5"/>
      <c r="Z1103" s="5"/>
      <c r="AA1103" s="5"/>
      <c r="AB1103" s="5"/>
      <c r="AC1103" s="67"/>
      <c r="AD1103" s="55"/>
    </row>
    <row r="1104" spans="1:30" s="52" customFormat="1">
      <c r="A1104" s="97"/>
      <c r="B1104" s="12"/>
      <c r="C1104" s="242"/>
      <c r="D1104" s="6">
        <f t="shared" ref="D1104" si="1919">$C1103*D1103</f>
        <v>1622.9225610000001</v>
      </c>
      <c r="E1104" s="6">
        <f t="shared" ref="E1104" si="1920">$C1103*E1103</f>
        <v>0</v>
      </c>
      <c r="F1104" s="6">
        <f t="shared" ref="F1104:O1104" si="1921">$C1103*F1103</f>
        <v>0</v>
      </c>
      <c r="G1104" s="6">
        <f t="shared" si="1921"/>
        <v>0</v>
      </c>
      <c r="H1104" s="6">
        <f t="shared" si="1921"/>
        <v>0</v>
      </c>
      <c r="I1104" s="6">
        <f t="shared" si="1921"/>
        <v>0</v>
      </c>
      <c r="J1104" s="6">
        <f t="shared" si="1921"/>
        <v>0</v>
      </c>
      <c r="K1104" s="6">
        <f t="shared" si="1921"/>
        <v>0</v>
      </c>
      <c r="L1104" s="6">
        <f t="shared" si="1921"/>
        <v>0</v>
      </c>
      <c r="M1104" s="6">
        <f t="shared" si="1921"/>
        <v>0</v>
      </c>
      <c r="N1104" s="6">
        <f t="shared" si="1921"/>
        <v>0</v>
      </c>
      <c r="O1104" s="6">
        <f t="shared" si="1921"/>
        <v>0</v>
      </c>
      <c r="P1104" s="6">
        <f t="shared" ref="P1104" si="1922">$C1103*P1103</f>
        <v>0</v>
      </c>
      <c r="Q1104" s="6">
        <f t="shared" ref="Q1104" si="1923">$C1103*Q1103</f>
        <v>0</v>
      </c>
      <c r="R1104" s="6">
        <f t="shared" ref="R1104:AB1104" si="1924">$C1103*R1103</f>
        <v>0</v>
      </c>
      <c r="S1104" s="6">
        <f t="shared" si="1924"/>
        <v>0</v>
      </c>
      <c r="T1104" s="6">
        <f t="shared" si="1924"/>
        <v>17095.907439000002</v>
      </c>
      <c r="U1104" s="6">
        <f t="shared" si="1924"/>
        <v>0</v>
      </c>
      <c r="V1104" s="6">
        <f t="shared" si="1924"/>
        <v>0</v>
      </c>
      <c r="W1104" s="6">
        <f t="shared" si="1924"/>
        <v>0</v>
      </c>
      <c r="X1104" s="6">
        <f t="shared" si="1924"/>
        <v>0</v>
      </c>
      <c r="Y1104" s="6">
        <f t="shared" si="1924"/>
        <v>0</v>
      </c>
      <c r="Z1104" s="6">
        <f t="shared" si="1924"/>
        <v>0</v>
      </c>
      <c r="AA1104" s="6">
        <f t="shared" si="1924"/>
        <v>0</v>
      </c>
      <c r="AB1104" s="6">
        <f t="shared" si="1924"/>
        <v>0</v>
      </c>
      <c r="AC1104" s="67"/>
      <c r="AD1104" s="55"/>
    </row>
    <row r="1105" spans="1:30" s="52" customFormat="1">
      <c r="A1105" s="96" t="s">
        <v>348</v>
      </c>
      <c r="B1105" s="29">
        <f xml:space="preserve"> 606082/2</f>
        <v>303041</v>
      </c>
      <c r="C1105" s="242">
        <f t="shared" si="1903"/>
        <v>25253.42</v>
      </c>
      <c r="D1105" s="170">
        <v>1.6500000000000001E-2</v>
      </c>
      <c r="E1105" s="170">
        <v>0.1368</v>
      </c>
      <c r="F1105" s="170">
        <v>5.7599999999999998E-2</v>
      </c>
      <c r="G1105" s="170">
        <v>8.0399999999999999E-2</v>
      </c>
      <c r="H1105" s="170">
        <v>4.1099999999999998E-2</v>
      </c>
      <c r="I1105" s="170">
        <v>0.13389999999999999</v>
      </c>
      <c r="J1105" s="170">
        <v>2.12E-2</v>
      </c>
      <c r="K1105" s="170">
        <v>3.2500000000000001E-2</v>
      </c>
      <c r="L1105" s="170">
        <v>1.7100000000000001E-2</v>
      </c>
      <c r="M1105" s="170">
        <v>2.5999999999999999E-2</v>
      </c>
      <c r="N1105" s="170">
        <v>0.13320000000000001</v>
      </c>
      <c r="O1105" s="170">
        <v>1.89E-2</v>
      </c>
      <c r="P1105" s="170">
        <v>0</v>
      </c>
      <c r="Q1105" s="170">
        <v>3.8600000000000002E-2</v>
      </c>
      <c r="R1105" s="170">
        <v>1.9E-2</v>
      </c>
      <c r="S1105" s="170">
        <v>4.1999999999999997E-3</v>
      </c>
      <c r="T1105" s="170">
        <v>5.3999999999999999E-2</v>
      </c>
      <c r="U1105" s="170">
        <v>1.78E-2</v>
      </c>
      <c r="V1105" s="170">
        <v>3.6700000000000003E-2</v>
      </c>
      <c r="W1105" s="170">
        <v>4.7199999999999999E-2</v>
      </c>
      <c r="X1105" s="170">
        <v>6.3899999999999998E-2</v>
      </c>
      <c r="Y1105" s="170">
        <v>2.5999999999999999E-3</v>
      </c>
      <c r="Z1105" s="171">
        <v>0</v>
      </c>
      <c r="AA1105" s="171">
        <v>8.0000000000000004E-4</v>
      </c>
      <c r="AB1105" s="171">
        <v>0</v>
      </c>
      <c r="AC1105" s="67"/>
      <c r="AD1105" s="55"/>
    </row>
    <row r="1106" spans="1:30" s="52" customFormat="1">
      <c r="A1106" s="97"/>
      <c r="B1106" s="62"/>
      <c r="C1106" s="242"/>
      <c r="D1106" s="6">
        <f>$C1105*D1105</f>
        <v>416.68142999999998</v>
      </c>
      <c r="E1106" s="6">
        <f t="shared" ref="E1106" si="1925">$C1105*E1105</f>
        <v>3454.667856</v>
      </c>
      <c r="F1106" s="6">
        <f t="shared" ref="F1106" si="1926">$C1105*F1105</f>
        <v>1454.5969919999998</v>
      </c>
      <c r="G1106" s="6">
        <f t="shared" ref="G1106:AB1106" si="1927">$C1105*G1105</f>
        <v>2030.3749679999999</v>
      </c>
      <c r="H1106" s="6">
        <f t="shared" si="1927"/>
        <v>1037.9155619999999</v>
      </c>
      <c r="I1106" s="6">
        <f t="shared" si="1927"/>
        <v>3381.4329379999995</v>
      </c>
      <c r="J1106" s="6">
        <f t="shared" si="1927"/>
        <v>535.37250399999994</v>
      </c>
      <c r="K1106" s="6">
        <f t="shared" si="1927"/>
        <v>820.73614999999995</v>
      </c>
      <c r="L1106" s="6">
        <f t="shared" si="1927"/>
        <v>431.833482</v>
      </c>
      <c r="M1106" s="6">
        <f t="shared" si="1927"/>
        <v>656.58891999999992</v>
      </c>
      <c r="N1106" s="6">
        <f t="shared" si="1927"/>
        <v>3363.7555440000001</v>
      </c>
      <c r="O1106" s="6">
        <f t="shared" si="1927"/>
        <v>477.28963799999997</v>
      </c>
      <c r="P1106" s="6">
        <f t="shared" si="1927"/>
        <v>0</v>
      </c>
      <c r="Q1106" s="6">
        <f t="shared" si="1927"/>
        <v>974.78201200000001</v>
      </c>
      <c r="R1106" s="6">
        <f t="shared" si="1927"/>
        <v>479.81497999999993</v>
      </c>
      <c r="S1106" s="6">
        <f t="shared" si="1927"/>
        <v>106.06436399999998</v>
      </c>
      <c r="T1106" s="6">
        <f t="shared" si="1927"/>
        <v>1363.6846799999998</v>
      </c>
      <c r="U1106" s="6">
        <f t="shared" si="1927"/>
        <v>449.51087599999994</v>
      </c>
      <c r="V1106" s="6">
        <f t="shared" si="1927"/>
        <v>926.80051400000002</v>
      </c>
      <c r="W1106" s="6">
        <f t="shared" si="1927"/>
        <v>1191.9614239999999</v>
      </c>
      <c r="X1106" s="6">
        <f t="shared" si="1927"/>
        <v>1613.6935379999998</v>
      </c>
      <c r="Y1106" s="6">
        <f t="shared" si="1927"/>
        <v>65.658891999999994</v>
      </c>
      <c r="Z1106" s="6">
        <f t="shared" si="1927"/>
        <v>0</v>
      </c>
      <c r="AA1106" s="6">
        <f t="shared" si="1927"/>
        <v>20.202735999999998</v>
      </c>
      <c r="AB1106" s="6">
        <f t="shared" si="1927"/>
        <v>0</v>
      </c>
      <c r="AC1106" s="67"/>
      <c r="AD1106" s="55"/>
    </row>
    <row r="1107" spans="1:30" s="52" customFormat="1">
      <c r="A1107" s="96" t="s">
        <v>464</v>
      </c>
      <c r="B1107" s="29">
        <f xml:space="preserve"> 606082/2</f>
        <v>303041</v>
      </c>
      <c r="C1107" s="242">
        <f t="shared" si="1903"/>
        <v>25253.42</v>
      </c>
      <c r="D1107" s="171">
        <v>5.8200000000000002E-2</v>
      </c>
      <c r="E1107" s="5"/>
      <c r="F1107" s="5"/>
      <c r="G1107" s="5"/>
      <c r="H1107" s="5"/>
      <c r="I1107" s="5"/>
      <c r="J1107" s="5"/>
      <c r="K1107" s="5"/>
      <c r="L1107" s="5"/>
      <c r="M1107" s="171">
        <v>6.7400000000000002E-2</v>
      </c>
      <c r="N1107" s="5"/>
      <c r="O1107" s="5"/>
      <c r="P1107" s="5"/>
      <c r="Q1107" s="171">
        <v>0.1358</v>
      </c>
      <c r="R1107" s="5"/>
      <c r="S1107" s="171">
        <v>3.2000000000000002E-3</v>
      </c>
      <c r="T1107" s="171">
        <v>0.47420000000000001</v>
      </c>
      <c r="U1107" s="5"/>
      <c r="V1107" s="5"/>
      <c r="W1107" s="5"/>
      <c r="X1107" s="171">
        <v>0.25109999999999999</v>
      </c>
      <c r="Y1107" s="171">
        <v>1.01E-2</v>
      </c>
      <c r="Z1107" s="5"/>
      <c r="AA1107" s="5"/>
      <c r="AB1107" s="5"/>
      <c r="AC1107" s="67"/>
      <c r="AD1107" s="55"/>
    </row>
    <row r="1108" spans="1:30" s="52" customFormat="1">
      <c r="A1108" s="97"/>
      <c r="B1108" s="12"/>
      <c r="C1108" s="242"/>
      <c r="D1108" s="6">
        <f t="shared" ref="D1108" si="1928">$C1107*D1107</f>
        <v>1469.7490439999999</v>
      </c>
      <c r="E1108" s="6">
        <f t="shared" ref="E1108" si="1929">$C1107*E1107</f>
        <v>0</v>
      </c>
      <c r="F1108" s="6">
        <f t="shared" ref="F1108:O1108" si="1930">$C1107*F1107</f>
        <v>0</v>
      </c>
      <c r="G1108" s="6">
        <f t="shared" si="1930"/>
        <v>0</v>
      </c>
      <c r="H1108" s="6">
        <f t="shared" si="1930"/>
        <v>0</v>
      </c>
      <c r="I1108" s="6">
        <f t="shared" si="1930"/>
        <v>0</v>
      </c>
      <c r="J1108" s="6">
        <f t="shared" si="1930"/>
        <v>0</v>
      </c>
      <c r="K1108" s="6">
        <f t="shared" si="1930"/>
        <v>0</v>
      </c>
      <c r="L1108" s="6">
        <f t="shared" si="1930"/>
        <v>0</v>
      </c>
      <c r="M1108" s="6">
        <f t="shared" si="1930"/>
        <v>1702.080508</v>
      </c>
      <c r="N1108" s="6">
        <f t="shared" si="1930"/>
        <v>0</v>
      </c>
      <c r="O1108" s="6">
        <f t="shared" si="1930"/>
        <v>0</v>
      </c>
      <c r="P1108" s="6">
        <f t="shared" ref="P1108" si="1931">$C1107*P1107</f>
        <v>0</v>
      </c>
      <c r="Q1108" s="6">
        <f t="shared" ref="Q1108" si="1932">$C1107*Q1107</f>
        <v>3429.414436</v>
      </c>
      <c r="R1108" s="6">
        <f t="shared" ref="R1108:AB1108" si="1933">$C1107*R1107</f>
        <v>0</v>
      </c>
      <c r="S1108" s="6">
        <f t="shared" si="1933"/>
        <v>80.810943999999992</v>
      </c>
      <c r="T1108" s="6">
        <f t="shared" si="1933"/>
        <v>11975.171763999999</v>
      </c>
      <c r="U1108" s="6">
        <f t="shared" si="1933"/>
        <v>0</v>
      </c>
      <c r="V1108" s="6">
        <f t="shared" si="1933"/>
        <v>0</v>
      </c>
      <c r="W1108" s="6">
        <f t="shared" si="1933"/>
        <v>0</v>
      </c>
      <c r="X1108" s="6">
        <f t="shared" si="1933"/>
        <v>6341.1337619999995</v>
      </c>
      <c r="Y1108" s="6">
        <f t="shared" si="1933"/>
        <v>255.05954199999996</v>
      </c>
      <c r="Z1108" s="6">
        <f t="shared" si="1933"/>
        <v>0</v>
      </c>
      <c r="AA1108" s="6">
        <f t="shared" si="1933"/>
        <v>0</v>
      </c>
      <c r="AB1108" s="6">
        <f t="shared" si="1933"/>
        <v>0</v>
      </c>
      <c r="AC1108" s="67"/>
      <c r="AD1108" s="55"/>
    </row>
    <row r="1109" spans="1:30" s="52" customFormat="1">
      <c r="A1109" s="157" t="s">
        <v>364</v>
      </c>
      <c r="B1109" s="29">
        <v>2007561</v>
      </c>
      <c r="C1109" s="242">
        <f t="shared" si="1903"/>
        <v>167296.75</v>
      </c>
      <c r="D1109" s="149"/>
      <c r="E1109" s="37"/>
      <c r="F1109" s="40"/>
      <c r="G1109" s="40"/>
      <c r="H1109" s="149">
        <v>3.0499999999999999E-2</v>
      </c>
      <c r="I1109" s="149"/>
      <c r="J1109" s="149"/>
      <c r="K1109" s="149"/>
      <c r="L1109" s="40"/>
      <c r="M1109" s="149"/>
      <c r="N1109" s="149"/>
      <c r="O1109" s="149"/>
      <c r="P1109" s="149">
        <v>2.0999999999999999E-3</v>
      </c>
      <c r="Q1109" s="149"/>
      <c r="R1109" s="149">
        <v>8.3000000000000001E-3</v>
      </c>
      <c r="S1109" s="149"/>
      <c r="T1109" s="149">
        <v>0.91359999999999997</v>
      </c>
      <c r="U1109" s="149"/>
      <c r="V1109" s="149">
        <v>1.9300000000000001E-2</v>
      </c>
      <c r="W1109" s="149">
        <v>2.46E-2</v>
      </c>
      <c r="X1109" s="149"/>
      <c r="Y1109" s="149"/>
      <c r="Z1109" s="149">
        <v>1.6000000000000001E-3</v>
      </c>
      <c r="AA1109" s="149">
        <v>0</v>
      </c>
      <c r="AB1109" s="149">
        <v>0</v>
      </c>
      <c r="AC1109" s="67"/>
      <c r="AD1109" s="55"/>
    </row>
    <row r="1110" spans="1:30" s="52" customFormat="1">
      <c r="A1110" s="105"/>
      <c r="B1110" s="24"/>
      <c r="C1110" s="242"/>
      <c r="D1110" s="30">
        <f>$C1109*D1109</f>
        <v>0</v>
      </c>
      <c r="E1110" s="30">
        <f t="shared" ref="E1110" si="1934">$C1109*E1109</f>
        <v>0</v>
      </c>
      <c r="F1110" s="30">
        <f t="shared" ref="F1110" si="1935">$C1109*F1109</f>
        <v>0</v>
      </c>
      <c r="G1110" s="30">
        <f t="shared" ref="G1110:AB1110" si="1936">$C1109*G1109</f>
        <v>0</v>
      </c>
      <c r="H1110" s="30">
        <f t="shared" si="1936"/>
        <v>5102.5508749999999</v>
      </c>
      <c r="I1110" s="30">
        <f t="shared" si="1936"/>
        <v>0</v>
      </c>
      <c r="J1110" s="30">
        <f t="shared" si="1936"/>
        <v>0</v>
      </c>
      <c r="K1110" s="30">
        <f t="shared" si="1936"/>
        <v>0</v>
      </c>
      <c r="L1110" s="30">
        <f t="shared" si="1936"/>
        <v>0</v>
      </c>
      <c r="M1110" s="30">
        <f t="shared" si="1936"/>
        <v>0</v>
      </c>
      <c r="N1110" s="30">
        <f t="shared" si="1936"/>
        <v>0</v>
      </c>
      <c r="O1110" s="30">
        <f t="shared" si="1936"/>
        <v>0</v>
      </c>
      <c r="P1110" s="30">
        <f t="shared" si="1936"/>
        <v>351.32317499999999</v>
      </c>
      <c r="Q1110" s="30">
        <f t="shared" si="1936"/>
        <v>0</v>
      </c>
      <c r="R1110" s="30">
        <f t="shared" si="1936"/>
        <v>1388.5630249999999</v>
      </c>
      <c r="S1110" s="30">
        <f t="shared" si="1936"/>
        <v>0</v>
      </c>
      <c r="T1110" s="30">
        <f t="shared" si="1936"/>
        <v>152842.31080000001</v>
      </c>
      <c r="U1110" s="30">
        <f t="shared" si="1936"/>
        <v>0</v>
      </c>
      <c r="V1110" s="30">
        <f t="shared" si="1936"/>
        <v>3228.8272750000001</v>
      </c>
      <c r="W1110" s="30">
        <f t="shared" si="1936"/>
        <v>4115.5000499999996</v>
      </c>
      <c r="X1110" s="30">
        <f t="shared" si="1936"/>
        <v>0</v>
      </c>
      <c r="Y1110" s="30">
        <f t="shared" si="1936"/>
        <v>0</v>
      </c>
      <c r="Z1110" s="30">
        <f t="shared" si="1936"/>
        <v>267.6748</v>
      </c>
      <c r="AA1110" s="30">
        <f t="shared" si="1936"/>
        <v>0</v>
      </c>
      <c r="AB1110" s="30">
        <f t="shared" si="1936"/>
        <v>0</v>
      </c>
      <c r="AC1110" s="67"/>
      <c r="AD1110" s="55"/>
    </row>
    <row r="1111" spans="1:30" s="52" customFormat="1">
      <c r="A1111" s="157" t="s">
        <v>349</v>
      </c>
      <c r="B1111" s="29">
        <v>4454800</v>
      </c>
      <c r="C1111" s="242">
        <f t="shared" si="1903"/>
        <v>371233.33</v>
      </c>
      <c r="D1111" s="149"/>
      <c r="E1111" s="37"/>
      <c r="F1111" s="40"/>
      <c r="G1111" s="40">
        <v>1.23E-2</v>
      </c>
      <c r="H1111" s="149"/>
      <c r="I1111" s="149"/>
      <c r="J1111" s="149"/>
      <c r="K1111" s="149"/>
      <c r="L1111" s="40"/>
      <c r="M1111" s="149"/>
      <c r="N1111" s="149"/>
      <c r="O1111" s="149"/>
      <c r="P1111" s="149">
        <v>4.3E-3</v>
      </c>
      <c r="Q1111" s="149">
        <v>6.0199999999999997E-2</v>
      </c>
      <c r="R1111" s="149"/>
      <c r="S1111" s="149">
        <v>5.8999999999999999E-3</v>
      </c>
      <c r="T1111" s="149">
        <v>0.69620000000000004</v>
      </c>
      <c r="U1111" s="149"/>
      <c r="V1111" s="149"/>
      <c r="W1111" s="149"/>
      <c r="X1111" s="149">
        <v>0.20830000000000001</v>
      </c>
      <c r="Y1111" s="149">
        <v>8.3000000000000001E-3</v>
      </c>
      <c r="Z1111" s="149">
        <v>4.4999999999999997E-3</v>
      </c>
      <c r="AA1111" s="149">
        <v>0</v>
      </c>
      <c r="AB1111" s="149">
        <v>0</v>
      </c>
      <c r="AC1111" s="67"/>
      <c r="AD1111" s="55"/>
    </row>
    <row r="1112" spans="1:30" s="52" customFormat="1">
      <c r="A1112" s="105"/>
      <c r="B1112" s="24"/>
      <c r="C1112" s="242"/>
      <c r="D1112" s="30">
        <f>$C1111*D1111</f>
        <v>0</v>
      </c>
      <c r="E1112" s="30">
        <f t="shared" ref="E1112" si="1937">$C1111*E1111</f>
        <v>0</v>
      </c>
      <c r="F1112" s="30">
        <f t="shared" ref="F1112" si="1938">$C1111*F1111</f>
        <v>0</v>
      </c>
      <c r="G1112" s="30">
        <f t="shared" ref="G1112:AB1112" si="1939">$C1111*G1111</f>
        <v>4566.1699589999998</v>
      </c>
      <c r="H1112" s="30">
        <f t="shared" si="1939"/>
        <v>0</v>
      </c>
      <c r="I1112" s="30">
        <f t="shared" si="1939"/>
        <v>0</v>
      </c>
      <c r="J1112" s="30">
        <f t="shared" si="1939"/>
        <v>0</v>
      </c>
      <c r="K1112" s="30">
        <f t="shared" si="1939"/>
        <v>0</v>
      </c>
      <c r="L1112" s="30">
        <f t="shared" si="1939"/>
        <v>0</v>
      </c>
      <c r="M1112" s="30">
        <f t="shared" si="1939"/>
        <v>0</v>
      </c>
      <c r="N1112" s="30">
        <f t="shared" si="1939"/>
        <v>0</v>
      </c>
      <c r="O1112" s="30">
        <f t="shared" si="1939"/>
        <v>0</v>
      </c>
      <c r="P1112" s="30">
        <f t="shared" si="1939"/>
        <v>1596.3033190000001</v>
      </c>
      <c r="Q1112" s="30">
        <f t="shared" si="1939"/>
        <v>22348.246466000001</v>
      </c>
      <c r="R1112" s="30">
        <f t="shared" si="1939"/>
        <v>0</v>
      </c>
      <c r="S1112" s="30">
        <f t="shared" si="1939"/>
        <v>2190.2766470000001</v>
      </c>
      <c r="T1112" s="30">
        <f t="shared" si="1939"/>
        <v>258452.64434600002</v>
      </c>
      <c r="U1112" s="30">
        <f t="shared" si="1939"/>
        <v>0</v>
      </c>
      <c r="V1112" s="30">
        <f t="shared" si="1939"/>
        <v>0</v>
      </c>
      <c r="W1112" s="30">
        <f t="shared" si="1939"/>
        <v>0</v>
      </c>
      <c r="X1112" s="30">
        <f t="shared" si="1939"/>
        <v>77327.902639000007</v>
      </c>
      <c r="Y1112" s="30">
        <f t="shared" si="1939"/>
        <v>3081.2366390000002</v>
      </c>
      <c r="Z1112" s="30">
        <f t="shared" si="1939"/>
        <v>1670.5499849999999</v>
      </c>
      <c r="AA1112" s="30">
        <f t="shared" si="1939"/>
        <v>0</v>
      </c>
      <c r="AB1112" s="30">
        <f t="shared" si="1939"/>
        <v>0</v>
      </c>
      <c r="AC1112" s="67"/>
      <c r="AD1112" s="55"/>
    </row>
    <row r="1113" spans="1:30" s="52" customFormat="1">
      <c r="A1113" s="157" t="s">
        <v>350</v>
      </c>
      <c r="B1113" s="29">
        <v>2693506</v>
      </c>
      <c r="C1113" s="242">
        <f t="shared" si="1903"/>
        <v>224458.83</v>
      </c>
      <c r="D1113" s="10">
        <v>1.2500000000000001E-2</v>
      </c>
      <c r="E1113" s="37"/>
      <c r="F1113" s="5"/>
      <c r="G1113" s="5"/>
      <c r="H1113" s="10"/>
      <c r="I1113" s="10"/>
      <c r="J1113" s="10"/>
      <c r="K1113" s="10"/>
      <c r="L1113" s="5"/>
      <c r="M1113" s="10">
        <v>3.1099999999999999E-2</v>
      </c>
      <c r="N1113" s="10"/>
      <c r="O1113" s="10"/>
      <c r="P1113" s="10"/>
      <c r="Q1113" s="10"/>
      <c r="R1113" s="10"/>
      <c r="S1113" s="10"/>
      <c r="T1113" s="10">
        <v>0.95640000000000003</v>
      </c>
      <c r="U1113" s="10"/>
      <c r="V1113" s="10"/>
      <c r="W1113" s="10"/>
      <c r="X1113" s="10"/>
      <c r="Y1113" s="10"/>
      <c r="Z1113" s="10"/>
      <c r="AA1113" s="10"/>
      <c r="AB1113" s="10"/>
      <c r="AC1113" s="67"/>
      <c r="AD1113" s="55"/>
    </row>
    <row r="1114" spans="1:30" s="52" customFormat="1">
      <c r="A1114" s="105"/>
      <c r="B1114" s="24"/>
      <c r="C1114" s="242"/>
      <c r="D1114" s="30">
        <f>$C1113*D1113</f>
        <v>2805.7353750000002</v>
      </c>
      <c r="E1114" s="30">
        <f t="shared" ref="E1114" si="1940">$C1113*E1113</f>
        <v>0</v>
      </c>
      <c r="F1114" s="30">
        <f t="shared" ref="F1114" si="1941">$C1113*F1113</f>
        <v>0</v>
      </c>
      <c r="G1114" s="30">
        <f t="shared" ref="G1114:AB1114" si="1942">$C1113*G1113</f>
        <v>0</v>
      </c>
      <c r="H1114" s="30">
        <f t="shared" si="1942"/>
        <v>0</v>
      </c>
      <c r="I1114" s="30">
        <f t="shared" si="1942"/>
        <v>0</v>
      </c>
      <c r="J1114" s="30">
        <f t="shared" si="1942"/>
        <v>0</v>
      </c>
      <c r="K1114" s="30">
        <f t="shared" si="1942"/>
        <v>0</v>
      </c>
      <c r="L1114" s="30">
        <f t="shared" si="1942"/>
        <v>0</v>
      </c>
      <c r="M1114" s="30">
        <f t="shared" si="1942"/>
        <v>6980.6696129999991</v>
      </c>
      <c r="N1114" s="30">
        <f t="shared" si="1942"/>
        <v>0</v>
      </c>
      <c r="O1114" s="30">
        <f t="shared" si="1942"/>
        <v>0</v>
      </c>
      <c r="P1114" s="30">
        <f t="shared" si="1942"/>
        <v>0</v>
      </c>
      <c r="Q1114" s="30">
        <f t="shared" si="1942"/>
        <v>0</v>
      </c>
      <c r="R1114" s="30">
        <f t="shared" si="1942"/>
        <v>0</v>
      </c>
      <c r="S1114" s="30">
        <f t="shared" si="1942"/>
        <v>0</v>
      </c>
      <c r="T1114" s="30">
        <f t="shared" si="1942"/>
        <v>214672.42501199999</v>
      </c>
      <c r="U1114" s="30">
        <f t="shared" si="1942"/>
        <v>0</v>
      </c>
      <c r="V1114" s="30">
        <f t="shared" si="1942"/>
        <v>0</v>
      </c>
      <c r="W1114" s="30">
        <f t="shared" si="1942"/>
        <v>0</v>
      </c>
      <c r="X1114" s="30">
        <f t="shared" si="1942"/>
        <v>0</v>
      </c>
      <c r="Y1114" s="30">
        <f t="shared" si="1942"/>
        <v>0</v>
      </c>
      <c r="Z1114" s="30">
        <f t="shared" si="1942"/>
        <v>0</v>
      </c>
      <c r="AA1114" s="30">
        <f t="shared" si="1942"/>
        <v>0</v>
      </c>
      <c r="AB1114" s="30">
        <f t="shared" si="1942"/>
        <v>0</v>
      </c>
      <c r="AC1114" s="67"/>
      <c r="AD1114" s="55"/>
    </row>
    <row r="1115" spans="1:30" s="52" customFormat="1">
      <c r="A1115" s="157" t="s">
        <v>351</v>
      </c>
      <c r="B1115" s="29">
        <v>2506458</v>
      </c>
      <c r="C1115" s="242">
        <f t="shared" si="1903"/>
        <v>208871.5</v>
      </c>
      <c r="D1115" s="149"/>
      <c r="E1115" s="37"/>
      <c r="F1115" s="40"/>
      <c r="G1115" s="40"/>
      <c r="H1115" s="149"/>
      <c r="I1115" s="149"/>
      <c r="J1115" s="149"/>
      <c r="K1115" s="149"/>
      <c r="L1115" s="40"/>
      <c r="M1115" s="149"/>
      <c r="N1115" s="149"/>
      <c r="O1115" s="149"/>
      <c r="P1115" s="149">
        <v>1.34E-2</v>
      </c>
      <c r="Q1115" s="149"/>
      <c r="R1115" s="149"/>
      <c r="S1115" s="149"/>
      <c r="T1115" s="149">
        <v>0.97040000000000004</v>
      </c>
      <c r="U1115" s="149"/>
      <c r="V1115" s="149"/>
      <c r="W1115" s="149"/>
      <c r="X1115" s="149"/>
      <c r="Y1115" s="149"/>
      <c r="Z1115" s="149">
        <v>1.6199999999999999E-2</v>
      </c>
      <c r="AA1115" s="149">
        <v>0</v>
      </c>
      <c r="AB1115" s="149">
        <v>0</v>
      </c>
      <c r="AC1115" s="67"/>
      <c r="AD1115" s="55"/>
    </row>
    <row r="1116" spans="1:30" s="52" customFormat="1">
      <c r="A1116" s="105"/>
      <c r="B1116" s="24"/>
      <c r="C1116" s="242"/>
      <c r="D1116" s="30">
        <f>$C1115*D1115</f>
        <v>0</v>
      </c>
      <c r="E1116" s="30">
        <f t="shared" ref="E1116" si="1943">$C1115*E1115</f>
        <v>0</v>
      </c>
      <c r="F1116" s="30">
        <f t="shared" ref="F1116" si="1944">$C1115*F1115</f>
        <v>0</v>
      </c>
      <c r="G1116" s="30">
        <f t="shared" ref="G1116:AB1116" si="1945">$C1115*G1115</f>
        <v>0</v>
      </c>
      <c r="H1116" s="30">
        <f t="shared" si="1945"/>
        <v>0</v>
      </c>
      <c r="I1116" s="30">
        <f t="shared" si="1945"/>
        <v>0</v>
      </c>
      <c r="J1116" s="30">
        <f t="shared" si="1945"/>
        <v>0</v>
      </c>
      <c r="K1116" s="30">
        <f t="shared" si="1945"/>
        <v>0</v>
      </c>
      <c r="L1116" s="30">
        <f t="shared" si="1945"/>
        <v>0</v>
      </c>
      <c r="M1116" s="30">
        <f t="shared" si="1945"/>
        <v>0</v>
      </c>
      <c r="N1116" s="30">
        <f t="shared" si="1945"/>
        <v>0</v>
      </c>
      <c r="O1116" s="30">
        <f t="shared" si="1945"/>
        <v>0</v>
      </c>
      <c r="P1116" s="30">
        <f t="shared" si="1945"/>
        <v>2798.8780999999999</v>
      </c>
      <c r="Q1116" s="30">
        <f t="shared" si="1945"/>
        <v>0</v>
      </c>
      <c r="R1116" s="30">
        <f t="shared" si="1945"/>
        <v>0</v>
      </c>
      <c r="S1116" s="30">
        <f t="shared" si="1945"/>
        <v>0</v>
      </c>
      <c r="T1116" s="30">
        <f t="shared" si="1945"/>
        <v>202688.90360000002</v>
      </c>
      <c r="U1116" s="30">
        <f t="shared" si="1945"/>
        <v>0</v>
      </c>
      <c r="V1116" s="30">
        <f t="shared" si="1945"/>
        <v>0</v>
      </c>
      <c r="W1116" s="30">
        <f t="shared" si="1945"/>
        <v>0</v>
      </c>
      <c r="X1116" s="30">
        <f t="shared" si="1945"/>
        <v>0</v>
      </c>
      <c r="Y1116" s="30">
        <f t="shared" si="1945"/>
        <v>0</v>
      </c>
      <c r="Z1116" s="30">
        <f t="shared" si="1945"/>
        <v>3383.7183</v>
      </c>
      <c r="AA1116" s="30">
        <f t="shared" si="1945"/>
        <v>0</v>
      </c>
      <c r="AB1116" s="30">
        <f t="shared" si="1945"/>
        <v>0</v>
      </c>
      <c r="AC1116" s="67"/>
      <c r="AD1116" s="55"/>
    </row>
    <row r="1117" spans="1:30" s="52" customFormat="1">
      <c r="A1117" s="157" t="s">
        <v>352</v>
      </c>
      <c r="B1117" s="29">
        <v>2573658</v>
      </c>
      <c r="C1117" s="242">
        <f t="shared" si="1903"/>
        <v>214471.5</v>
      </c>
      <c r="D1117" s="149"/>
      <c r="E1117" s="37"/>
      <c r="F1117" s="40"/>
      <c r="G1117" s="40"/>
      <c r="H1117" s="149"/>
      <c r="I1117" s="149"/>
      <c r="J1117" s="149"/>
      <c r="K1117" s="149"/>
      <c r="L1117" s="40"/>
      <c r="M1117" s="149"/>
      <c r="N1117" s="149"/>
      <c r="O1117" s="149"/>
      <c r="P1117" s="149">
        <v>3.8E-3</v>
      </c>
      <c r="Q1117" s="149">
        <v>5.0799999999999998E-2</v>
      </c>
      <c r="R1117" s="149"/>
      <c r="S1117" s="149">
        <v>5.4000000000000003E-3</v>
      </c>
      <c r="T1117" s="149">
        <v>0.78849999999999998</v>
      </c>
      <c r="U1117" s="149"/>
      <c r="V1117" s="149"/>
      <c r="W1117" s="149"/>
      <c r="X1117" s="149">
        <v>0.14199999999999999</v>
      </c>
      <c r="Y1117" s="149">
        <v>5.5999999999999999E-3</v>
      </c>
      <c r="Z1117" s="149">
        <v>3.8999999999999998E-3</v>
      </c>
      <c r="AA1117" s="149">
        <v>0</v>
      </c>
      <c r="AB1117" s="149">
        <v>0</v>
      </c>
      <c r="AC1117" s="67"/>
      <c r="AD1117" s="55"/>
    </row>
    <row r="1118" spans="1:30" s="52" customFormat="1">
      <c r="A1118" s="105"/>
      <c r="B1118" s="24"/>
      <c r="C1118" s="242"/>
      <c r="D1118" s="30">
        <f>$C1117*D1117</f>
        <v>0</v>
      </c>
      <c r="E1118" s="30">
        <f t="shared" ref="E1118" si="1946">$C1117*E1117</f>
        <v>0</v>
      </c>
      <c r="F1118" s="30">
        <f t="shared" ref="F1118" si="1947">$C1117*F1117</f>
        <v>0</v>
      </c>
      <c r="G1118" s="30">
        <f t="shared" ref="G1118:AB1118" si="1948">$C1117*G1117</f>
        <v>0</v>
      </c>
      <c r="H1118" s="30">
        <f t="shared" si="1948"/>
        <v>0</v>
      </c>
      <c r="I1118" s="30">
        <f t="shared" si="1948"/>
        <v>0</v>
      </c>
      <c r="J1118" s="30">
        <f t="shared" si="1948"/>
        <v>0</v>
      </c>
      <c r="K1118" s="30">
        <f t="shared" si="1948"/>
        <v>0</v>
      </c>
      <c r="L1118" s="30">
        <f t="shared" si="1948"/>
        <v>0</v>
      </c>
      <c r="M1118" s="30">
        <f t="shared" si="1948"/>
        <v>0</v>
      </c>
      <c r="N1118" s="30">
        <f t="shared" si="1948"/>
        <v>0</v>
      </c>
      <c r="O1118" s="30">
        <f t="shared" si="1948"/>
        <v>0</v>
      </c>
      <c r="P1118" s="30">
        <f t="shared" si="1948"/>
        <v>814.99170000000004</v>
      </c>
      <c r="Q1118" s="30">
        <f t="shared" si="1948"/>
        <v>10895.1522</v>
      </c>
      <c r="R1118" s="30">
        <f t="shared" si="1948"/>
        <v>0</v>
      </c>
      <c r="S1118" s="30">
        <f t="shared" si="1948"/>
        <v>1158.1461000000002</v>
      </c>
      <c r="T1118" s="30">
        <f t="shared" si="1948"/>
        <v>169110.77775000001</v>
      </c>
      <c r="U1118" s="30">
        <f t="shared" si="1948"/>
        <v>0</v>
      </c>
      <c r="V1118" s="30">
        <f t="shared" si="1948"/>
        <v>0</v>
      </c>
      <c r="W1118" s="30">
        <f t="shared" si="1948"/>
        <v>0</v>
      </c>
      <c r="X1118" s="30">
        <f t="shared" si="1948"/>
        <v>30454.952999999998</v>
      </c>
      <c r="Y1118" s="30">
        <f t="shared" si="1948"/>
        <v>1201.0404000000001</v>
      </c>
      <c r="Z1118" s="30">
        <f t="shared" si="1948"/>
        <v>836.43885</v>
      </c>
      <c r="AA1118" s="30">
        <f t="shared" si="1948"/>
        <v>0</v>
      </c>
      <c r="AB1118" s="30">
        <f t="shared" si="1948"/>
        <v>0</v>
      </c>
      <c r="AC1118" s="67"/>
      <c r="AD1118" s="55"/>
    </row>
    <row r="1119" spans="1:30" s="52" customFormat="1">
      <c r="A1119" s="157" t="s">
        <v>353</v>
      </c>
      <c r="B1119" s="29">
        <v>1663365</v>
      </c>
      <c r="C1119" s="242">
        <f t="shared" si="1903"/>
        <v>138613.75</v>
      </c>
      <c r="D1119" s="149"/>
      <c r="E1119" s="37"/>
      <c r="F1119" s="40"/>
      <c r="G1119" s="40"/>
      <c r="H1119" s="149"/>
      <c r="I1119" s="149"/>
      <c r="J1119" s="149"/>
      <c r="K1119" s="149"/>
      <c r="L1119" s="40"/>
      <c r="M1119" s="149"/>
      <c r="N1119" s="149"/>
      <c r="O1119" s="149"/>
      <c r="P1119" s="149">
        <v>4.0000000000000002E-4</v>
      </c>
      <c r="Q1119" s="149"/>
      <c r="R1119" s="149"/>
      <c r="S1119" s="149"/>
      <c r="T1119" s="149">
        <v>0.99960000000000004</v>
      </c>
      <c r="U1119" s="149"/>
      <c r="V1119" s="149"/>
      <c r="W1119" s="149"/>
      <c r="X1119" s="149"/>
      <c r="Y1119" s="149"/>
      <c r="Z1119" s="149"/>
      <c r="AA1119" s="149"/>
      <c r="AB1119" s="149"/>
      <c r="AC1119" s="67"/>
      <c r="AD1119" s="55"/>
    </row>
    <row r="1120" spans="1:30" s="52" customFormat="1">
      <c r="A1120" s="105"/>
      <c r="B1120" s="24"/>
      <c r="C1120" s="242"/>
      <c r="D1120" s="30">
        <f>$C1119*D1119</f>
        <v>0</v>
      </c>
      <c r="E1120" s="30">
        <f t="shared" ref="E1120" si="1949">$C1119*E1119</f>
        <v>0</v>
      </c>
      <c r="F1120" s="30">
        <f t="shared" ref="F1120" si="1950">$C1119*F1119</f>
        <v>0</v>
      </c>
      <c r="G1120" s="30">
        <f t="shared" ref="G1120:AB1120" si="1951">$C1119*G1119</f>
        <v>0</v>
      </c>
      <c r="H1120" s="30">
        <f t="shared" si="1951"/>
        <v>0</v>
      </c>
      <c r="I1120" s="30">
        <f t="shared" si="1951"/>
        <v>0</v>
      </c>
      <c r="J1120" s="30">
        <f t="shared" si="1951"/>
        <v>0</v>
      </c>
      <c r="K1120" s="30">
        <f t="shared" si="1951"/>
        <v>0</v>
      </c>
      <c r="L1120" s="30">
        <f t="shared" si="1951"/>
        <v>0</v>
      </c>
      <c r="M1120" s="30">
        <f t="shared" si="1951"/>
        <v>0</v>
      </c>
      <c r="N1120" s="30">
        <f t="shared" si="1951"/>
        <v>0</v>
      </c>
      <c r="O1120" s="30">
        <f t="shared" si="1951"/>
        <v>0</v>
      </c>
      <c r="P1120" s="30">
        <f t="shared" si="1951"/>
        <v>55.445500000000003</v>
      </c>
      <c r="Q1120" s="30">
        <f t="shared" si="1951"/>
        <v>0</v>
      </c>
      <c r="R1120" s="30">
        <f t="shared" si="1951"/>
        <v>0</v>
      </c>
      <c r="S1120" s="30">
        <f t="shared" si="1951"/>
        <v>0</v>
      </c>
      <c r="T1120" s="30">
        <f t="shared" si="1951"/>
        <v>138558.3045</v>
      </c>
      <c r="U1120" s="30">
        <f t="shared" si="1951"/>
        <v>0</v>
      </c>
      <c r="V1120" s="30">
        <f t="shared" si="1951"/>
        <v>0</v>
      </c>
      <c r="W1120" s="30">
        <f t="shared" si="1951"/>
        <v>0</v>
      </c>
      <c r="X1120" s="30">
        <f t="shared" si="1951"/>
        <v>0</v>
      </c>
      <c r="Y1120" s="30">
        <f t="shared" si="1951"/>
        <v>0</v>
      </c>
      <c r="Z1120" s="30">
        <f t="shared" si="1951"/>
        <v>0</v>
      </c>
      <c r="AA1120" s="30">
        <f t="shared" si="1951"/>
        <v>0</v>
      </c>
      <c r="AB1120" s="30">
        <f t="shared" si="1951"/>
        <v>0</v>
      </c>
      <c r="AC1120" s="67"/>
      <c r="AD1120" s="55"/>
    </row>
    <row r="1121" spans="1:30" s="52" customFormat="1">
      <c r="A1121" s="157" t="s">
        <v>354</v>
      </c>
      <c r="B1121" s="29">
        <v>1179805</v>
      </c>
      <c r="C1121" s="242">
        <f t="shared" si="1903"/>
        <v>98317.08</v>
      </c>
      <c r="D1121" s="149"/>
      <c r="E1121" s="37"/>
      <c r="F1121" s="40"/>
      <c r="G1121" s="40"/>
      <c r="H1121" s="149"/>
      <c r="I1121" s="149"/>
      <c r="J1121" s="149"/>
      <c r="K1121" s="149"/>
      <c r="L1121" s="40"/>
      <c r="M1121" s="149"/>
      <c r="N1121" s="149"/>
      <c r="O1121" s="149"/>
      <c r="P1121" s="149">
        <v>3.2000000000000002E-3</v>
      </c>
      <c r="Q1121" s="149">
        <v>4.1399999999999999E-2</v>
      </c>
      <c r="R1121" s="149"/>
      <c r="S1121" s="149">
        <v>4.4000000000000003E-3</v>
      </c>
      <c r="T1121" s="149">
        <v>0.82189999999999996</v>
      </c>
      <c r="U1121" s="149"/>
      <c r="V1121" s="149"/>
      <c r="W1121" s="149"/>
      <c r="X1121" s="149">
        <v>0.121</v>
      </c>
      <c r="Y1121" s="149">
        <v>4.7999999999999996E-3</v>
      </c>
      <c r="Z1121" s="149">
        <v>3.3E-3</v>
      </c>
      <c r="AA1121" s="149">
        <v>0</v>
      </c>
      <c r="AB1121" s="149">
        <v>0</v>
      </c>
      <c r="AC1121" s="67"/>
      <c r="AD1121" s="55"/>
    </row>
    <row r="1122" spans="1:30" s="52" customFormat="1">
      <c r="A1122" s="105"/>
      <c r="B1122" s="24"/>
      <c r="C1122" s="242"/>
      <c r="D1122" s="30">
        <f>$C1121*D1121</f>
        <v>0</v>
      </c>
      <c r="E1122" s="30">
        <f t="shared" ref="E1122" si="1952">$C1121*E1121</f>
        <v>0</v>
      </c>
      <c r="F1122" s="30">
        <f t="shared" ref="F1122" si="1953">$C1121*F1121</f>
        <v>0</v>
      </c>
      <c r="G1122" s="30">
        <f t="shared" ref="G1122:AB1122" si="1954">$C1121*G1121</f>
        <v>0</v>
      </c>
      <c r="H1122" s="30">
        <f t="shared" si="1954"/>
        <v>0</v>
      </c>
      <c r="I1122" s="30">
        <f t="shared" si="1954"/>
        <v>0</v>
      </c>
      <c r="J1122" s="30">
        <f t="shared" si="1954"/>
        <v>0</v>
      </c>
      <c r="K1122" s="30">
        <f t="shared" si="1954"/>
        <v>0</v>
      </c>
      <c r="L1122" s="30">
        <f t="shared" si="1954"/>
        <v>0</v>
      </c>
      <c r="M1122" s="30">
        <f t="shared" si="1954"/>
        <v>0</v>
      </c>
      <c r="N1122" s="30">
        <f t="shared" si="1954"/>
        <v>0</v>
      </c>
      <c r="O1122" s="30">
        <f t="shared" si="1954"/>
        <v>0</v>
      </c>
      <c r="P1122" s="30">
        <f t="shared" si="1954"/>
        <v>314.61465600000002</v>
      </c>
      <c r="Q1122" s="30">
        <f t="shared" si="1954"/>
        <v>4070.3271119999999</v>
      </c>
      <c r="R1122" s="30">
        <f t="shared" si="1954"/>
        <v>0</v>
      </c>
      <c r="S1122" s="30">
        <f t="shared" si="1954"/>
        <v>432.59515200000004</v>
      </c>
      <c r="T1122" s="30">
        <f t="shared" si="1954"/>
        <v>80806.808051999993</v>
      </c>
      <c r="U1122" s="30">
        <f t="shared" si="1954"/>
        <v>0</v>
      </c>
      <c r="V1122" s="30">
        <f t="shared" si="1954"/>
        <v>0</v>
      </c>
      <c r="W1122" s="30">
        <f t="shared" si="1954"/>
        <v>0</v>
      </c>
      <c r="X1122" s="30">
        <f t="shared" si="1954"/>
        <v>11896.366679999999</v>
      </c>
      <c r="Y1122" s="30">
        <f t="shared" si="1954"/>
        <v>471.92198399999995</v>
      </c>
      <c r="Z1122" s="30">
        <f t="shared" si="1954"/>
        <v>324.44636400000002</v>
      </c>
      <c r="AA1122" s="30">
        <f t="shared" si="1954"/>
        <v>0</v>
      </c>
      <c r="AB1122" s="30">
        <f t="shared" si="1954"/>
        <v>0</v>
      </c>
      <c r="AC1122" s="67"/>
      <c r="AD1122" s="55"/>
    </row>
    <row r="1123" spans="1:30" s="52" customFormat="1">
      <c r="A1123" s="157" t="s">
        <v>355</v>
      </c>
      <c r="B1123" s="29">
        <v>250240</v>
      </c>
      <c r="C1123" s="242">
        <f t="shared" si="1903"/>
        <v>20853.330000000002</v>
      </c>
      <c r="D1123" s="149"/>
      <c r="E1123" s="37"/>
      <c r="F1123" s="40"/>
      <c r="G1123" s="40"/>
      <c r="H1123" s="149"/>
      <c r="I1123" s="149"/>
      <c r="J1123" s="149"/>
      <c r="K1123" s="149"/>
      <c r="L1123" s="40"/>
      <c r="M1123" s="149"/>
      <c r="N1123" s="149"/>
      <c r="O1123" s="149"/>
      <c r="P1123" s="149"/>
      <c r="Q1123" s="149">
        <v>0.17299999999999999</v>
      </c>
      <c r="R1123" s="149"/>
      <c r="S1123" s="149">
        <v>1.6899999999999998E-2</v>
      </c>
      <c r="T1123" s="149">
        <v>0.45090000000000002</v>
      </c>
      <c r="U1123" s="149"/>
      <c r="V1123" s="149"/>
      <c r="W1123" s="149"/>
      <c r="X1123" s="149">
        <v>0.33679999999999999</v>
      </c>
      <c r="Y1123" s="149">
        <v>1.3100000000000001E-2</v>
      </c>
      <c r="Z1123" s="149">
        <v>9.2999999999999992E-3</v>
      </c>
      <c r="AA1123" s="149">
        <v>0</v>
      </c>
      <c r="AB1123" s="149">
        <v>0</v>
      </c>
      <c r="AC1123" s="67"/>
      <c r="AD1123" s="55"/>
    </row>
    <row r="1124" spans="1:30" s="52" customFormat="1">
      <c r="A1124" s="105"/>
      <c r="B1124" s="24"/>
      <c r="C1124" s="242"/>
      <c r="D1124" s="30">
        <f>$C1123*D1123</f>
        <v>0</v>
      </c>
      <c r="E1124" s="30">
        <f t="shared" ref="E1124" si="1955">$C1123*E1123</f>
        <v>0</v>
      </c>
      <c r="F1124" s="30">
        <f t="shared" ref="F1124" si="1956">$C1123*F1123</f>
        <v>0</v>
      </c>
      <c r="G1124" s="30">
        <f t="shared" ref="G1124:AB1124" si="1957">$C1123*G1123</f>
        <v>0</v>
      </c>
      <c r="H1124" s="30">
        <f t="shared" si="1957"/>
        <v>0</v>
      </c>
      <c r="I1124" s="30">
        <f t="shared" si="1957"/>
        <v>0</v>
      </c>
      <c r="J1124" s="30">
        <f t="shared" si="1957"/>
        <v>0</v>
      </c>
      <c r="K1124" s="30">
        <f t="shared" si="1957"/>
        <v>0</v>
      </c>
      <c r="L1124" s="30">
        <f t="shared" si="1957"/>
        <v>0</v>
      </c>
      <c r="M1124" s="30">
        <f t="shared" si="1957"/>
        <v>0</v>
      </c>
      <c r="N1124" s="30">
        <f t="shared" si="1957"/>
        <v>0</v>
      </c>
      <c r="O1124" s="30">
        <f t="shared" si="1957"/>
        <v>0</v>
      </c>
      <c r="P1124" s="30">
        <f t="shared" si="1957"/>
        <v>0</v>
      </c>
      <c r="Q1124" s="30">
        <f t="shared" si="1957"/>
        <v>3607.6260900000002</v>
      </c>
      <c r="R1124" s="30">
        <f t="shared" si="1957"/>
        <v>0</v>
      </c>
      <c r="S1124" s="30">
        <f t="shared" si="1957"/>
        <v>352.42127699999998</v>
      </c>
      <c r="T1124" s="30">
        <f t="shared" si="1957"/>
        <v>9402.7664970000005</v>
      </c>
      <c r="U1124" s="30">
        <f t="shared" si="1957"/>
        <v>0</v>
      </c>
      <c r="V1124" s="30">
        <f t="shared" si="1957"/>
        <v>0</v>
      </c>
      <c r="W1124" s="30">
        <f t="shared" si="1957"/>
        <v>0</v>
      </c>
      <c r="X1124" s="30">
        <f t="shared" si="1957"/>
        <v>7023.4015440000003</v>
      </c>
      <c r="Y1124" s="30">
        <f t="shared" si="1957"/>
        <v>273.17862300000002</v>
      </c>
      <c r="Z1124" s="30">
        <f t="shared" si="1957"/>
        <v>193.935969</v>
      </c>
      <c r="AA1124" s="30">
        <f t="shared" si="1957"/>
        <v>0</v>
      </c>
      <c r="AB1124" s="30">
        <f t="shared" si="1957"/>
        <v>0</v>
      </c>
      <c r="AC1124" s="67"/>
      <c r="AD1124" s="55"/>
    </row>
    <row r="1125" spans="1:30" s="52" customFormat="1">
      <c r="A1125" s="157" t="s">
        <v>356</v>
      </c>
      <c r="B1125" s="29">
        <v>312135</v>
      </c>
      <c r="C1125" s="242">
        <f t="shared" si="1903"/>
        <v>26011.25</v>
      </c>
      <c r="D1125" s="10">
        <v>8.5800000000000001E-2</v>
      </c>
      <c r="E1125" s="37"/>
      <c r="F1125" s="5"/>
      <c r="G1125" s="5"/>
      <c r="H1125" s="10"/>
      <c r="I1125" s="10"/>
      <c r="J1125" s="10"/>
      <c r="K1125" s="10"/>
      <c r="L1125" s="5"/>
      <c r="M1125" s="10">
        <v>7.7600000000000002E-2</v>
      </c>
      <c r="N1125" s="10"/>
      <c r="O1125" s="10"/>
      <c r="P1125" s="10"/>
      <c r="Q1125" s="10"/>
      <c r="R1125" s="10"/>
      <c r="S1125" s="10"/>
      <c r="T1125" s="10">
        <v>0.83660000000000001</v>
      </c>
      <c r="U1125" s="10"/>
      <c r="V1125" s="10"/>
      <c r="W1125" s="10"/>
      <c r="X1125" s="10"/>
      <c r="Y1125" s="10"/>
      <c r="Z1125" s="10"/>
      <c r="AA1125" s="10"/>
      <c r="AB1125" s="10"/>
      <c r="AC1125" s="67"/>
      <c r="AD1125" s="55"/>
    </row>
    <row r="1126" spans="1:30" s="52" customFormat="1">
      <c r="A1126" s="105"/>
      <c r="B1126" s="24"/>
      <c r="C1126" s="242"/>
      <c r="D1126" s="30">
        <f>$C1125*D1125</f>
        <v>2231.7652499999999</v>
      </c>
      <c r="E1126" s="30">
        <f t="shared" ref="E1126" si="1958">$C1125*E1125</f>
        <v>0</v>
      </c>
      <c r="F1126" s="30">
        <f t="shared" ref="F1126" si="1959">$C1125*F1125</f>
        <v>0</v>
      </c>
      <c r="G1126" s="30">
        <f t="shared" ref="G1126:AB1126" si="1960">$C1125*G1125</f>
        <v>0</v>
      </c>
      <c r="H1126" s="30">
        <f t="shared" si="1960"/>
        <v>0</v>
      </c>
      <c r="I1126" s="30">
        <f t="shared" si="1960"/>
        <v>0</v>
      </c>
      <c r="J1126" s="30">
        <f t="shared" si="1960"/>
        <v>0</v>
      </c>
      <c r="K1126" s="30">
        <f t="shared" si="1960"/>
        <v>0</v>
      </c>
      <c r="L1126" s="30">
        <f t="shared" si="1960"/>
        <v>0</v>
      </c>
      <c r="M1126" s="30">
        <f t="shared" si="1960"/>
        <v>2018.473</v>
      </c>
      <c r="N1126" s="30">
        <f t="shared" si="1960"/>
        <v>0</v>
      </c>
      <c r="O1126" s="30">
        <f t="shared" si="1960"/>
        <v>0</v>
      </c>
      <c r="P1126" s="30">
        <f t="shared" si="1960"/>
        <v>0</v>
      </c>
      <c r="Q1126" s="30">
        <f t="shared" si="1960"/>
        <v>0</v>
      </c>
      <c r="R1126" s="30">
        <f t="shared" si="1960"/>
        <v>0</v>
      </c>
      <c r="S1126" s="30">
        <f t="shared" si="1960"/>
        <v>0</v>
      </c>
      <c r="T1126" s="30">
        <f t="shared" si="1960"/>
        <v>21761.011750000001</v>
      </c>
      <c r="U1126" s="30">
        <f t="shared" si="1960"/>
        <v>0</v>
      </c>
      <c r="V1126" s="30">
        <f t="shared" si="1960"/>
        <v>0</v>
      </c>
      <c r="W1126" s="30">
        <f t="shared" si="1960"/>
        <v>0</v>
      </c>
      <c r="X1126" s="30">
        <f t="shared" si="1960"/>
        <v>0</v>
      </c>
      <c r="Y1126" s="30">
        <f t="shared" si="1960"/>
        <v>0</v>
      </c>
      <c r="Z1126" s="30">
        <f t="shared" si="1960"/>
        <v>0</v>
      </c>
      <c r="AA1126" s="30">
        <f t="shared" si="1960"/>
        <v>0</v>
      </c>
      <c r="AB1126" s="30">
        <f t="shared" si="1960"/>
        <v>0</v>
      </c>
      <c r="AC1126" s="67"/>
      <c r="AD1126" s="55"/>
    </row>
    <row r="1127" spans="1:30" s="52" customFormat="1">
      <c r="A1127" s="157" t="s">
        <v>357</v>
      </c>
      <c r="B1127" s="29">
        <v>349633</v>
      </c>
      <c r="C1127" s="242">
        <f t="shared" si="1903"/>
        <v>29136.080000000002</v>
      </c>
      <c r="D1127" s="10">
        <v>8.5800000000000001E-2</v>
      </c>
      <c r="E1127" s="37"/>
      <c r="F1127" s="5"/>
      <c r="G1127" s="5"/>
      <c r="H1127" s="10"/>
      <c r="I1127" s="10"/>
      <c r="J1127" s="10"/>
      <c r="K1127" s="10"/>
      <c r="L1127" s="5"/>
      <c r="M1127" s="10">
        <v>7.7600000000000002E-2</v>
      </c>
      <c r="N1127" s="10"/>
      <c r="O1127" s="10"/>
      <c r="P1127" s="10"/>
      <c r="Q1127" s="10"/>
      <c r="R1127" s="10"/>
      <c r="S1127" s="10"/>
      <c r="T1127" s="10">
        <v>0.83660000000000001</v>
      </c>
      <c r="U1127" s="10"/>
      <c r="V1127" s="10"/>
      <c r="W1127" s="10"/>
      <c r="X1127" s="10"/>
      <c r="Y1127" s="10"/>
      <c r="Z1127" s="10"/>
      <c r="AA1127" s="10"/>
      <c r="AB1127" s="10"/>
      <c r="AC1127" s="67"/>
      <c r="AD1127" s="55"/>
    </row>
    <row r="1128" spans="1:30" s="52" customFormat="1">
      <c r="A1128" s="105"/>
      <c r="B1128" s="24"/>
      <c r="C1128" s="242"/>
      <c r="D1128" s="30">
        <f>$C1127*D1127</f>
        <v>2499.8756640000001</v>
      </c>
      <c r="E1128" s="30">
        <f t="shared" ref="E1128" si="1961">$C1127*E1127</f>
        <v>0</v>
      </c>
      <c r="F1128" s="30">
        <f t="shared" ref="F1128" si="1962">$C1127*F1127</f>
        <v>0</v>
      </c>
      <c r="G1128" s="30">
        <f t="shared" ref="G1128:AB1128" si="1963">$C1127*G1127</f>
        <v>0</v>
      </c>
      <c r="H1128" s="30">
        <f t="shared" si="1963"/>
        <v>0</v>
      </c>
      <c r="I1128" s="30">
        <f t="shared" si="1963"/>
        <v>0</v>
      </c>
      <c r="J1128" s="30">
        <f t="shared" si="1963"/>
        <v>0</v>
      </c>
      <c r="K1128" s="30">
        <f t="shared" si="1963"/>
        <v>0</v>
      </c>
      <c r="L1128" s="30">
        <f t="shared" si="1963"/>
        <v>0</v>
      </c>
      <c r="M1128" s="30">
        <f t="shared" si="1963"/>
        <v>2260.9598080000001</v>
      </c>
      <c r="N1128" s="30">
        <f t="shared" si="1963"/>
        <v>0</v>
      </c>
      <c r="O1128" s="30">
        <f t="shared" si="1963"/>
        <v>0</v>
      </c>
      <c r="P1128" s="30">
        <f t="shared" si="1963"/>
        <v>0</v>
      </c>
      <c r="Q1128" s="30">
        <f t="shared" si="1963"/>
        <v>0</v>
      </c>
      <c r="R1128" s="30">
        <f t="shared" si="1963"/>
        <v>0</v>
      </c>
      <c r="S1128" s="30">
        <f t="shared" si="1963"/>
        <v>0</v>
      </c>
      <c r="T1128" s="30">
        <f t="shared" si="1963"/>
        <v>24375.244528000003</v>
      </c>
      <c r="U1128" s="30">
        <f t="shared" si="1963"/>
        <v>0</v>
      </c>
      <c r="V1128" s="30">
        <f t="shared" si="1963"/>
        <v>0</v>
      </c>
      <c r="W1128" s="30">
        <f t="shared" si="1963"/>
        <v>0</v>
      </c>
      <c r="X1128" s="30">
        <f t="shared" si="1963"/>
        <v>0</v>
      </c>
      <c r="Y1128" s="30">
        <f t="shared" si="1963"/>
        <v>0</v>
      </c>
      <c r="Z1128" s="30">
        <f t="shared" si="1963"/>
        <v>0</v>
      </c>
      <c r="AA1128" s="30">
        <f t="shared" si="1963"/>
        <v>0</v>
      </c>
      <c r="AB1128" s="30">
        <f t="shared" si="1963"/>
        <v>0</v>
      </c>
      <c r="AC1128" s="67"/>
      <c r="AD1128" s="55"/>
    </row>
    <row r="1129" spans="1:30" s="52" customFormat="1">
      <c r="A1129" s="157" t="s">
        <v>358</v>
      </c>
      <c r="B1129" s="29">
        <v>342651</v>
      </c>
      <c r="C1129" s="242">
        <f t="shared" si="1903"/>
        <v>28554.25</v>
      </c>
      <c r="D1129" s="149">
        <v>7.1999999999999998E-3</v>
      </c>
      <c r="E1129" s="37"/>
      <c r="F1129" s="40"/>
      <c r="G1129" s="40"/>
      <c r="H1129" s="149"/>
      <c r="I1129" s="149"/>
      <c r="J1129" s="149"/>
      <c r="K1129" s="149"/>
      <c r="L1129" s="40"/>
      <c r="M1129" s="149"/>
      <c r="N1129" s="149"/>
      <c r="O1129" s="149"/>
      <c r="P1129" s="149"/>
      <c r="Q1129" s="149">
        <v>0.1736</v>
      </c>
      <c r="R1129" s="149"/>
      <c r="S1129" s="149">
        <v>1.7000000000000001E-2</v>
      </c>
      <c r="T1129" s="149">
        <v>0.44469999999999998</v>
      </c>
      <c r="U1129" s="149"/>
      <c r="V1129" s="149"/>
      <c r="W1129" s="149"/>
      <c r="X1129" s="149">
        <v>0.3352</v>
      </c>
      <c r="Y1129" s="149">
        <v>1.3100000000000001E-2</v>
      </c>
      <c r="Z1129" s="149">
        <v>9.1999999999999998E-3</v>
      </c>
      <c r="AA1129" s="149">
        <v>0</v>
      </c>
      <c r="AB1129" s="149">
        <v>0</v>
      </c>
      <c r="AC1129" s="67"/>
      <c r="AD1129" s="55"/>
    </row>
    <row r="1130" spans="1:30" s="52" customFormat="1">
      <c r="A1130" s="105"/>
      <c r="B1130" s="24"/>
      <c r="C1130" s="242"/>
      <c r="D1130" s="30">
        <f>$C1129*D1129</f>
        <v>205.59059999999999</v>
      </c>
      <c r="E1130" s="30">
        <f t="shared" ref="E1130" si="1964">$C1129*E1129</f>
        <v>0</v>
      </c>
      <c r="F1130" s="30">
        <f t="shared" ref="F1130" si="1965">$C1129*F1129</f>
        <v>0</v>
      </c>
      <c r="G1130" s="30">
        <f t="shared" ref="G1130:AB1130" si="1966">$C1129*G1129</f>
        <v>0</v>
      </c>
      <c r="H1130" s="30">
        <f t="shared" si="1966"/>
        <v>0</v>
      </c>
      <c r="I1130" s="30">
        <f t="shared" si="1966"/>
        <v>0</v>
      </c>
      <c r="J1130" s="30">
        <f t="shared" si="1966"/>
        <v>0</v>
      </c>
      <c r="K1130" s="30">
        <f t="shared" si="1966"/>
        <v>0</v>
      </c>
      <c r="L1130" s="30">
        <f t="shared" si="1966"/>
        <v>0</v>
      </c>
      <c r="M1130" s="30">
        <f t="shared" si="1966"/>
        <v>0</v>
      </c>
      <c r="N1130" s="30">
        <f t="shared" si="1966"/>
        <v>0</v>
      </c>
      <c r="O1130" s="30">
        <f t="shared" si="1966"/>
        <v>0</v>
      </c>
      <c r="P1130" s="30">
        <f t="shared" si="1966"/>
        <v>0</v>
      </c>
      <c r="Q1130" s="30">
        <f t="shared" si="1966"/>
        <v>4957.0178000000005</v>
      </c>
      <c r="R1130" s="30">
        <f t="shared" si="1966"/>
        <v>0</v>
      </c>
      <c r="S1130" s="30">
        <f t="shared" si="1966"/>
        <v>485.42225000000002</v>
      </c>
      <c r="T1130" s="30">
        <f t="shared" si="1966"/>
        <v>12698.074975</v>
      </c>
      <c r="U1130" s="30">
        <f t="shared" si="1966"/>
        <v>0</v>
      </c>
      <c r="V1130" s="30">
        <f t="shared" si="1966"/>
        <v>0</v>
      </c>
      <c r="W1130" s="30">
        <f t="shared" si="1966"/>
        <v>0</v>
      </c>
      <c r="X1130" s="30">
        <f t="shared" si="1966"/>
        <v>9571.3845999999994</v>
      </c>
      <c r="Y1130" s="30">
        <f t="shared" si="1966"/>
        <v>374.060675</v>
      </c>
      <c r="Z1130" s="30">
        <f t="shared" si="1966"/>
        <v>262.69909999999999</v>
      </c>
      <c r="AA1130" s="30">
        <f t="shared" si="1966"/>
        <v>0</v>
      </c>
      <c r="AB1130" s="30">
        <f t="shared" si="1966"/>
        <v>0</v>
      </c>
      <c r="AC1130" s="67"/>
      <c r="AD1130" s="55"/>
    </row>
    <row r="1131" spans="1:30" s="52" customFormat="1">
      <c r="A1131" s="157" t="s">
        <v>359</v>
      </c>
      <c r="B1131" s="29">
        <v>470622</v>
      </c>
      <c r="C1131" s="242">
        <f t="shared" si="1903"/>
        <v>39218.5</v>
      </c>
      <c r="D1131" s="10">
        <v>0.14199999999999999</v>
      </c>
      <c r="E1131" s="37"/>
      <c r="F1131" s="5"/>
      <c r="G1131" s="5"/>
      <c r="H1131" s="10"/>
      <c r="I1131" s="10"/>
      <c r="J1131" s="10"/>
      <c r="K1131" s="10"/>
      <c r="L1131" s="5"/>
      <c r="M1131" s="10">
        <v>0.24390000000000001</v>
      </c>
      <c r="N1131" s="10"/>
      <c r="O1131" s="10"/>
      <c r="P1131" s="10"/>
      <c r="Q1131" s="10"/>
      <c r="R1131" s="10"/>
      <c r="S1131" s="10"/>
      <c r="T1131" s="10">
        <v>0.57940000000000003</v>
      </c>
      <c r="U1131" s="10"/>
      <c r="V1131" s="10"/>
      <c r="W1131" s="10"/>
      <c r="X1131" s="10">
        <v>3.4700000000000002E-2</v>
      </c>
      <c r="Y1131" s="10"/>
      <c r="Z1131" s="10"/>
      <c r="AA1131" s="10"/>
      <c r="AB1131" s="10"/>
      <c r="AC1131" s="67"/>
      <c r="AD1131" s="55"/>
    </row>
    <row r="1132" spans="1:30" s="52" customFormat="1">
      <c r="A1132" s="105"/>
      <c r="B1132" s="24"/>
      <c r="C1132" s="242"/>
      <c r="D1132" s="30">
        <f>$C1131*D1131</f>
        <v>5569.0269999999991</v>
      </c>
      <c r="E1132" s="30">
        <f t="shared" ref="E1132" si="1967">$C1131*E1131</f>
        <v>0</v>
      </c>
      <c r="F1132" s="30">
        <f t="shared" ref="F1132" si="1968">$C1131*F1131</f>
        <v>0</v>
      </c>
      <c r="G1132" s="30">
        <f t="shared" ref="G1132:AB1132" si="1969">$C1131*G1131</f>
        <v>0</v>
      </c>
      <c r="H1132" s="30">
        <f t="shared" si="1969"/>
        <v>0</v>
      </c>
      <c r="I1132" s="30">
        <f t="shared" si="1969"/>
        <v>0</v>
      </c>
      <c r="J1132" s="30">
        <f t="shared" si="1969"/>
        <v>0</v>
      </c>
      <c r="K1132" s="30">
        <f t="shared" si="1969"/>
        <v>0</v>
      </c>
      <c r="L1132" s="30">
        <f t="shared" si="1969"/>
        <v>0</v>
      </c>
      <c r="M1132" s="30">
        <f t="shared" si="1969"/>
        <v>9565.3921499999997</v>
      </c>
      <c r="N1132" s="30">
        <f t="shared" si="1969"/>
        <v>0</v>
      </c>
      <c r="O1132" s="30">
        <f t="shared" si="1969"/>
        <v>0</v>
      </c>
      <c r="P1132" s="30">
        <f t="shared" si="1969"/>
        <v>0</v>
      </c>
      <c r="Q1132" s="30">
        <f t="shared" si="1969"/>
        <v>0</v>
      </c>
      <c r="R1132" s="30">
        <f t="shared" si="1969"/>
        <v>0</v>
      </c>
      <c r="S1132" s="30">
        <f t="shared" si="1969"/>
        <v>0</v>
      </c>
      <c r="T1132" s="30">
        <f t="shared" si="1969"/>
        <v>22723.198899999999</v>
      </c>
      <c r="U1132" s="30">
        <f t="shared" si="1969"/>
        <v>0</v>
      </c>
      <c r="V1132" s="30">
        <f t="shared" si="1969"/>
        <v>0</v>
      </c>
      <c r="W1132" s="30">
        <f t="shared" si="1969"/>
        <v>0</v>
      </c>
      <c r="X1132" s="30">
        <f t="shared" si="1969"/>
        <v>1360.88195</v>
      </c>
      <c r="Y1132" s="30">
        <f t="shared" si="1969"/>
        <v>0</v>
      </c>
      <c r="Z1132" s="30">
        <f t="shared" si="1969"/>
        <v>0</v>
      </c>
      <c r="AA1132" s="30">
        <f t="shared" si="1969"/>
        <v>0</v>
      </c>
      <c r="AB1132" s="30">
        <f t="shared" si="1969"/>
        <v>0</v>
      </c>
      <c r="AC1132" s="67"/>
      <c r="AD1132" s="55"/>
    </row>
    <row r="1133" spans="1:30" s="52" customFormat="1">
      <c r="A1133" s="157" t="s">
        <v>360</v>
      </c>
      <c r="B1133" s="29">
        <v>633392</v>
      </c>
      <c r="C1133" s="242">
        <f t="shared" si="1903"/>
        <v>52782.67</v>
      </c>
      <c r="D1133" s="10">
        <v>0.14199999999999999</v>
      </c>
      <c r="E1133" s="37"/>
      <c r="F1133" s="5"/>
      <c r="G1133" s="5"/>
      <c r="H1133" s="10"/>
      <c r="I1133" s="10"/>
      <c r="J1133" s="10"/>
      <c r="K1133" s="10"/>
      <c r="L1133" s="5"/>
      <c r="M1133" s="10">
        <v>0.24390000000000001</v>
      </c>
      <c r="N1133" s="10"/>
      <c r="O1133" s="10"/>
      <c r="P1133" s="10"/>
      <c r="Q1133" s="10"/>
      <c r="R1133" s="10"/>
      <c r="S1133" s="10"/>
      <c r="T1133" s="10">
        <v>0.57940000000000003</v>
      </c>
      <c r="U1133" s="10"/>
      <c r="V1133" s="10"/>
      <c r="W1133" s="10"/>
      <c r="X1133" s="10">
        <v>3.4700000000000002E-2</v>
      </c>
      <c r="Y1133" s="10"/>
      <c r="Z1133" s="10"/>
      <c r="AA1133" s="10"/>
      <c r="AB1133" s="10"/>
      <c r="AC1133" s="67"/>
      <c r="AD1133" s="55"/>
    </row>
    <row r="1134" spans="1:30" s="52" customFormat="1">
      <c r="A1134" s="105"/>
      <c r="B1134" s="24"/>
      <c r="C1134" s="242"/>
      <c r="D1134" s="30">
        <f>$C1133*D1133</f>
        <v>7495.1391399999993</v>
      </c>
      <c r="E1134" s="30">
        <f t="shared" ref="E1134" si="1970">$C1133*E1133</f>
        <v>0</v>
      </c>
      <c r="F1134" s="30">
        <f t="shared" ref="F1134" si="1971">$C1133*F1133</f>
        <v>0</v>
      </c>
      <c r="G1134" s="30">
        <f t="shared" ref="G1134:AB1134" si="1972">$C1133*G1133</f>
        <v>0</v>
      </c>
      <c r="H1134" s="30">
        <f t="shared" si="1972"/>
        <v>0</v>
      </c>
      <c r="I1134" s="30">
        <f t="shared" si="1972"/>
        <v>0</v>
      </c>
      <c r="J1134" s="30">
        <f t="shared" si="1972"/>
        <v>0</v>
      </c>
      <c r="K1134" s="30">
        <f t="shared" si="1972"/>
        <v>0</v>
      </c>
      <c r="L1134" s="30">
        <f t="shared" si="1972"/>
        <v>0</v>
      </c>
      <c r="M1134" s="30">
        <f t="shared" si="1972"/>
        <v>12873.693213</v>
      </c>
      <c r="N1134" s="30">
        <f t="shared" si="1972"/>
        <v>0</v>
      </c>
      <c r="O1134" s="30">
        <f t="shared" si="1972"/>
        <v>0</v>
      </c>
      <c r="P1134" s="30">
        <f t="shared" si="1972"/>
        <v>0</v>
      </c>
      <c r="Q1134" s="30">
        <f t="shared" si="1972"/>
        <v>0</v>
      </c>
      <c r="R1134" s="30">
        <f t="shared" si="1972"/>
        <v>0</v>
      </c>
      <c r="S1134" s="30">
        <f t="shared" si="1972"/>
        <v>0</v>
      </c>
      <c r="T1134" s="30">
        <f t="shared" si="1972"/>
        <v>30582.278998000002</v>
      </c>
      <c r="U1134" s="30">
        <f t="shared" si="1972"/>
        <v>0</v>
      </c>
      <c r="V1134" s="30">
        <f t="shared" si="1972"/>
        <v>0</v>
      </c>
      <c r="W1134" s="30">
        <f t="shared" si="1972"/>
        <v>0</v>
      </c>
      <c r="X1134" s="30">
        <f t="shared" si="1972"/>
        <v>1831.5586490000001</v>
      </c>
      <c r="Y1134" s="30">
        <f t="shared" si="1972"/>
        <v>0</v>
      </c>
      <c r="Z1134" s="30">
        <f t="shared" si="1972"/>
        <v>0</v>
      </c>
      <c r="AA1134" s="30">
        <f t="shared" si="1972"/>
        <v>0</v>
      </c>
      <c r="AB1134" s="30">
        <f t="shared" si="1972"/>
        <v>0</v>
      </c>
      <c r="AC1134" s="67"/>
      <c r="AD1134" s="55"/>
    </row>
    <row r="1135" spans="1:30" s="52" customFormat="1">
      <c r="A1135" s="157" t="s">
        <v>361</v>
      </c>
      <c r="B1135" s="29">
        <v>358618</v>
      </c>
      <c r="C1135" s="242">
        <f t="shared" si="1903"/>
        <v>29884.83</v>
      </c>
      <c r="D1135" s="10">
        <v>0.65229999999999999</v>
      </c>
      <c r="E1135" s="37"/>
      <c r="F1135" s="5"/>
      <c r="G1135" s="5"/>
      <c r="H1135" s="10"/>
      <c r="I1135" s="10"/>
      <c r="J1135" s="10"/>
      <c r="K1135" s="10"/>
      <c r="L1135" s="5"/>
      <c r="M1135" s="10"/>
      <c r="N1135" s="10"/>
      <c r="O1135" s="10"/>
      <c r="P1135" s="10"/>
      <c r="Q1135" s="10">
        <v>0.25869999999999999</v>
      </c>
      <c r="R1135" s="10"/>
      <c r="S1135" s="10">
        <v>2.5499999999999998E-2</v>
      </c>
      <c r="T1135" s="10"/>
      <c r="U1135" s="10"/>
      <c r="V1135" s="10"/>
      <c r="W1135" s="10"/>
      <c r="X1135" s="10">
        <v>6.3500000000000001E-2</v>
      </c>
      <c r="Y1135" s="10"/>
      <c r="Z1135" s="10"/>
      <c r="AA1135" s="10"/>
      <c r="AB1135" s="10"/>
      <c r="AC1135" s="67"/>
      <c r="AD1135" s="55"/>
    </row>
    <row r="1136" spans="1:30" s="52" customFormat="1">
      <c r="A1136" s="105"/>
      <c r="B1136" s="24"/>
      <c r="C1136" s="242"/>
      <c r="D1136" s="30">
        <f t="shared" ref="D1136" si="1973">$C1135*D1135</f>
        <v>19493.874609000002</v>
      </c>
      <c r="E1136" s="30">
        <f t="shared" ref="E1136" si="1974">$C1135*E1135</f>
        <v>0</v>
      </c>
      <c r="F1136" s="30">
        <f t="shared" ref="F1136:AB1136" si="1975">$C1135*F1135</f>
        <v>0</v>
      </c>
      <c r="G1136" s="30">
        <f t="shared" si="1975"/>
        <v>0</v>
      </c>
      <c r="H1136" s="30">
        <f t="shared" si="1975"/>
        <v>0</v>
      </c>
      <c r="I1136" s="30">
        <f t="shared" si="1975"/>
        <v>0</v>
      </c>
      <c r="J1136" s="30">
        <f t="shared" si="1975"/>
        <v>0</v>
      </c>
      <c r="K1136" s="30">
        <f t="shared" si="1975"/>
        <v>0</v>
      </c>
      <c r="L1136" s="30">
        <f t="shared" si="1975"/>
        <v>0</v>
      </c>
      <c r="M1136" s="30">
        <f t="shared" si="1975"/>
        <v>0</v>
      </c>
      <c r="N1136" s="30">
        <f t="shared" si="1975"/>
        <v>0</v>
      </c>
      <c r="O1136" s="30">
        <f t="shared" si="1975"/>
        <v>0</v>
      </c>
      <c r="P1136" s="30">
        <f t="shared" si="1975"/>
        <v>0</v>
      </c>
      <c r="Q1136" s="30">
        <f t="shared" si="1975"/>
        <v>7731.2055209999999</v>
      </c>
      <c r="R1136" s="30">
        <f t="shared" si="1975"/>
        <v>0</v>
      </c>
      <c r="S1136" s="30">
        <f t="shared" si="1975"/>
        <v>762.06316500000003</v>
      </c>
      <c r="T1136" s="30">
        <f t="shared" si="1975"/>
        <v>0</v>
      </c>
      <c r="U1136" s="30">
        <f t="shared" si="1975"/>
        <v>0</v>
      </c>
      <c r="V1136" s="30">
        <f t="shared" si="1975"/>
        <v>0</v>
      </c>
      <c r="W1136" s="30">
        <f t="shared" si="1975"/>
        <v>0</v>
      </c>
      <c r="X1136" s="30">
        <f t="shared" si="1975"/>
        <v>1897.6867050000001</v>
      </c>
      <c r="Y1136" s="30">
        <f t="shared" si="1975"/>
        <v>0</v>
      </c>
      <c r="Z1136" s="30">
        <f t="shared" si="1975"/>
        <v>0</v>
      </c>
      <c r="AA1136" s="30">
        <f t="shared" si="1975"/>
        <v>0</v>
      </c>
      <c r="AB1136" s="30">
        <f t="shared" si="1975"/>
        <v>0</v>
      </c>
      <c r="AC1136" s="67"/>
      <c r="AD1136" s="55"/>
    </row>
    <row r="1137" spans="1:30" s="52" customFormat="1">
      <c r="A1137" s="157" t="s">
        <v>362</v>
      </c>
      <c r="B1137" s="29">
        <v>298003</v>
      </c>
      <c r="C1137" s="242">
        <f t="shared" si="1903"/>
        <v>24833.58</v>
      </c>
      <c r="D1137" s="10">
        <v>0.89870000000000005</v>
      </c>
      <c r="E1137" s="37"/>
      <c r="F1137" s="5"/>
      <c r="G1137" s="5"/>
      <c r="H1137" s="10"/>
      <c r="I1137" s="10"/>
      <c r="J1137" s="10"/>
      <c r="K1137" s="10"/>
      <c r="L1137" s="5"/>
      <c r="M1137" s="10"/>
      <c r="N1137" s="10"/>
      <c r="O1137" s="10"/>
      <c r="P1137" s="10"/>
      <c r="Q1137" s="10">
        <v>9.4799999999999995E-2</v>
      </c>
      <c r="R1137" s="10"/>
      <c r="S1137" s="10">
        <v>6.4999999999999997E-3</v>
      </c>
      <c r="T1137" s="10"/>
      <c r="U1137" s="10"/>
      <c r="V1137" s="10"/>
      <c r="W1137" s="10"/>
      <c r="X1137" s="10"/>
      <c r="Y1137" s="10"/>
      <c r="Z1137" s="10"/>
      <c r="AA1137" s="10"/>
      <c r="AB1137" s="10"/>
      <c r="AC1137" s="67"/>
      <c r="AD1137" s="55"/>
    </row>
    <row r="1138" spans="1:30" s="52" customFormat="1">
      <c r="A1138" s="105"/>
      <c r="B1138" s="24"/>
      <c r="C1138" s="242"/>
      <c r="D1138" s="30">
        <f t="shared" ref="D1138" si="1976">$C1137*D1137</f>
        <v>22317.938346000003</v>
      </c>
      <c r="E1138" s="30">
        <f t="shared" ref="E1138" si="1977">$C1137*E1137</f>
        <v>0</v>
      </c>
      <c r="F1138" s="30">
        <f t="shared" ref="F1138:AB1138" si="1978">$C1137*F1137</f>
        <v>0</v>
      </c>
      <c r="G1138" s="30">
        <f t="shared" si="1978"/>
        <v>0</v>
      </c>
      <c r="H1138" s="30">
        <f t="shared" si="1978"/>
        <v>0</v>
      </c>
      <c r="I1138" s="30">
        <f t="shared" si="1978"/>
        <v>0</v>
      </c>
      <c r="J1138" s="30">
        <f t="shared" si="1978"/>
        <v>0</v>
      </c>
      <c r="K1138" s="30">
        <f t="shared" si="1978"/>
        <v>0</v>
      </c>
      <c r="L1138" s="30">
        <f t="shared" si="1978"/>
        <v>0</v>
      </c>
      <c r="M1138" s="30">
        <f t="shared" si="1978"/>
        <v>0</v>
      </c>
      <c r="N1138" s="30">
        <f t="shared" si="1978"/>
        <v>0</v>
      </c>
      <c r="O1138" s="30">
        <f t="shared" si="1978"/>
        <v>0</v>
      </c>
      <c r="P1138" s="30">
        <f t="shared" si="1978"/>
        <v>0</v>
      </c>
      <c r="Q1138" s="30">
        <f t="shared" si="1978"/>
        <v>2354.2233839999999</v>
      </c>
      <c r="R1138" s="30">
        <f t="shared" si="1978"/>
        <v>0</v>
      </c>
      <c r="S1138" s="30">
        <f t="shared" si="1978"/>
        <v>161.41827000000001</v>
      </c>
      <c r="T1138" s="30">
        <f t="shared" si="1978"/>
        <v>0</v>
      </c>
      <c r="U1138" s="30">
        <f t="shared" si="1978"/>
        <v>0</v>
      </c>
      <c r="V1138" s="30">
        <f t="shared" si="1978"/>
        <v>0</v>
      </c>
      <c r="W1138" s="30">
        <f t="shared" si="1978"/>
        <v>0</v>
      </c>
      <c r="X1138" s="30">
        <f t="shared" si="1978"/>
        <v>0</v>
      </c>
      <c r="Y1138" s="30">
        <f t="shared" si="1978"/>
        <v>0</v>
      </c>
      <c r="Z1138" s="30">
        <f t="shared" si="1978"/>
        <v>0</v>
      </c>
      <c r="AA1138" s="30">
        <f t="shared" si="1978"/>
        <v>0</v>
      </c>
      <c r="AB1138" s="30">
        <f t="shared" si="1978"/>
        <v>0</v>
      </c>
      <c r="AC1138" s="67"/>
      <c r="AD1138" s="55"/>
    </row>
    <row r="1139" spans="1:30" s="52" customFormat="1">
      <c r="A1139" s="157" t="s">
        <v>363</v>
      </c>
      <c r="B1139" s="29">
        <v>292915</v>
      </c>
      <c r="C1139" s="242">
        <f t="shared" si="1903"/>
        <v>24409.58</v>
      </c>
      <c r="D1139" s="149"/>
      <c r="E1139" s="37"/>
      <c r="F1139" s="40"/>
      <c r="G1139" s="40"/>
      <c r="H1139" s="149"/>
      <c r="I1139" s="149"/>
      <c r="J1139" s="149"/>
      <c r="K1139" s="149"/>
      <c r="L1139" s="40"/>
      <c r="M1139" s="149"/>
      <c r="N1139" s="149"/>
      <c r="O1139" s="149"/>
      <c r="P1139" s="149"/>
      <c r="Q1139" s="149">
        <v>0.37169999999999997</v>
      </c>
      <c r="R1139" s="149"/>
      <c r="S1139" s="149">
        <v>4.4600000000000001E-2</v>
      </c>
      <c r="T1139" s="149"/>
      <c r="U1139" s="149"/>
      <c r="V1139" s="149"/>
      <c r="W1139" s="149"/>
      <c r="X1139" s="149">
        <v>0.54139999999999999</v>
      </c>
      <c r="Y1139" s="149">
        <v>2.3199999999999998E-2</v>
      </c>
      <c r="Z1139" s="149">
        <v>1.9099999999999999E-2</v>
      </c>
      <c r="AA1139" s="149">
        <v>0</v>
      </c>
      <c r="AB1139" s="149">
        <v>0</v>
      </c>
      <c r="AC1139" s="67"/>
      <c r="AD1139" s="55"/>
    </row>
    <row r="1140" spans="1:30" s="52" customFormat="1">
      <c r="A1140" s="105"/>
      <c r="B1140" s="24"/>
      <c r="C1140" s="242"/>
      <c r="D1140" s="30">
        <f t="shared" ref="D1140" si="1979">$C1139*D1139</f>
        <v>0</v>
      </c>
      <c r="E1140" s="30">
        <f t="shared" ref="E1140" si="1980">$C1139*E1139</f>
        <v>0</v>
      </c>
      <c r="F1140" s="30">
        <f t="shared" ref="F1140:AB1140" si="1981">$C1139*F1139</f>
        <v>0</v>
      </c>
      <c r="G1140" s="30">
        <f t="shared" si="1981"/>
        <v>0</v>
      </c>
      <c r="H1140" s="30">
        <f t="shared" si="1981"/>
        <v>0</v>
      </c>
      <c r="I1140" s="30">
        <f t="shared" si="1981"/>
        <v>0</v>
      </c>
      <c r="J1140" s="30">
        <f t="shared" si="1981"/>
        <v>0</v>
      </c>
      <c r="K1140" s="30">
        <f t="shared" si="1981"/>
        <v>0</v>
      </c>
      <c r="L1140" s="30">
        <f t="shared" si="1981"/>
        <v>0</v>
      </c>
      <c r="M1140" s="30">
        <f t="shared" si="1981"/>
        <v>0</v>
      </c>
      <c r="N1140" s="30">
        <f t="shared" si="1981"/>
        <v>0</v>
      </c>
      <c r="O1140" s="30">
        <f t="shared" si="1981"/>
        <v>0</v>
      </c>
      <c r="P1140" s="30">
        <f t="shared" si="1981"/>
        <v>0</v>
      </c>
      <c r="Q1140" s="30">
        <f t="shared" si="1981"/>
        <v>9073.0408860000007</v>
      </c>
      <c r="R1140" s="30">
        <f t="shared" si="1981"/>
        <v>0</v>
      </c>
      <c r="S1140" s="30">
        <f t="shared" si="1981"/>
        <v>1088.6672680000001</v>
      </c>
      <c r="T1140" s="30">
        <f t="shared" si="1981"/>
        <v>0</v>
      </c>
      <c r="U1140" s="30">
        <f t="shared" si="1981"/>
        <v>0</v>
      </c>
      <c r="V1140" s="30">
        <f t="shared" si="1981"/>
        <v>0</v>
      </c>
      <c r="W1140" s="30">
        <f t="shared" si="1981"/>
        <v>0</v>
      </c>
      <c r="X1140" s="30">
        <f t="shared" si="1981"/>
        <v>13215.346612000001</v>
      </c>
      <c r="Y1140" s="30">
        <f t="shared" si="1981"/>
        <v>566.30225600000006</v>
      </c>
      <c r="Z1140" s="30">
        <f t="shared" si="1981"/>
        <v>466.22297800000001</v>
      </c>
      <c r="AA1140" s="30">
        <f t="shared" si="1981"/>
        <v>0</v>
      </c>
      <c r="AB1140" s="30">
        <f t="shared" si="1981"/>
        <v>0</v>
      </c>
      <c r="AC1140" s="67"/>
      <c r="AD1140" s="55"/>
    </row>
    <row r="1141" spans="1:30" s="52" customFormat="1">
      <c r="A1141" s="157" t="s">
        <v>393</v>
      </c>
      <c r="B1141" s="29">
        <v>228217</v>
      </c>
      <c r="C1141" s="242">
        <f t="shared" si="1903"/>
        <v>19018.080000000002</v>
      </c>
      <c r="D1141" s="149"/>
      <c r="E1141" s="37"/>
      <c r="F1141" s="40"/>
      <c r="G1141" s="40"/>
      <c r="H1141" s="149"/>
      <c r="I1141" s="149"/>
      <c r="J1141" s="149"/>
      <c r="K1141" s="149"/>
      <c r="L1141" s="40"/>
      <c r="M1141" s="149"/>
      <c r="N1141" s="149"/>
      <c r="O1141" s="149"/>
      <c r="P1141" s="149">
        <v>7.9000000000000008E-3</v>
      </c>
      <c r="Q1141" s="149">
        <v>0.12820000000000001</v>
      </c>
      <c r="R1141" s="149"/>
      <c r="S1141" s="149">
        <v>1.18E-2</v>
      </c>
      <c r="T1141" s="149">
        <v>0.51080000000000003</v>
      </c>
      <c r="U1141" s="149"/>
      <c r="V1141" s="149">
        <v>5.7000000000000002E-3</v>
      </c>
      <c r="W1141" s="149"/>
      <c r="X1141" s="149">
        <v>0.31459999999999999</v>
      </c>
      <c r="Y1141" s="149">
        <v>1.2500000000000001E-2</v>
      </c>
      <c r="Z1141" s="149">
        <v>8.5000000000000006E-3</v>
      </c>
      <c r="AA1141" s="149"/>
      <c r="AB1141" s="149"/>
      <c r="AC1141" s="67"/>
      <c r="AD1141" s="55"/>
    </row>
    <row r="1142" spans="1:30" s="52" customFormat="1">
      <c r="A1142" s="105"/>
      <c r="B1142" s="24"/>
      <c r="C1142" s="242"/>
      <c r="D1142" s="30">
        <f t="shared" ref="D1142" si="1982">$C1141*D1141</f>
        <v>0</v>
      </c>
      <c r="E1142" s="30">
        <f t="shared" ref="E1142" si="1983">$C1141*E1141</f>
        <v>0</v>
      </c>
      <c r="F1142" s="30">
        <f t="shared" ref="F1142:AB1142" si="1984">$C1141*F1141</f>
        <v>0</v>
      </c>
      <c r="G1142" s="30">
        <f t="shared" si="1984"/>
        <v>0</v>
      </c>
      <c r="H1142" s="30">
        <f t="shared" si="1984"/>
        <v>0</v>
      </c>
      <c r="I1142" s="30">
        <f t="shared" si="1984"/>
        <v>0</v>
      </c>
      <c r="J1142" s="30">
        <f t="shared" si="1984"/>
        <v>0</v>
      </c>
      <c r="K1142" s="30">
        <f t="shared" si="1984"/>
        <v>0</v>
      </c>
      <c r="L1142" s="30">
        <f t="shared" si="1984"/>
        <v>0</v>
      </c>
      <c r="M1142" s="30">
        <f t="shared" si="1984"/>
        <v>0</v>
      </c>
      <c r="N1142" s="30">
        <f t="shared" si="1984"/>
        <v>0</v>
      </c>
      <c r="O1142" s="30">
        <f t="shared" si="1984"/>
        <v>0</v>
      </c>
      <c r="P1142" s="30">
        <f t="shared" si="1984"/>
        <v>150.24283200000002</v>
      </c>
      <c r="Q1142" s="30">
        <f t="shared" si="1984"/>
        <v>2438.1178560000003</v>
      </c>
      <c r="R1142" s="30">
        <f t="shared" si="1984"/>
        <v>0</v>
      </c>
      <c r="S1142" s="30">
        <f t="shared" si="1984"/>
        <v>224.41334400000002</v>
      </c>
      <c r="T1142" s="30">
        <f t="shared" si="1984"/>
        <v>9714.4352640000016</v>
      </c>
      <c r="U1142" s="30">
        <f t="shared" si="1984"/>
        <v>0</v>
      </c>
      <c r="V1142" s="30">
        <f t="shared" si="1984"/>
        <v>108.40305600000002</v>
      </c>
      <c r="W1142" s="30">
        <f t="shared" si="1984"/>
        <v>0</v>
      </c>
      <c r="X1142" s="30">
        <f t="shared" si="1984"/>
        <v>5983.0879680000007</v>
      </c>
      <c r="Y1142" s="30">
        <f t="shared" si="1984"/>
        <v>237.72600000000003</v>
      </c>
      <c r="Z1142" s="30">
        <f t="shared" si="1984"/>
        <v>161.65368000000004</v>
      </c>
      <c r="AA1142" s="30">
        <f t="shared" si="1984"/>
        <v>0</v>
      </c>
      <c r="AB1142" s="30">
        <f t="shared" si="1984"/>
        <v>0</v>
      </c>
      <c r="AC1142" s="67"/>
      <c r="AD1142" s="55"/>
    </row>
    <row r="1143" spans="1:30" s="52" customFormat="1">
      <c r="A1143" s="96" t="s">
        <v>394</v>
      </c>
      <c r="B1143" s="29">
        <f xml:space="preserve"> 747580/2</f>
        <v>373790</v>
      </c>
      <c r="C1143" s="242">
        <f t="shared" si="1903"/>
        <v>31149.17</v>
      </c>
      <c r="D1143" s="170">
        <v>1.6500000000000001E-2</v>
      </c>
      <c r="E1143" s="170">
        <v>0.1368</v>
      </c>
      <c r="F1143" s="170">
        <v>5.7599999999999998E-2</v>
      </c>
      <c r="G1143" s="170">
        <v>8.0399999999999999E-2</v>
      </c>
      <c r="H1143" s="170">
        <v>4.1099999999999998E-2</v>
      </c>
      <c r="I1143" s="170">
        <v>0.13389999999999999</v>
      </c>
      <c r="J1143" s="170">
        <v>2.12E-2</v>
      </c>
      <c r="K1143" s="170">
        <v>3.2500000000000001E-2</v>
      </c>
      <c r="L1143" s="170">
        <v>1.7100000000000001E-2</v>
      </c>
      <c r="M1143" s="170">
        <v>2.5999999999999999E-2</v>
      </c>
      <c r="N1143" s="170">
        <v>0.13320000000000001</v>
      </c>
      <c r="O1143" s="170">
        <v>1.89E-2</v>
      </c>
      <c r="P1143" s="170">
        <v>0</v>
      </c>
      <c r="Q1143" s="170">
        <v>3.8600000000000002E-2</v>
      </c>
      <c r="R1143" s="170">
        <v>1.9E-2</v>
      </c>
      <c r="S1143" s="170">
        <v>4.1999999999999997E-3</v>
      </c>
      <c r="T1143" s="170">
        <v>5.3999999999999999E-2</v>
      </c>
      <c r="U1143" s="170">
        <v>1.78E-2</v>
      </c>
      <c r="V1143" s="170">
        <v>3.6700000000000003E-2</v>
      </c>
      <c r="W1143" s="170">
        <v>4.7199999999999999E-2</v>
      </c>
      <c r="X1143" s="170">
        <v>6.3899999999999998E-2</v>
      </c>
      <c r="Y1143" s="170">
        <v>2.5999999999999999E-3</v>
      </c>
      <c r="Z1143" s="171">
        <v>0</v>
      </c>
      <c r="AA1143" s="171">
        <v>8.0000000000000004E-4</v>
      </c>
      <c r="AB1143" s="171">
        <v>0</v>
      </c>
      <c r="AC1143" s="67"/>
      <c r="AD1143" s="55"/>
    </row>
    <row r="1144" spans="1:30" s="52" customFormat="1">
      <c r="A1144" s="97"/>
      <c r="B1144" s="30"/>
      <c r="C1144" s="242"/>
      <c r="D1144" s="6">
        <f t="shared" ref="D1144" si="1985">$C1143*D1143</f>
        <v>513.96130500000004</v>
      </c>
      <c r="E1144" s="6">
        <f t="shared" ref="E1144" si="1986">$C1143*E1143</f>
        <v>4261.2064559999999</v>
      </c>
      <c r="F1144" s="6">
        <f t="shared" ref="F1144:AB1144" si="1987">$C1143*F1143</f>
        <v>1794.1921919999997</v>
      </c>
      <c r="G1144" s="6">
        <f t="shared" si="1987"/>
        <v>2504.3932679999998</v>
      </c>
      <c r="H1144" s="6">
        <f t="shared" si="1987"/>
        <v>1280.2308869999999</v>
      </c>
      <c r="I1144" s="6">
        <f t="shared" si="1987"/>
        <v>4170.8738629999998</v>
      </c>
      <c r="J1144" s="6">
        <f t="shared" si="1987"/>
        <v>660.36240399999997</v>
      </c>
      <c r="K1144" s="6">
        <f t="shared" si="1987"/>
        <v>1012.348025</v>
      </c>
      <c r="L1144" s="6">
        <f t="shared" si="1987"/>
        <v>532.65080699999999</v>
      </c>
      <c r="M1144" s="6">
        <f t="shared" si="1987"/>
        <v>809.87841999999989</v>
      </c>
      <c r="N1144" s="6">
        <f t="shared" si="1987"/>
        <v>4149.0694439999997</v>
      </c>
      <c r="O1144" s="6">
        <f t="shared" si="1987"/>
        <v>588.71931299999994</v>
      </c>
      <c r="P1144" s="6">
        <f t="shared" si="1987"/>
        <v>0</v>
      </c>
      <c r="Q1144" s="6">
        <f t="shared" si="1987"/>
        <v>1202.357962</v>
      </c>
      <c r="R1144" s="6">
        <f t="shared" si="1987"/>
        <v>591.83422999999993</v>
      </c>
      <c r="S1144" s="6">
        <f t="shared" si="1987"/>
        <v>130.82651399999997</v>
      </c>
      <c r="T1144" s="6">
        <f t="shared" si="1987"/>
        <v>1682.0551799999998</v>
      </c>
      <c r="U1144" s="6">
        <f t="shared" si="1987"/>
        <v>554.45522599999993</v>
      </c>
      <c r="V1144" s="6">
        <f t="shared" si="1987"/>
        <v>1143.1745390000001</v>
      </c>
      <c r="W1144" s="6">
        <f t="shared" si="1987"/>
        <v>1470.240824</v>
      </c>
      <c r="X1144" s="6">
        <f t="shared" si="1987"/>
        <v>1990.4319629999998</v>
      </c>
      <c r="Y1144" s="6">
        <f t="shared" si="1987"/>
        <v>80.987841999999986</v>
      </c>
      <c r="Z1144" s="6">
        <f t="shared" si="1987"/>
        <v>0</v>
      </c>
      <c r="AA1144" s="6">
        <f t="shared" si="1987"/>
        <v>24.919336000000001</v>
      </c>
      <c r="AB1144" s="6">
        <f t="shared" si="1987"/>
        <v>0</v>
      </c>
      <c r="AC1144" s="67"/>
      <c r="AD1144" s="55"/>
    </row>
    <row r="1145" spans="1:30" s="52" customFormat="1">
      <c r="A1145" s="96" t="s">
        <v>465</v>
      </c>
      <c r="B1145" s="29">
        <f xml:space="preserve"> 747580/2</f>
        <v>373790</v>
      </c>
      <c r="C1145" s="242">
        <f t="shared" si="1903"/>
        <v>31149.17</v>
      </c>
      <c r="D1145" s="171">
        <v>5.8200000000000002E-2</v>
      </c>
      <c r="E1145" s="5"/>
      <c r="F1145" s="5"/>
      <c r="G1145" s="5"/>
      <c r="H1145" s="5"/>
      <c r="I1145" s="5"/>
      <c r="J1145" s="5"/>
      <c r="K1145" s="5"/>
      <c r="L1145" s="5"/>
      <c r="M1145" s="171">
        <v>6.7400000000000002E-2</v>
      </c>
      <c r="N1145" s="5"/>
      <c r="O1145" s="5"/>
      <c r="P1145" s="5"/>
      <c r="Q1145" s="171">
        <v>0.1358</v>
      </c>
      <c r="R1145" s="5"/>
      <c r="S1145" s="171">
        <v>3.2000000000000002E-3</v>
      </c>
      <c r="T1145" s="171">
        <v>0.47420000000000001</v>
      </c>
      <c r="U1145" s="5"/>
      <c r="V1145" s="5"/>
      <c r="W1145" s="5"/>
      <c r="X1145" s="171">
        <v>0.25109999999999999</v>
      </c>
      <c r="Y1145" s="171">
        <v>1.01E-2</v>
      </c>
      <c r="Z1145" s="5"/>
      <c r="AA1145" s="5"/>
      <c r="AB1145" s="5"/>
      <c r="AC1145" s="67"/>
      <c r="AD1145" s="55"/>
    </row>
    <row r="1146" spans="1:30" s="52" customFormat="1">
      <c r="A1146" s="97"/>
      <c r="B1146" s="12"/>
      <c r="C1146" s="242"/>
      <c r="D1146" s="6">
        <f t="shared" ref="D1146" si="1988">$C1145*D1145</f>
        <v>1812.8816939999999</v>
      </c>
      <c r="E1146" s="6">
        <f t="shared" ref="E1146" si="1989">$C1145*E1145</f>
        <v>0</v>
      </c>
      <c r="F1146" s="6">
        <f t="shared" ref="F1146:O1146" si="1990">$C1145*F1145</f>
        <v>0</v>
      </c>
      <c r="G1146" s="6">
        <f t="shared" si="1990"/>
        <v>0</v>
      </c>
      <c r="H1146" s="6">
        <f t="shared" si="1990"/>
        <v>0</v>
      </c>
      <c r="I1146" s="6">
        <f t="shared" si="1990"/>
        <v>0</v>
      </c>
      <c r="J1146" s="6">
        <f t="shared" si="1990"/>
        <v>0</v>
      </c>
      <c r="K1146" s="6">
        <f t="shared" si="1990"/>
        <v>0</v>
      </c>
      <c r="L1146" s="6">
        <f t="shared" si="1990"/>
        <v>0</v>
      </c>
      <c r="M1146" s="6">
        <f t="shared" si="1990"/>
        <v>2099.4540579999998</v>
      </c>
      <c r="N1146" s="6">
        <f t="shared" si="1990"/>
        <v>0</v>
      </c>
      <c r="O1146" s="6">
        <f t="shared" si="1990"/>
        <v>0</v>
      </c>
      <c r="P1146" s="6">
        <f t="shared" ref="P1146" si="1991">$C1145*P1145</f>
        <v>0</v>
      </c>
      <c r="Q1146" s="6">
        <f t="shared" ref="Q1146" si="1992">$C1145*Q1145</f>
        <v>4230.0572860000002</v>
      </c>
      <c r="R1146" s="6">
        <f t="shared" ref="R1146:AB1146" si="1993">$C1145*R1145</f>
        <v>0</v>
      </c>
      <c r="S1146" s="6">
        <f t="shared" si="1993"/>
        <v>99.677344000000005</v>
      </c>
      <c r="T1146" s="6">
        <f t="shared" si="1993"/>
        <v>14770.936414</v>
      </c>
      <c r="U1146" s="6">
        <f t="shared" si="1993"/>
        <v>0</v>
      </c>
      <c r="V1146" s="6">
        <f t="shared" si="1993"/>
        <v>0</v>
      </c>
      <c r="W1146" s="6">
        <f t="shared" si="1993"/>
        <v>0</v>
      </c>
      <c r="X1146" s="6">
        <f t="shared" si="1993"/>
        <v>7821.5565869999991</v>
      </c>
      <c r="Y1146" s="6">
        <f t="shared" si="1993"/>
        <v>314.60661699999997</v>
      </c>
      <c r="Z1146" s="6">
        <f t="shared" si="1993"/>
        <v>0</v>
      </c>
      <c r="AA1146" s="6">
        <f t="shared" si="1993"/>
        <v>0</v>
      </c>
      <c r="AB1146" s="6">
        <f t="shared" si="1993"/>
        <v>0</v>
      </c>
      <c r="AC1146" s="67"/>
      <c r="AD1146" s="55"/>
    </row>
    <row r="1147" spans="1:30" s="52" customFormat="1">
      <c r="A1147" s="96" t="s">
        <v>395</v>
      </c>
      <c r="B1147" s="29">
        <v>561301</v>
      </c>
      <c r="C1147" s="242">
        <f t="shared" si="1903"/>
        <v>46775.08</v>
      </c>
      <c r="D1147" s="10">
        <v>0.14199999999999999</v>
      </c>
      <c r="E1147" s="37"/>
      <c r="F1147" s="5"/>
      <c r="G1147" s="5"/>
      <c r="H1147" s="10"/>
      <c r="I1147" s="10"/>
      <c r="J1147" s="10"/>
      <c r="K1147" s="10"/>
      <c r="L1147" s="5"/>
      <c r="M1147" s="10">
        <v>0.24390000000000001</v>
      </c>
      <c r="N1147" s="10"/>
      <c r="O1147" s="10"/>
      <c r="P1147" s="10"/>
      <c r="Q1147" s="10"/>
      <c r="R1147" s="10"/>
      <c r="S1147" s="10"/>
      <c r="T1147" s="10">
        <v>0.57940000000000003</v>
      </c>
      <c r="U1147" s="10"/>
      <c r="V1147" s="10"/>
      <c r="W1147" s="10"/>
      <c r="X1147" s="10">
        <v>3.4700000000000002E-2</v>
      </c>
      <c r="Y1147" s="10"/>
      <c r="Z1147" s="10"/>
      <c r="AA1147" s="10"/>
      <c r="AB1147" s="10"/>
      <c r="AC1147" s="67"/>
      <c r="AD1147" s="55"/>
    </row>
    <row r="1148" spans="1:30" s="52" customFormat="1">
      <c r="A1148" s="105"/>
      <c r="B1148" s="24"/>
      <c r="C1148" s="242"/>
      <c r="D1148" s="30">
        <f t="shared" ref="D1148" si="1994">$C1147*D1147</f>
        <v>6642.0613599999997</v>
      </c>
      <c r="E1148" s="30">
        <f t="shared" ref="E1148" si="1995">$C1147*E1147</f>
        <v>0</v>
      </c>
      <c r="F1148" s="30">
        <f t="shared" ref="F1148:AB1148" si="1996">$C1147*F1147</f>
        <v>0</v>
      </c>
      <c r="G1148" s="30">
        <f t="shared" si="1996"/>
        <v>0</v>
      </c>
      <c r="H1148" s="30">
        <f t="shared" si="1996"/>
        <v>0</v>
      </c>
      <c r="I1148" s="30">
        <f t="shared" si="1996"/>
        <v>0</v>
      </c>
      <c r="J1148" s="30">
        <f t="shared" si="1996"/>
        <v>0</v>
      </c>
      <c r="K1148" s="30">
        <f t="shared" si="1996"/>
        <v>0</v>
      </c>
      <c r="L1148" s="30">
        <f t="shared" si="1996"/>
        <v>0</v>
      </c>
      <c r="M1148" s="30">
        <f t="shared" si="1996"/>
        <v>11408.442012000001</v>
      </c>
      <c r="N1148" s="30">
        <f t="shared" si="1996"/>
        <v>0</v>
      </c>
      <c r="O1148" s="30">
        <f t="shared" si="1996"/>
        <v>0</v>
      </c>
      <c r="P1148" s="30">
        <f t="shared" si="1996"/>
        <v>0</v>
      </c>
      <c r="Q1148" s="30">
        <f t="shared" si="1996"/>
        <v>0</v>
      </c>
      <c r="R1148" s="30">
        <f t="shared" si="1996"/>
        <v>0</v>
      </c>
      <c r="S1148" s="30">
        <f t="shared" si="1996"/>
        <v>0</v>
      </c>
      <c r="T1148" s="30">
        <f t="shared" si="1996"/>
        <v>27101.481352000003</v>
      </c>
      <c r="U1148" s="30">
        <f t="shared" si="1996"/>
        <v>0</v>
      </c>
      <c r="V1148" s="30">
        <f t="shared" si="1996"/>
        <v>0</v>
      </c>
      <c r="W1148" s="30">
        <f t="shared" si="1996"/>
        <v>0</v>
      </c>
      <c r="X1148" s="30">
        <f t="shared" si="1996"/>
        <v>1623.0952760000002</v>
      </c>
      <c r="Y1148" s="30">
        <f t="shared" si="1996"/>
        <v>0</v>
      </c>
      <c r="Z1148" s="30">
        <f t="shared" si="1996"/>
        <v>0</v>
      </c>
      <c r="AA1148" s="30">
        <f t="shared" si="1996"/>
        <v>0</v>
      </c>
      <c r="AB1148" s="30">
        <f t="shared" si="1996"/>
        <v>0</v>
      </c>
      <c r="AC1148" s="67"/>
      <c r="AD1148" s="55"/>
    </row>
    <row r="1149" spans="1:30" s="52" customFormat="1">
      <c r="A1149" s="96" t="s">
        <v>489</v>
      </c>
      <c r="B1149" s="29">
        <v>1586968</v>
      </c>
      <c r="C1149" s="242">
        <f t="shared" si="1903"/>
        <v>132247.32999999999</v>
      </c>
      <c r="D1149" s="149">
        <v>3.9699999999999999E-2</v>
      </c>
      <c r="E1149" s="37">
        <v>5.7700000000000001E-2</v>
      </c>
      <c r="F1149" s="40">
        <v>4.2700000000000002E-2</v>
      </c>
      <c r="G1149" s="40">
        <v>6.1499999999999999E-2</v>
      </c>
      <c r="H1149" s="149">
        <v>1.6299999999999999E-2</v>
      </c>
      <c r="I1149" s="149">
        <v>7.1999999999999998E-3</v>
      </c>
      <c r="J1149" s="149">
        <v>1.06E-2</v>
      </c>
      <c r="K1149" s="149">
        <v>1.9800000000000002E-2</v>
      </c>
      <c r="L1149" s="40">
        <v>2.2499999999999999E-2</v>
      </c>
      <c r="M1149" s="149">
        <v>0.1429</v>
      </c>
      <c r="N1149" s="149">
        <v>3.5000000000000001E-3</v>
      </c>
      <c r="O1149" s="149">
        <v>3.8999999999999998E-3</v>
      </c>
      <c r="P1149" s="149">
        <v>9.5999999999999992E-3</v>
      </c>
      <c r="Q1149" s="149">
        <v>6.8400000000000002E-2</v>
      </c>
      <c r="R1149" s="149">
        <v>3.2899999999999999E-2</v>
      </c>
      <c r="S1149" s="149">
        <v>2.1399999999999999E-2</v>
      </c>
      <c r="T1149" s="149">
        <v>0.16420000000000001</v>
      </c>
      <c r="U1149" s="149">
        <v>3.9399999999999998E-2</v>
      </c>
      <c r="V1149" s="149"/>
      <c r="W1149" s="149">
        <v>8.3199999999999996E-2</v>
      </c>
      <c r="X1149" s="149">
        <v>0.14130000000000001</v>
      </c>
      <c r="Y1149" s="149">
        <v>4.4000000000000003E-3</v>
      </c>
      <c r="Z1149" s="149">
        <v>6.8999999999999999E-3</v>
      </c>
      <c r="AA1149" s="149"/>
      <c r="AB1149" s="149"/>
      <c r="AC1149" s="67"/>
      <c r="AD1149" s="55"/>
    </row>
    <row r="1150" spans="1:30" s="52" customFormat="1">
      <c r="A1150" s="105"/>
      <c r="B1150" s="24"/>
      <c r="C1150" s="242"/>
      <c r="D1150" s="30">
        <f>$C1149*D1149</f>
        <v>5250.2190009999995</v>
      </c>
      <c r="E1150" s="30">
        <f t="shared" ref="E1150" si="1997">$C1149*E1149</f>
        <v>7630.6709409999994</v>
      </c>
      <c r="F1150" s="30">
        <f t="shared" ref="F1150" si="1998">$C1149*F1149</f>
        <v>5646.9609909999999</v>
      </c>
      <c r="G1150" s="30">
        <f t="shared" ref="G1150:AB1150" si="1999">$C1149*G1149</f>
        <v>8133.2107949999991</v>
      </c>
      <c r="H1150" s="30">
        <f t="shared" si="1999"/>
        <v>2155.6314789999997</v>
      </c>
      <c r="I1150" s="30">
        <f t="shared" si="1999"/>
        <v>952.18077599999992</v>
      </c>
      <c r="J1150" s="30">
        <f t="shared" si="1999"/>
        <v>1401.821698</v>
      </c>
      <c r="K1150" s="30">
        <f t="shared" si="1999"/>
        <v>2618.4971340000002</v>
      </c>
      <c r="L1150" s="30">
        <f t="shared" si="1999"/>
        <v>2975.5649249999997</v>
      </c>
      <c r="M1150" s="30">
        <f t="shared" si="1999"/>
        <v>18898.143456999998</v>
      </c>
      <c r="N1150" s="30">
        <f t="shared" si="1999"/>
        <v>462.86565499999995</v>
      </c>
      <c r="O1150" s="30">
        <f t="shared" si="1999"/>
        <v>515.76458699999989</v>
      </c>
      <c r="P1150" s="30">
        <f t="shared" si="1999"/>
        <v>1269.5743679999998</v>
      </c>
      <c r="Q1150" s="30">
        <f t="shared" si="1999"/>
        <v>9045.7173719999992</v>
      </c>
      <c r="R1150" s="30">
        <f t="shared" si="1999"/>
        <v>4350.9371569999994</v>
      </c>
      <c r="S1150" s="30">
        <f t="shared" si="1999"/>
        <v>2830.0928619999995</v>
      </c>
      <c r="T1150" s="30">
        <f t="shared" si="1999"/>
        <v>21715.011586000001</v>
      </c>
      <c r="U1150" s="30">
        <f t="shared" si="1999"/>
        <v>5210.5448019999994</v>
      </c>
      <c r="V1150" s="30">
        <f t="shared" si="1999"/>
        <v>0</v>
      </c>
      <c r="W1150" s="30">
        <f t="shared" si="1999"/>
        <v>11002.977855999998</v>
      </c>
      <c r="X1150" s="30">
        <f t="shared" si="1999"/>
        <v>18686.547728999998</v>
      </c>
      <c r="Y1150" s="30">
        <f t="shared" si="1999"/>
        <v>581.88825199999997</v>
      </c>
      <c r="Z1150" s="30">
        <f t="shared" si="1999"/>
        <v>912.50657699999988</v>
      </c>
      <c r="AA1150" s="30">
        <f t="shared" si="1999"/>
        <v>0</v>
      </c>
      <c r="AB1150" s="30">
        <f t="shared" si="1999"/>
        <v>0</v>
      </c>
      <c r="AC1150" s="67"/>
      <c r="AD1150" s="55"/>
    </row>
    <row r="1151" spans="1:30" s="52" customFormat="1">
      <c r="A1151" s="96" t="s">
        <v>536</v>
      </c>
      <c r="B1151" s="29">
        <f xml:space="preserve"> 106501/2</f>
        <v>53250.5</v>
      </c>
      <c r="C1151" s="242">
        <f t="shared" si="1903"/>
        <v>4437.54</v>
      </c>
      <c r="D1151" s="170">
        <v>1.6500000000000001E-2</v>
      </c>
      <c r="E1151" s="170">
        <v>0.1368</v>
      </c>
      <c r="F1151" s="170">
        <v>5.7599999999999998E-2</v>
      </c>
      <c r="G1151" s="170">
        <v>8.0399999999999999E-2</v>
      </c>
      <c r="H1151" s="170">
        <v>4.1099999999999998E-2</v>
      </c>
      <c r="I1151" s="170">
        <v>0.13389999999999999</v>
      </c>
      <c r="J1151" s="170">
        <v>2.12E-2</v>
      </c>
      <c r="K1151" s="170">
        <v>3.2500000000000001E-2</v>
      </c>
      <c r="L1151" s="170">
        <v>1.7100000000000001E-2</v>
      </c>
      <c r="M1151" s="170">
        <v>2.5999999999999999E-2</v>
      </c>
      <c r="N1151" s="170">
        <v>0.13320000000000001</v>
      </c>
      <c r="O1151" s="170">
        <v>1.89E-2</v>
      </c>
      <c r="P1151" s="170">
        <v>0</v>
      </c>
      <c r="Q1151" s="170">
        <v>3.8600000000000002E-2</v>
      </c>
      <c r="R1151" s="170">
        <v>1.9E-2</v>
      </c>
      <c r="S1151" s="170">
        <v>4.1999999999999997E-3</v>
      </c>
      <c r="T1151" s="170">
        <v>5.3999999999999999E-2</v>
      </c>
      <c r="U1151" s="170">
        <v>1.78E-2</v>
      </c>
      <c r="V1151" s="170">
        <v>3.6700000000000003E-2</v>
      </c>
      <c r="W1151" s="170">
        <v>4.7199999999999999E-2</v>
      </c>
      <c r="X1151" s="170">
        <v>6.3899999999999998E-2</v>
      </c>
      <c r="Y1151" s="170">
        <v>2.5999999999999999E-3</v>
      </c>
      <c r="Z1151" s="171">
        <v>0</v>
      </c>
      <c r="AA1151" s="171">
        <v>8.0000000000000004E-4</v>
      </c>
      <c r="AB1151" s="171">
        <v>0</v>
      </c>
      <c r="AC1151" s="67"/>
      <c r="AD1151" s="55"/>
    </row>
    <row r="1152" spans="1:30" s="52" customFormat="1">
      <c r="A1152" s="105"/>
      <c r="B1152" s="24"/>
      <c r="C1152" s="242"/>
      <c r="D1152" s="30">
        <f t="shared" ref="D1152" si="2000">$C1151*D1151</f>
        <v>73.219409999999996</v>
      </c>
      <c r="E1152" s="30">
        <f t="shared" ref="E1152" si="2001">$C1151*E1151</f>
        <v>607.05547200000001</v>
      </c>
      <c r="F1152" s="30">
        <f t="shared" ref="F1152:AB1152" si="2002">$C1151*F1151</f>
        <v>255.602304</v>
      </c>
      <c r="G1152" s="30">
        <f t="shared" si="2002"/>
        <v>356.77821599999999</v>
      </c>
      <c r="H1152" s="30">
        <f t="shared" si="2002"/>
        <v>182.38289399999999</v>
      </c>
      <c r="I1152" s="30">
        <f t="shared" si="2002"/>
        <v>594.18660599999998</v>
      </c>
      <c r="J1152" s="30">
        <f t="shared" si="2002"/>
        <v>94.075847999999993</v>
      </c>
      <c r="K1152" s="30">
        <f t="shared" si="2002"/>
        <v>144.22005000000001</v>
      </c>
      <c r="L1152" s="30">
        <f t="shared" si="2002"/>
        <v>75.881934000000001</v>
      </c>
      <c r="M1152" s="30">
        <f t="shared" si="2002"/>
        <v>115.37603999999999</v>
      </c>
      <c r="N1152" s="30">
        <f t="shared" si="2002"/>
        <v>591.08032800000001</v>
      </c>
      <c r="O1152" s="30">
        <f t="shared" si="2002"/>
        <v>83.869506000000001</v>
      </c>
      <c r="P1152" s="30">
        <f t="shared" si="2002"/>
        <v>0</v>
      </c>
      <c r="Q1152" s="30">
        <f t="shared" si="2002"/>
        <v>171.28904400000002</v>
      </c>
      <c r="R1152" s="30">
        <f t="shared" si="2002"/>
        <v>84.31326</v>
      </c>
      <c r="S1152" s="30">
        <f t="shared" si="2002"/>
        <v>18.637667999999998</v>
      </c>
      <c r="T1152" s="30">
        <f t="shared" si="2002"/>
        <v>239.62716</v>
      </c>
      <c r="U1152" s="30">
        <f t="shared" si="2002"/>
        <v>78.988212000000004</v>
      </c>
      <c r="V1152" s="30">
        <f t="shared" si="2002"/>
        <v>162.85771800000001</v>
      </c>
      <c r="W1152" s="30">
        <f t="shared" si="2002"/>
        <v>209.451888</v>
      </c>
      <c r="X1152" s="30">
        <f t="shared" si="2002"/>
        <v>283.558806</v>
      </c>
      <c r="Y1152" s="30">
        <f t="shared" si="2002"/>
        <v>11.537604</v>
      </c>
      <c r="Z1152" s="30">
        <f t="shared" si="2002"/>
        <v>0</v>
      </c>
      <c r="AA1152" s="30">
        <f t="shared" si="2002"/>
        <v>3.5500320000000003</v>
      </c>
      <c r="AB1152" s="30">
        <f t="shared" si="2002"/>
        <v>0</v>
      </c>
      <c r="AC1152" s="67"/>
      <c r="AD1152" s="55"/>
    </row>
    <row r="1153" spans="1:30" s="52" customFormat="1">
      <c r="A1153" s="96" t="s">
        <v>537</v>
      </c>
      <c r="B1153" s="29">
        <f xml:space="preserve"> 106501/2</f>
        <v>53250.5</v>
      </c>
      <c r="C1153" s="242">
        <f t="shared" si="1903"/>
        <v>4437.54</v>
      </c>
      <c r="D1153" s="170">
        <v>0</v>
      </c>
      <c r="E1153" s="38"/>
      <c r="F1153" s="170">
        <v>3.9399999999999998E-2</v>
      </c>
      <c r="G1153" s="170">
        <v>2.9999999999999997E-4</v>
      </c>
      <c r="H1153" s="170">
        <v>0.20780000000000001</v>
      </c>
      <c r="I1153" s="38"/>
      <c r="J1153" s="38"/>
      <c r="K1153" s="38"/>
      <c r="L1153" s="170">
        <v>1E-4</v>
      </c>
      <c r="M1153" s="170">
        <v>2.0000000000000001E-4</v>
      </c>
      <c r="N1153" s="170">
        <v>0.3175</v>
      </c>
      <c r="O1153" s="38"/>
      <c r="P1153" s="38"/>
      <c r="Q1153" s="170">
        <v>6.9900000000000004E-2</v>
      </c>
      <c r="R1153" s="38"/>
      <c r="S1153" s="170">
        <v>8.0000000000000002E-3</v>
      </c>
      <c r="T1153" s="170">
        <v>9.7999999999999997E-3</v>
      </c>
      <c r="U1153" s="38"/>
      <c r="V1153" s="170">
        <v>0.17519999999999999</v>
      </c>
      <c r="W1153" s="170">
        <v>2.69E-2</v>
      </c>
      <c r="X1153" s="170">
        <v>0.13930000000000001</v>
      </c>
      <c r="Y1153" s="170">
        <v>5.5999999999999999E-3</v>
      </c>
      <c r="Z1153" s="5"/>
      <c r="AA1153" s="5"/>
      <c r="AB1153" s="5"/>
      <c r="AC1153" s="67"/>
      <c r="AD1153" s="55"/>
    </row>
    <row r="1154" spans="1:30" s="52" customFormat="1">
      <c r="A1154" s="105"/>
      <c r="B1154" s="24"/>
      <c r="C1154" s="218"/>
      <c r="D1154" s="30">
        <f>$C1153*D1153</f>
        <v>0</v>
      </c>
      <c r="E1154" s="30">
        <f t="shared" ref="E1154" si="2003">$C1153*E1153</f>
        <v>0</v>
      </c>
      <c r="F1154" s="30">
        <f t="shared" ref="F1154" si="2004">$C1153*F1153</f>
        <v>174.83907599999998</v>
      </c>
      <c r="G1154" s="30">
        <f t="shared" ref="G1154:AB1154" si="2005">$C1153*G1153</f>
        <v>1.3312619999999999</v>
      </c>
      <c r="H1154" s="30">
        <f t="shared" si="2005"/>
        <v>922.120812</v>
      </c>
      <c r="I1154" s="30">
        <f t="shared" si="2005"/>
        <v>0</v>
      </c>
      <c r="J1154" s="30">
        <f t="shared" si="2005"/>
        <v>0</v>
      </c>
      <c r="K1154" s="30">
        <f t="shared" si="2005"/>
        <v>0</v>
      </c>
      <c r="L1154" s="30">
        <f t="shared" si="2005"/>
        <v>0.44375400000000004</v>
      </c>
      <c r="M1154" s="30">
        <f t="shared" si="2005"/>
        <v>0.88750800000000007</v>
      </c>
      <c r="N1154" s="30">
        <f t="shared" si="2005"/>
        <v>1408.91895</v>
      </c>
      <c r="O1154" s="30">
        <f t="shared" si="2005"/>
        <v>0</v>
      </c>
      <c r="P1154" s="30">
        <f t="shared" si="2005"/>
        <v>0</v>
      </c>
      <c r="Q1154" s="30">
        <f t="shared" si="2005"/>
        <v>310.18404600000002</v>
      </c>
      <c r="R1154" s="30">
        <f t="shared" si="2005"/>
        <v>0</v>
      </c>
      <c r="S1154" s="30">
        <f t="shared" si="2005"/>
        <v>35.500320000000002</v>
      </c>
      <c r="T1154" s="30">
        <f t="shared" si="2005"/>
        <v>43.487891999999995</v>
      </c>
      <c r="U1154" s="30">
        <f t="shared" si="2005"/>
        <v>0</v>
      </c>
      <c r="V1154" s="30">
        <f t="shared" si="2005"/>
        <v>777.45700799999997</v>
      </c>
      <c r="W1154" s="30">
        <f t="shared" si="2005"/>
        <v>119.369826</v>
      </c>
      <c r="X1154" s="30">
        <f t="shared" si="2005"/>
        <v>618.14932199999998</v>
      </c>
      <c r="Y1154" s="30">
        <f t="shared" si="2005"/>
        <v>24.850224000000001</v>
      </c>
      <c r="Z1154" s="30">
        <f t="shared" si="2005"/>
        <v>0</v>
      </c>
      <c r="AA1154" s="30">
        <f t="shared" si="2005"/>
        <v>0</v>
      </c>
      <c r="AB1154" s="30">
        <f t="shared" si="2005"/>
        <v>0</v>
      </c>
      <c r="AC1154" s="67"/>
      <c r="AD1154" s="55"/>
    </row>
    <row r="1155" spans="1:30" s="52" customFormat="1">
      <c r="A1155" s="50" t="s">
        <v>50</v>
      </c>
      <c r="B1155" s="33">
        <f>SUM(B1093:B1153)</f>
        <v>32544070</v>
      </c>
      <c r="C1155" s="126">
        <f>SUM(C1093:C1153)</f>
        <v>2712005.8100000005</v>
      </c>
      <c r="D1155" s="51">
        <f>D1094+D1096+D1098+D1100+D1102+D1104+D1106+D1108+D1110+D1112+D1114+D1116+D1118+D1120+D1122+D1124+D1126+D1128+D1130+D1132+D1134+D1136+D1138+D1140+D1142+D1144+D1146+D1148+D1150+D1152+D1154</f>
        <v>116356.01357500002</v>
      </c>
      <c r="E1155" s="51">
        <f>E1094+E1096+E1098+E1100+E1102+E1104+E1106+E1108+E1110+E1112+E1114+E1116+E1118+E1120+E1122+E1124+E1126+E1128+E1130+E1132+E1134+E1136+E1138+E1140+E1142+E1144+E1146+E1148+E1150+E1152+E1154</f>
        <v>48585.593653000004</v>
      </c>
      <c r="F1155" s="51">
        <f t="shared" ref="F1155" si="2006">F1094+F1096+F1098+F1100+F1102+F1104+F1106+F1108+F1110+F1112+F1114+F1116+F1118+F1120+F1122+F1124+F1126+F1128+F1130+F1132+F1134+F1136+F1138+F1140+F1142+F1144+F1146+F1148+F1150+F1152+F1154</f>
        <v>23065.978050999998</v>
      </c>
      <c r="G1155" s="51">
        <f t="shared" ref="G1155" si="2007">G1094+G1096+G1098+G1100+G1102+G1104+G1106+G1108+G1110+G1112+G1114+G1116+G1118+G1120+G1122+G1124+G1126+G1128+G1130+G1132+G1134+G1136+G1138+G1140+G1142+G1144+G1146+G1148+G1150+G1152+G1154</f>
        <v>36770.710451999999</v>
      </c>
      <c r="H1155" s="51">
        <f t="shared" ref="H1155:AB1155" si="2008">H1094+H1096+H1098+H1100+H1102+H1104+H1106+H1108+H1110+H1112+H1114+H1116+H1118+H1120+H1122+H1124+H1126+H1128+H1130+H1132+H1134+H1136+H1138+H1140+H1142+H1144+H1146+H1148+H1150+H1152+H1154</f>
        <v>23181.483597000002</v>
      </c>
      <c r="I1155" s="51">
        <f t="shared" si="2008"/>
        <v>41038.907027000001</v>
      </c>
      <c r="J1155" s="51">
        <f t="shared" si="2008"/>
        <v>7748.6372059999994</v>
      </c>
      <c r="K1155" s="51">
        <f t="shared" si="2008"/>
        <v>12348.285058999998</v>
      </c>
      <c r="L1155" s="51">
        <f t="shared" si="2008"/>
        <v>8255.7528840000014</v>
      </c>
      <c r="M1155" s="51">
        <f t="shared" si="2008"/>
        <v>90588.104567000002</v>
      </c>
      <c r="N1155" s="51">
        <f t="shared" si="2008"/>
        <v>41748.946193000003</v>
      </c>
      <c r="O1155" s="51">
        <f t="shared" si="2008"/>
        <v>6174.0104879999999</v>
      </c>
      <c r="P1155" s="51">
        <f t="shared" si="2008"/>
        <v>7369.1935239999984</v>
      </c>
      <c r="Q1155" s="51">
        <f t="shared" si="2008"/>
        <v>96046.324728999985</v>
      </c>
      <c r="R1155" s="51">
        <f t="shared" si="2008"/>
        <v>12045.439523999999</v>
      </c>
      <c r="S1155" s="51">
        <f t="shared" si="2008"/>
        <v>11158.892920999999</v>
      </c>
      <c r="T1155" s="51">
        <f t="shared" si="2008"/>
        <v>1839263.053997</v>
      </c>
      <c r="U1155" s="51">
        <f t="shared" si="2008"/>
        <v>10539.474804000001</v>
      </c>
      <c r="V1155" s="51">
        <f t="shared" si="2008"/>
        <v>16759.111524</v>
      </c>
      <c r="W1155" s="51">
        <f t="shared" si="2008"/>
        <v>31298.979929999994</v>
      </c>
      <c r="X1155" s="51">
        <f t="shared" si="2008"/>
        <v>214783.31297400003</v>
      </c>
      <c r="Y1155" s="51">
        <f t="shared" si="2008"/>
        <v>8160.2542459999986</v>
      </c>
      <c r="Z1155" s="51">
        <f t="shared" si="2008"/>
        <v>8479.846603</v>
      </c>
      <c r="AA1155" s="51">
        <f t="shared" si="2008"/>
        <v>239.50247200000001</v>
      </c>
      <c r="AB1155" s="51">
        <f t="shared" si="2008"/>
        <v>0</v>
      </c>
      <c r="AC1155" s="67"/>
      <c r="AD1155" s="55"/>
    </row>
    <row r="1156" spans="1:30" s="52" customFormat="1">
      <c r="A1156" s="54"/>
      <c r="B1156" s="7"/>
      <c r="C1156" s="84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67"/>
      <c r="AD1156" s="55"/>
    </row>
    <row r="1157" spans="1:30" s="52" customFormat="1">
      <c r="A1157" s="54"/>
      <c r="B1157" s="7"/>
      <c r="C1157" s="84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67"/>
      <c r="AD1157" s="55"/>
    </row>
    <row r="1158" spans="1:30" s="52" customFormat="1" ht="13.8" thickBot="1">
      <c r="A1158" s="82" t="s">
        <v>365</v>
      </c>
      <c r="B1158" s="127"/>
      <c r="C1158" s="234"/>
      <c r="D1158" s="127"/>
      <c r="E1158" s="1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67"/>
      <c r="AD1158" s="55"/>
    </row>
    <row r="1159" spans="1:30" s="52" customFormat="1" ht="13.8" thickBot="1">
      <c r="A1159" s="113" t="s">
        <v>1</v>
      </c>
      <c r="B1159" s="134" t="s">
        <v>2</v>
      </c>
      <c r="C1159" s="253" t="s">
        <v>3</v>
      </c>
      <c r="D1159" s="263" t="s">
        <v>4</v>
      </c>
      <c r="E1159" s="264"/>
      <c r="F1159" s="264"/>
      <c r="G1159" s="264"/>
      <c r="H1159" s="264"/>
      <c r="I1159" s="264"/>
      <c r="J1159" s="264"/>
      <c r="K1159" s="264"/>
      <c r="L1159" s="264"/>
      <c r="M1159" s="264"/>
      <c r="N1159" s="264"/>
      <c r="O1159" s="264"/>
      <c r="P1159" s="264"/>
      <c r="Q1159" s="264"/>
      <c r="R1159" s="264"/>
      <c r="S1159" s="264"/>
      <c r="T1159" s="264"/>
      <c r="U1159" s="264"/>
      <c r="V1159" s="264"/>
      <c r="W1159" s="264"/>
      <c r="X1159" s="264"/>
      <c r="Y1159" s="264"/>
      <c r="Z1159" s="123"/>
      <c r="AA1159" s="123"/>
      <c r="AB1159" s="123"/>
      <c r="AC1159" s="67"/>
      <c r="AD1159" s="55"/>
    </row>
    <row r="1160" spans="1:30" s="52" customFormat="1">
      <c r="A1160" s="115" t="s">
        <v>5</v>
      </c>
      <c r="B1160" s="116" t="s">
        <v>6</v>
      </c>
      <c r="C1160" s="240" t="s">
        <v>6</v>
      </c>
      <c r="D1160" s="265"/>
      <c r="E1160" s="265"/>
      <c r="F1160" s="265"/>
      <c r="G1160" s="265"/>
      <c r="H1160" s="265"/>
      <c r="I1160" s="265"/>
      <c r="J1160" s="265"/>
      <c r="K1160" s="265"/>
      <c r="L1160" s="265"/>
      <c r="M1160" s="265"/>
      <c r="N1160" s="265"/>
      <c r="O1160" s="265"/>
      <c r="P1160" s="265"/>
      <c r="Q1160" s="265"/>
      <c r="R1160" s="265"/>
      <c r="S1160" s="265"/>
      <c r="T1160" s="265"/>
      <c r="U1160" s="265"/>
      <c r="V1160" s="265"/>
      <c r="W1160" s="265"/>
      <c r="X1160" s="265"/>
      <c r="Y1160" s="265"/>
      <c r="Z1160" s="116" t="s">
        <v>7</v>
      </c>
      <c r="AA1160" s="116"/>
      <c r="AB1160" s="116"/>
      <c r="AC1160" s="67"/>
      <c r="AD1160" s="55"/>
    </row>
    <row r="1161" spans="1:30" s="52" customFormat="1">
      <c r="A1161" s="115" t="s">
        <v>8</v>
      </c>
      <c r="B1161" s="116" t="s">
        <v>9</v>
      </c>
      <c r="C1161" s="240" t="s">
        <v>9</v>
      </c>
      <c r="D1161" s="120" t="s">
        <v>10</v>
      </c>
      <c r="E1161" s="116" t="s">
        <v>11</v>
      </c>
      <c r="F1161" s="116" t="s">
        <v>12</v>
      </c>
      <c r="G1161" s="116" t="s">
        <v>13</v>
      </c>
      <c r="H1161" s="116" t="s">
        <v>14</v>
      </c>
      <c r="I1161" s="116" t="s">
        <v>15</v>
      </c>
      <c r="J1161" s="116" t="s">
        <v>16</v>
      </c>
      <c r="K1161" s="116" t="s">
        <v>17</v>
      </c>
      <c r="L1161" s="116" t="s">
        <v>18</v>
      </c>
      <c r="M1161" s="116" t="s">
        <v>19</v>
      </c>
      <c r="N1161" s="116" t="s">
        <v>20</v>
      </c>
      <c r="O1161" s="116" t="s">
        <v>175</v>
      </c>
      <c r="P1161" s="116" t="s">
        <v>21</v>
      </c>
      <c r="Q1161" s="116" t="s">
        <v>22</v>
      </c>
      <c r="R1161" s="116" t="s">
        <v>23</v>
      </c>
      <c r="S1161" s="116" t="s">
        <v>24</v>
      </c>
      <c r="T1161" s="116" t="s">
        <v>25</v>
      </c>
      <c r="U1161" s="116" t="s">
        <v>26</v>
      </c>
      <c r="V1161" s="116" t="s">
        <v>27</v>
      </c>
      <c r="W1161" s="116" t="s">
        <v>28</v>
      </c>
      <c r="X1161" s="116" t="s">
        <v>29</v>
      </c>
      <c r="Y1161" s="116" t="s">
        <v>30</v>
      </c>
      <c r="Z1161" s="116" t="s">
        <v>31</v>
      </c>
      <c r="AA1161" s="116" t="s">
        <v>493</v>
      </c>
      <c r="AB1161" s="116" t="s">
        <v>476</v>
      </c>
      <c r="AC1161" s="67"/>
      <c r="AD1161" s="55"/>
    </row>
    <row r="1162" spans="1:30" s="52" customFormat="1">
      <c r="A1162" s="115"/>
      <c r="B1162" s="116"/>
      <c r="C1162" s="241" t="s">
        <v>638</v>
      </c>
      <c r="D1162" s="117"/>
      <c r="E1162" s="118"/>
      <c r="F1162" s="118"/>
      <c r="G1162" s="118"/>
      <c r="H1162" s="118"/>
      <c r="I1162" s="118"/>
      <c r="J1162" s="118"/>
      <c r="K1162" s="118"/>
      <c r="L1162" s="118"/>
      <c r="M1162" s="118"/>
      <c r="N1162" s="118"/>
      <c r="O1162" s="118"/>
      <c r="P1162" s="118"/>
      <c r="Q1162" s="118"/>
      <c r="R1162" s="118"/>
      <c r="S1162" s="118"/>
      <c r="T1162" s="118"/>
      <c r="U1162" s="118"/>
      <c r="V1162" s="118"/>
      <c r="W1162" s="118"/>
      <c r="X1162" s="118"/>
      <c r="Y1162" s="118"/>
      <c r="Z1162" s="118"/>
      <c r="AA1162" s="118"/>
      <c r="AB1162" s="118"/>
      <c r="AC1162" s="67"/>
      <c r="AD1162" s="55"/>
    </row>
    <row r="1163" spans="1:30" s="52" customFormat="1">
      <c r="A1163" s="157" t="s">
        <v>366</v>
      </c>
      <c r="B1163" s="181">
        <v>2044901.0807424441</v>
      </c>
      <c r="C1163" s="211">
        <f>ROUND(B1163/12,2)</f>
        <v>170408.42</v>
      </c>
      <c r="D1163" s="10"/>
      <c r="E1163" s="37"/>
      <c r="F1163" s="5">
        <v>5.5999999999999999E-3</v>
      </c>
      <c r="G1163" s="5">
        <v>0.97560000000000002</v>
      </c>
      <c r="H1163" s="10"/>
      <c r="I1163" s="10"/>
      <c r="J1163" s="10"/>
      <c r="K1163" s="10"/>
      <c r="L1163" s="5">
        <v>7.4999999999999997E-3</v>
      </c>
      <c r="M1163" s="10"/>
      <c r="N1163" s="10"/>
      <c r="O1163" s="10"/>
      <c r="P1163" s="10"/>
      <c r="Q1163" s="10"/>
      <c r="R1163" s="10"/>
      <c r="S1163" s="10"/>
      <c r="T1163" s="10"/>
      <c r="U1163" s="10">
        <v>1.1299999999999999E-2</v>
      </c>
      <c r="V1163" s="10"/>
      <c r="W1163" s="10"/>
      <c r="X1163" s="10"/>
      <c r="Y1163" s="10"/>
      <c r="Z1163" s="10"/>
      <c r="AA1163" s="10"/>
      <c r="AB1163" s="10"/>
      <c r="AC1163" s="67"/>
      <c r="AD1163" s="55"/>
    </row>
    <row r="1164" spans="1:30" s="52" customFormat="1">
      <c r="A1164" s="105"/>
      <c r="B1164" s="24"/>
      <c r="C1164" s="211"/>
      <c r="D1164" s="30">
        <f>$C1163*D1163</f>
        <v>0</v>
      </c>
      <c r="E1164" s="30">
        <f t="shared" ref="E1164" si="2009">$C1163*E1163</f>
        <v>0</v>
      </c>
      <c r="F1164" s="30">
        <f t="shared" ref="F1164" si="2010">$C1163*F1163</f>
        <v>954.28715200000011</v>
      </c>
      <c r="G1164" s="30">
        <f t="shared" ref="G1164:AB1164" si="2011">$C1163*G1163</f>
        <v>166250.45455200001</v>
      </c>
      <c r="H1164" s="30">
        <f t="shared" si="2011"/>
        <v>0</v>
      </c>
      <c r="I1164" s="30">
        <f t="shared" si="2011"/>
        <v>0</v>
      </c>
      <c r="J1164" s="30">
        <f t="shared" si="2011"/>
        <v>0</v>
      </c>
      <c r="K1164" s="30">
        <f t="shared" si="2011"/>
        <v>0</v>
      </c>
      <c r="L1164" s="30">
        <f t="shared" si="2011"/>
        <v>1278.06315</v>
      </c>
      <c r="M1164" s="30">
        <f t="shared" si="2011"/>
        <v>0</v>
      </c>
      <c r="N1164" s="30">
        <f t="shared" si="2011"/>
        <v>0</v>
      </c>
      <c r="O1164" s="30">
        <f t="shared" si="2011"/>
        <v>0</v>
      </c>
      <c r="P1164" s="30">
        <f t="shared" si="2011"/>
        <v>0</v>
      </c>
      <c r="Q1164" s="30">
        <f t="shared" si="2011"/>
        <v>0</v>
      </c>
      <c r="R1164" s="30">
        <f t="shared" si="2011"/>
        <v>0</v>
      </c>
      <c r="S1164" s="30">
        <f t="shared" si="2011"/>
        <v>0</v>
      </c>
      <c r="T1164" s="30">
        <f t="shared" si="2011"/>
        <v>0</v>
      </c>
      <c r="U1164" s="30">
        <f t="shared" si="2011"/>
        <v>1925.6151460000001</v>
      </c>
      <c r="V1164" s="30">
        <f t="shared" si="2011"/>
        <v>0</v>
      </c>
      <c r="W1164" s="30">
        <f t="shared" si="2011"/>
        <v>0</v>
      </c>
      <c r="X1164" s="30">
        <f t="shared" si="2011"/>
        <v>0</v>
      </c>
      <c r="Y1164" s="30">
        <f t="shared" si="2011"/>
        <v>0</v>
      </c>
      <c r="Z1164" s="30">
        <f t="shared" si="2011"/>
        <v>0</v>
      </c>
      <c r="AA1164" s="30">
        <f t="shared" si="2011"/>
        <v>0</v>
      </c>
      <c r="AB1164" s="30">
        <f t="shared" si="2011"/>
        <v>0</v>
      </c>
      <c r="AC1164" s="67"/>
      <c r="AD1164" s="55"/>
    </row>
    <row r="1165" spans="1:30" s="52" customFormat="1">
      <c r="A1165" s="157" t="s">
        <v>367</v>
      </c>
      <c r="B1165" s="181">
        <v>3294674.4090292435</v>
      </c>
      <c r="C1165" s="211">
        <f t="shared" ref="C1165:C1177" si="2012">ROUND(B1165/12,2)</f>
        <v>274556.2</v>
      </c>
      <c r="D1165" s="10"/>
      <c r="E1165" s="37"/>
      <c r="F1165" s="5"/>
      <c r="G1165" s="5">
        <v>0.94469999999999998</v>
      </c>
      <c r="H1165" s="10"/>
      <c r="I1165" s="10"/>
      <c r="J1165" s="10"/>
      <c r="K1165" s="10"/>
      <c r="L1165" s="5">
        <v>2.9000000000000001E-2</v>
      </c>
      <c r="M1165" s="10"/>
      <c r="N1165" s="10"/>
      <c r="O1165" s="10"/>
      <c r="P1165" s="10"/>
      <c r="Q1165" s="10"/>
      <c r="R1165" s="10"/>
      <c r="S1165" s="10"/>
      <c r="T1165" s="10"/>
      <c r="U1165" s="10">
        <v>2.63E-2</v>
      </c>
      <c r="V1165" s="10"/>
      <c r="W1165" s="10"/>
      <c r="X1165" s="10"/>
      <c r="Y1165" s="10"/>
      <c r="Z1165" s="10"/>
      <c r="AA1165" s="10"/>
      <c r="AB1165" s="10"/>
      <c r="AC1165" s="67"/>
      <c r="AD1165" s="55"/>
    </row>
    <row r="1166" spans="1:30" s="52" customFormat="1">
      <c r="A1166" s="105"/>
      <c r="B1166" s="24"/>
      <c r="C1166" s="211"/>
      <c r="D1166" s="30">
        <f>$C1165*D1165</f>
        <v>0</v>
      </c>
      <c r="E1166" s="30">
        <f t="shared" ref="E1166" si="2013">$C1165*E1165</f>
        <v>0</v>
      </c>
      <c r="F1166" s="30">
        <f t="shared" ref="F1166" si="2014">$C1165*F1165</f>
        <v>0</v>
      </c>
      <c r="G1166" s="30">
        <f t="shared" ref="G1166:AB1166" si="2015">$C1165*G1165</f>
        <v>259373.24214000002</v>
      </c>
      <c r="H1166" s="30">
        <f t="shared" si="2015"/>
        <v>0</v>
      </c>
      <c r="I1166" s="30">
        <f t="shared" si="2015"/>
        <v>0</v>
      </c>
      <c r="J1166" s="30">
        <f t="shared" si="2015"/>
        <v>0</v>
      </c>
      <c r="K1166" s="30">
        <f t="shared" si="2015"/>
        <v>0</v>
      </c>
      <c r="L1166" s="30">
        <f t="shared" si="2015"/>
        <v>7962.1298000000006</v>
      </c>
      <c r="M1166" s="30">
        <f t="shared" si="2015"/>
        <v>0</v>
      </c>
      <c r="N1166" s="30">
        <f t="shared" si="2015"/>
        <v>0</v>
      </c>
      <c r="O1166" s="30">
        <f t="shared" si="2015"/>
        <v>0</v>
      </c>
      <c r="P1166" s="30">
        <f t="shared" si="2015"/>
        <v>0</v>
      </c>
      <c r="Q1166" s="30">
        <f t="shared" si="2015"/>
        <v>0</v>
      </c>
      <c r="R1166" s="30">
        <f t="shared" si="2015"/>
        <v>0</v>
      </c>
      <c r="S1166" s="30">
        <f t="shared" si="2015"/>
        <v>0</v>
      </c>
      <c r="T1166" s="30">
        <f t="shared" si="2015"/>
        <v>0</v>
      </c>
      <c r="U1166" s="30">
        <f t="shared" si="2015"/>
        <v>7220.8280600000007</v>
      </c>
      <c r="V1166" s="30">
        <f t="shared" si="2015"/>
        <v>0</v>
      </c>
      <c r="W1166" s="30">
        <f t="shared" si="2015"/>
        <v>0</v>
      </c>
      <c r="X1166" s="30">
        <f t="shared" si="2015"/>
        <v>0</v>
      </c>
      <c r="Y1166" s="30">
        <f t="shared" si="2015"/>
        <v>0</v>
      </c>
      <c r="Z1166" s="30">
        <f t="shared" si="2015"/>
        <v>0</v>
      </c>
      <c r="AA1166" s="30">
        <f t="shared" si="2015"/>
        <v>0</v>
      </c>
      <c r="AB1166" s="30">
        <f t="shared" si="2015"/>
        <v>0</v>
      </c>
      <c r="AC1166" s="67"/>
      <c r="AD1166" s="55"/>
    </row>
    <row r="1167" spans="1:30" s="52" customFormat="1">
      <c r="A1167" s="157" t="s">
        <v>368</v>
      </c>
      <c r="B1167" s="181">
        <v>6786983.914991267</v>
      </c>
      <c r="C1167" s="211">
        <f t="shared" si="2012"/>
        <v>565581.99</v>
      </c>
      <c r="D1167" s="10"/>
      <c r="E1167" s="37"/>
      <c r="F1167" s="5">
        <v>7.0300000000000001E-2</v>
      </c>
      <c r="G1167" s="5">
        <v>0.88080000000000003</v>
      </c>
      <c r="H1167" s="10"/>
      <c r="I1167" s="10"/>
      <c r="J1167" s="10"/>
      <c r="K1167" s="10"/>
      <c r="L1167" s="5">
        <v>8.0999999999999996E-3</v>
      </c>
      <c r="M1167" s="10"/>
      <c r="N1167" s="10"/>
      <c r="O1167" s="10"/>
      <c r="P1167" s="10"/>
      <c r="Q1167" s="10"/>
      <c r="R1167" s="10"/>
      <c r="S1167" s="10"/>
      <c r="T1167" s="10"/>
      <c r="U1167" s="10">
        <v>4.0800000000000003E-2</v>
      </c>
      <c r="V1167" s="10"/>
      <c r="W1167" s="10"/>
      <c r="X1167" s="10"/>
      <c r="Y1167" s="10"/>
      <c r="Z1167" s="10"/>
      <c r="AA1167" s="10"/>
      <c r="AB1167" s="10"/>
      <c r="AC1167" s="67"/>
      <c r="AD1167" s="55"/>
    </row>
    <row r="1168" spans="1:30" s="52" customFormat="1">
      <c r="A1168" s="105"/>
      <c r="B1168" s="24"/>
      <c r="C1168" s="211">
        <f t="shared" si="2012"/>
        <v>0</v>
      </c>
      <c r="D1168" s="30">
        <f>$C1167*D1167</f>
        <v>0</v>
      </c>
      <c r="E1168" s="30">
        <f t="shared" ref="E1168" si="2016">$C1167*E1167</f>
        <v>0</v>
      </c>
      <c r="F1168" s="30">
        <f t="shared" ref="F1168" si="2017">$C1167*F1167</f>
        <v>39760.413896999999</v>
      </c>
      <c r="G1168" s="30">
        <f t="shared" ref="G1168:AB1168" si="2018">$C1167*G1167</f>
        <v>498164.61679200002</v>
      </c>
      <c r="H1168" s="30">
        <f t="shared" si="2018"/>
        <v>0</v>
      </c>
      <c r="I1168" s="30">
        <f t="shared" si="2018"/>
        <v>0</v>
      </c>
      <c r="J1168" s="30">
        <f t="shared" si="2018"/>
        <v>0</v>
      </c>
      <c r="K1168" s="30">
        <f t="shared" si="2018"/>
        <v>0</v>
      </c>
      <c r="L1168" s="30">
        <f t="shared" si="2018"/>
        <v>4581.2141189999993</v>
      </c>
      <c r="M1168" s="30">
        <f t="shared" si="2018"/>
        <v>0</v>
      </c>
      <c r="N1168" s="30">
        <f t="shared" si="2018"/>
        <v>0</v>
      </c>
      <c r="O1168" s="30">
        <f t="shared" si="2018"/>
        <v>0</v>
      </c>
      <c r="P1168" s="30">
        <f t="shared" si="2018"/>
        <v>0</v>
      </c>
      <c r="Q1168" s="30">
        <f t="shared" si="2018"/>
        <v>0</v>
      </c>
      <c r="R1168" s="30">
        <f t="shared" si="2018"/>
        <v>0</v>
      </c>
      <c r="S1168" s="30">
        <f t="shared" si="2018"/>
        <v>0</v>
      </c>
      <c r="T1168" s="30">
        <f t="shared" si="2018"/>
        <v>0</v>
      </c>
      <c r="U1168" s="30">
        <f t="shared" si="2018"/>
        <v>23075.745192000002</v>
      </c>
      <c r="V1168" s="30">
        <f t="shared" si="2018"/>
        <v>0</v>
      </c>
      <c r="W1168" s="30">
        <f t="shared" si="2018"/>
        <v>0</v>
      </c>
      <c r="X1168" s="30">
        <f t="shared" si="2018"/>
        <v>0</v>
      </c>
      <c r="Y1168" s="30">
        <f t="shared" si="2018"/>
        <v>0</v>
      </c>
      <c r="Z1168" s="30">
        <f t="shared" si="2018"/>
        <v>0</v>
      </c>
      <c r="AA1168" s="30">
        <f t="shared" si="2018"/>
        <v>0</v>
      </c>
      <c r="AB1168" s="30">
        <f t="shared" si="2018"/>
        <v>0</v>
      </c>
      <c r="AC1168" s="67"/>
      <c r="AD1168" s="55"/>
    </row>
    <row r="1169" spans="1:30" s="52" customFormat="1">
      <c r="A1169" s="157" t="s">
        <v>369</v>
      </c>
      <c r="B1169" s="181">
        <v>15249290.033385282</v>
      </c>
      <c r="C1169" s="211">
        <f t="shared" si="2012"/>
        <v>1270774.17</v>
      </c>
      <c r="D1169" s="10"/>
      <c r="E1169" s="37"/>
      <c r="F1169" s="5">
        <v>4.24E-2</v>
      </c>
      <c r="G1169" s="5">
        <v>0.87760000000000005</v>
      </c>
      <c r="H1169" s="10"/>
      <c r="I1169" s="10"/>
      <c r="J1169" s="10"/>
      <c r="K1169" s="10"/>
      <c r="L1169" s="5">
        <v>4.2700000000000002E-2</v>
      </c>
      <c r="M1169" s="10"/>
      <c r="N1169" s="10"/>
      <c r="O1169" s="10"/>
      <c r="P1169" s="10"/>
      <c r="Q1169" s="10"/>
      <c r="R1169" s="10"/>
      <c r="S1169" s="10"/>
      <c r="T1169" s="10"/>
      <c r="U1169" s="10">
        <v>3.73E-2</v>
      </c>
      <c r="V1169" s="10"/>
      <c r="W1169" s="10"/>
      <c r="X1169" s="10"/>
      <c r="Y1169" s="10"/>
      <c r="Z1169" s="10"/>
      <c r="AA1169" s="10"/>
      <c r="AB1169" s="10"/>
      <c r="AC1169" s="67"/>
      <c r="AD1169" s="55"/>
    </row>
    <row r="1170" spans="1:30" s="52" customFormat="1" ht="13.65" customHeight="1">
      <c r="A1170" s="105"/>
      <c r="B1170" s="24"/>
      <c r="C1170" s="211"/>
      <c r="D1170" s="30">
        <f>$C1169*D1169</f>
        <v>0</v>
      </c>
      <c r="E1170" s="30">
        <f t="shared" ref="E1170" si="2019">$C1169*E1169</f>
        <v>0</v>
      </c>
      <c r="F1170" s="30">
        <f t="shared" ref="F1170" si="2020">$C1169*F1169</f>
        <v>53880.824807999998</v>
      </c>
      <c r="G1170" s="30">
        <f t="shared" ref="G1170:AB1170" si="2021">$C1169*G1169</f>
        <v>1115231.4115919999</v>
      </c>
      <c r="H1170" s="30">
        <f t="shared" si="2021"/>
        <v>0</v>
      </c>
      <c r="I1170" s="30">
        <f t="shared" si="2021"/>
        <v>0</v>
      </c>
      <c r="J1170" s="30">
        <f t="shared" si="2021"/>
        <v>0</v>
      </c>
      <c r="K1170" s="30">
        <f t="shared" si="2021"/>
        <v>0</v>
      </c>
      <c r="L1170" s="30">
        <f t="shared" si="2021"/>
        <v>54262.057058999999</v>
      </c>
      <c r="M1170" s="30">
        <f t="shared" si="2021"/>
        <v>0</v>
      </c>
      <c r="N1170" s="30">
        <f t="shared" si="2021"/>
        <v>0</v>
      </c>
      <c r="O1170" s="30">
        <f t="shared" si="2021"/>
        <v>0</v>
      </c>
      <c r="P1170" s="30">
        <f t="shared" si="2021"/>
        <v>0</v>
      </c>
      <c r="Q1170" s="30">
        <f t="shared" si="2021"/>
        <v>0</v>
      </c>
      <c r="R1170" s="30">
        <f t="shared" si="2021"/>
        <v>0</v>
      </c>
      <c r="S1170" s="30">
        <f t="shared" si="2021"/>
        <v>0</v>
      </c>
      <c r="T1170" s="30">
        <f t="shared" si="2021"/>
        <v>0</v>
      </c>
      <c r="U1170" s="30">
        <f t="shared" si="2021"/>
        <v>47399.876540999998</v>
      </c>
      <c r="V1170" s="30">
        <f t="shared" si="2021"/>
        <v>0</v>
      </c>
      <c r="W1170" s="30">
        <f t="shared" si="2021"/>
        <v>0</v>
      </c>
      <c r="X1170" s="30">
        <f t="shared" si="2021"/>
        <v>0</v>
      </c>
      <c r="Y1170" s="30">
        <f t="shared" si="2021"/>
        <v>0</v>
      </c>
      <c r="Z1170" s="30">
        <f t="shared" si="2021"/>
        <v>0</v>
      </c>
      <c r="AA1170" s="30">
        <f t="shared" si="2021"/>
        <v>0</v>
      </c>
      <c r="AB1170" s="30">
        <f t="shared" si="2021"/>
        <v>0</v>
      </c>
      <c r="AC1170" s="67"/>
      <c r="AD1170" s="55"/>
    </row>
    <row r="1171" spans="1:30" s="52" customFormat="1">
      <c r="A1171" s="157" t="s">
        <v>475</v>
      </c>
      <c r="B1171" s="181">
        <v>532646.4688654237</v>
      </c>
      <c r="C1171" s="211">
        <f t="shared" si="2012"/>
        <v>44387.21</v>
      </c>
      <c r="D1171" s="10"/>
      <c r="E1171" s="37">
        <v>5.3800000000000001E-2</v>
      </c>
      <c r="F1171" s="5">
        <v>4.2700000000000002E-2</v>
      </c>
      <c r="G1171" s="5">
        <v>0.66479999999999995</v>
      </c>
      <c r="H1171" s="10"/>
      <c r="I1171" s="10"/>
      <c r="J1171" s="10">
        <v>2.7099999999999999E-2</v>
      </c>
      <c r="K1171" s="10"/>
      <c r="L1171" s="5">
        <v>4.8500000000000001E-2</v>
      </c>
      <c r="M1171" s="10"/>
      <c r="N1171" s="10">
        <v>5.3100000000000001E-2</v>
      </c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>
        <v>0.11</v>
      </c>
      <c r="AC1171" s="67"/>
      <c r="AD1171" s="55"/>
    </row>
    <row r="1172" spans="1:30" s="52" customFormat="1">
      <c r="A1172" s="105"/>
      <c r="B1172" s="24"/>
      <c r="C1172" s="211"/>
      <c r="D1172" s="30">
        <f>$C1171*D1171</f>
        <v>0</v>
      </c>
      <c r="E1172" s="30">
        <f t="shared" ref="E1172" si="2022">$C1171*E1171</f>
        <v>2388.0318980000002</v>
      </c>
      <c r="F1172" s="30">
        <f t="shared" ref="F1172" si="2023">$C1171*F1171</f>
        <v>1895.3338670000001</v>
      </c>
      <c r="G1172" s="30">
        <f t="shared" ref="G1172:AB1172" si="2024">$C1171*G1171</f>
        <v>29508.617207999996</v>
      </c>
      <c r="H1172" s="30">
        <f t="shared" si="2024"/>
        <v>0</v>
      </c>
      <c r="I1172" s="30">
        <f t="shared" si="2024"/>
        <v>0</v>
      </c>
      <c r="J1172" s="30">
        <f t="shared" si="2024"/>
        <v>1202.8933909999998</v>
      </c>
      <c r="K1172" s="30">
        <f t="shared" si="2024"/>
        <v>0</v>
      </c>
      <c r="L1172" s="30">
        <f t="shared" si="2024"/>
        <v>2152.779685</v>
      </c>
      <c r="M1172" s="30">
        <f t="shared" si="2024"/>
        <v>0</v>
      </c>
      <c r="N1172" s="30">
        <f t="shared" si="2024"/>
        <v>2356.9608509999998</v>
      </c>
      <c r="O1172" s="30">
        <f t="shared" si="2024"/>
        <v>0</v>
      </c>
      <c r="P1172" s="30">
        <f t="shared" si="2024"/>
        <v>0</v>
      </c>
      <c r="Q1172" s="30">
        <f t="shared" si="2024"/>
        <v>0</v>
      </c>
      <c r="R1172" s="30">
        <f t="shared" si="2024"/>
        <v>0</v>
      </c>
      <c r="S1172" s="30">
        <f t="shared" si="2024"/>
        <v>0</v>
      </c>
      <c r="T1172" s="30">
        <f t="shared" si="2024"/>
        <v>0</v>
      </c>
      <c r="U1172" s="30">
        <f t="shared" si="2024"/>
        <v>0</v>
      </c>
      <c r="V1172" s="30">
        <f t="shared" si="2024"/>
        <v>0</v>
      </c>
      <c r="W1172" s="30">
        <f t="shared" si="2024"/>
        <v>0</v>
      </c>
      <c r="X1172" s="30">
        <f t="shared" si="2024"/>
        <v>0</v>
      </c>
      <c r="Y1172" s="30">
        <f t="shared" si="2024"/>
        <v>0</v>
      </c>
      <c r="Z1172" s="30">
        <f t="shared" si="2024"/>
        <v>0</v>
      </c>
      <c r="AA1172" s="30">
        <f t="shared" si="2024"/>
        <v>0</v>
      </c>
      <c r="AB1172" s="30">
        <f t="shared" si="2024"/>
        <v>4882.5931</v>
      </c>
      <c r="AC1172" s="67"/>
      <c r="AD1172" s="55"/>
    </row>
    <row r="1173" spans="1:30" s="52" customFormat="1">
      <c r="A1173" s="157" t="s">
        <v>502</v>
      </c>
      <c r="B1173" s="181">
        <v>572294.10727270111</v>
      </c>
      <c r="C1173" s="211">
        <f t="shared" si="2012"/>
        <v>47691.18</v>
      </c>
      <c r="D1173" s="10"/>
      <c r="E1173" s="37"/>
      <c r="F1173" s="5">
        <v>1</v>
      </c>
      <c r="G1173" s="5"/>
      <c r="H1173" s="10"/>
      <c r="I1173" s="10"/>
      <c r="J1173" s="10"/>
      <c r="K1173" s="10"/>
      <c r="L1173" s="5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67"/>
      <c r="AD1173" s="55"/>
    </row>
    <row r="1174" spans="1:30" s="52" customFormat="1">
      <c r="A1174" s="105"/>
      <c r="B1174" s="24"/>
      <c r="C1174" s="211"/>
      <c r="D1174" s="30">
        <f>$C1173*D1173</f>
        <v>0</v>
      </c>
      <c r="E1174" s="30">
        <f t="shared" ref="E1174" si="2025">$C1173*E1173</f>
        <v>0</v>
      </c>
      <c r="F1174" s="30">
        <f t="shared" ref="F1174" si="2026">$C1173*F1173</f>
        <v>47691.18</v>
      </c>
      <c r="G1174" s="30">
        <f t="shared" ref="G1174:AB1174" si="2027">$C1173*G1173</f>
        <v>0</v>
      </c>
      <c r="H1174" s="30">
        <f t="shared" si="2027"/>
        <v>0</v>
      </c>
      <c r="I1174" s="30">
        <f t="shared" si="2027"/>
        <v>0</v>
      </c>
      <c r="J1174" s="30">
        <f t="shared" si="2027"/>
        <v>0</v>
      </c>
      <c r="K1174" s="30">
        <f t="shared" si="2027"/>
        <v>0</v>
      </c>
      <c r="L1174" s="30">
        <f t="shared" si="2027"/>
        <v>0</v>
      </c>
      <c r="M1174" s="30">
        <f t="shared" si="2027"/>
        <v>0</v>
      </c>
      <c r="N1174" s="30">
        <f t="shared" si="2027"/>
        <v>0</v>
      </c>
      <c r="O1174" s="30">
        <f t="shared" si="2027"/>
        <v>0</v>
      </c>
      <c r="P1174" s="30">
        <f t="shared" si="2027"/>
        <v>0</v>
      </c>
      <c r="Q1174" s="30">
        <f t="shared" si="2027"/>
        <v>0</v>
      </c>
      <c r="R1174" s="30">
        <f t="shared" si="2027"/>
        <v>0</v>
      </c>
      <c r="S1174" s="30">
        <f t="shared" si="2027"/>
        <v>0</v>
      </c>
      <c r="T1174" s="30">
        <f t="shared" si="2027"/>
        <v>0</v>
      </c>
      <c r="U1174" s="30">
        <f t="shared" si="2027"/>
        <v>0</v>
      </c>
      <c r="V1174" s="30">
        <f t="shared" si="2027"/>
        <v>0</v>
      </c>
      <c r="W1174" s="30">
        <f t="shared" si="2027"/>
        <v>0</v>
      </c>
      <c r="X1174" s="30">
        <f t="shared" si="2027"/>
        <v>0</v>
      </c>
      <c r="Y1174" s="30">
        <f t="shared" si="2027"/>
        <v>0</v>
      </c>
      <c r="Z1174" s="30">
        <f t="shared" si="2027"/>
        <v>0</v>
      </c>
      <c r="AA1174" s="30">
        <f t="shared" si="2027"/>
        <v>0</v>
      </c>
      <c r="AB1174" s="30">
        <f t="shared" si="2027"/>
        <v>0</v>
      </c>
      <c r="AC1174" s="67"/>
      <c r="AD1174" s="55"/>
    </row>
    <row r="1175" spans="1:30" s="52" customFormat="1">
      <c r="A1175" s="157" t="s">
        <v>503</v>
      </c>
      <c r="B1175" s="181">
        <v>4784.4628512322088</v>
      </c>
      <c r="C1175" s="211">
        <f t="shared" si="2012"/>
        <v>398.71</v>
      </c>
      <c r="D1175" s="10"/>
      <c r="E1175" s="37"/>
      <c r="F1175" s="5">
        <v>1</v>
      </c>
      <c r="G1175" s="5"/>
      <c r="H1175" s="10"/>
      <c r="I1175" s="10"/>
      <c r="J1175" s="10"/>
      <c r="K1175" s="10"/>
      <c r="L1175" s="5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67"/>
      <c r="AD1175" s="55"/>
    </row>
    <row r="1176" spans="1:30" s="52" customFormat="1">
      <c r="A1176" s="105"/>
      <c r="B1176" s="24"/>
      <c r="C1176" s="211"/>
      <c r="D1176" s="30">
        <f>$C1175*D1175</f>
        <v>0</v>
      </c>
      <c r="E1176" s="30">
        <f t="shared" ref="E1176" si="2028">$C1175*E1175</f>
        <v>0</v>
      </c>
      <c r="F1176" s="30">
        <f t="shared" ref="F1176" si="2029">$C1175*F1175</f>
        <v>398.71</v>
      </c>
      <c r="G1176" s="30">
        <f t="shared" ref="G1176:AB1176" si="2030">$C1175*G1175</f>
        <v>0</v>
      </c>
      <c r="H1176" s="30">
        <f t="shared" si="2030"/>
        <v>0</v>
      </c>
      <c r="I1176" s="30">
        <f t="shared" si="2030"/>
        <v>0</v>
      </c>
      <c r="J1176" s="30">
        <f t="shared" si="2030"/>
        <v>0</v>
      </c>
      <c r="K1176" s="30">
        <f t="shared" si="2030"/>
        <v>0</v>
      </c>
      <c r="L1176" s="30">
        <f t="shared" si="2030"/>
        <v>0</v>
      </c>
      <c r="M1176" s="30">
        <f t="shared" si="2030"/>
        <v>0</v>
      </c>
      <c r="N1176" s="30">
        <f t="shared" si="2030"/>
        <v>0</v>
      </c>
      <c r="O1176" s="30">
        <f t="shared" si="2030"/>
        <v>0</v>
      </c>
      <c r="P1176" s="30">
        <f t="shared" si="2030"/>
        <v>0</v>
      </c>
      <c r="Q1176" s="30">
        <f t="shared" si="2030"/>
        <v>0</v>
      </c>
      <c r="R1176" s="30">
        <f t="shared" si="2030"/>
        <v>0</v>
      </c>
      <c r="S1176" s="30">
        <f t="shared" si="2030"/>
        <v>0</v>
      </c>
      <c r="T1176" s="30">
        <f t="shared" si="2030"/>
        <v>0</v>
      </c>
      <c r="U1176" s="30">
        <f t="shared" si="2030"/>
        <v>0</v>
      </c>
      <c r="V1176" s="30">
        <f t="shared" si="2030"/>
        <v>0</v>
      </c>
      <c r="W1176" s="30">
        <f t="shared" si="2030"/>
        <v>0</v>
      </c>
      <c r="X1176" s="30">
        <f t="shared" si="2030"/>
        <v>0</v>
      </c>
      <c r="Y1176" s="30">
        <f t="shared" si="2030"/>
        <v>0</v>
      </c>
      <c r="Z1176" s="30">
        <f t="shared" si="2030"/>
        <v>0</v>
      </c>
      <c r="AA1176" s="30">
        <f t="shared" si="2030"/>
        <v>0</v>
      </c>
      <c r="AB1176" s="30">
        <f t="shared" si="2030"/>
        <v>0</v>
      </c>
      <c r="AC1176" s="67"/>
      <c r="AD1176" s="55"/>
    </row>
    <row r="1177" spans="1:30" s="52" customFormat="1">
      <c r="A1177" s="157" t="s">
        <v>504</v>
      </c>
      <c r="B1177" s="181">
        <v>44059.122079403838</v>
      </c>
      <c r="C1177" s="211">
        <f t="shared" si="2012"/>
        <v>3671.59</v>
      </c>
      <c r="D1177" s="10"/>
      <c r="E1177" s="37"/>
      <c r="F1177" s="5">
        <v>1</v>
      </c>
      <c r="G1177" s="5"/>
      <c r="H1177" s="10"/>
      <c r="I1177" s="10"/>
      <c r="J1177" s="10"/>
      <c r="K1177" s="10"/>
      <c r="L1177" s="5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67"/>
      <c r="AD1177" s="55"/>
    </row>
    <row r="1178" spans="1:30" s="52" customFormat="1">
      <c r="A1178" s="105"/>
      <c r="B1178" s="24"/>
      <c r="C1178" s="251"/>
      <c r="D1178" s="30">
        <f>$C1177*D1177</f>
        <v>0</v>
      </c>
      <c r="E1178" s="30">
        <f t="shared" ref="E1178" si="2031">$C1177*E1177</f>
        <v>0</v>
      </c>
      <c r="F1178" s="30">
        <f t="shared" ref="F1178" si="2032">$C1177*F1177</f>
        <v>3671.59</v>
      </c>
      <c r="G1178" s="30">
        <f t="shared" ref="G1178:AB1178" si="2033">$C1177*G1177</f>
        <v>0</v>
      </c>
      <c r="H1178" s="30">
        <f t="shared" si="2033"/>
        <v>0</v>
      </c>
      <c r="I1178" s="30">
        <f t="shared" si="2033"/>
        <v>0</v>
      </c>
      <c r="J1178" s="30">
        <f t="shared" si="2033"/>
        <v>0</v>
      </c>
      <c r="K1178" s="30">
        <f t="shared" si="2033"/>
        <v>0</v>
      </c>
      <c r="L1178" s="30">
        <f t="shared" si="2033"/>
        <v>0</v>
      </c>
      <c r="M1178" s="30">
        <f t="shared" si="2033"/>
        <v>0</v>
      </c>
      <c r="N1178" s="30">
        <f t="shared" si="2033"/>
        <v>0</v>
      </c>
      <c r="O1178" s="30">
        <f t="shared" si="2033"/>
        <v>0</v>
      </c>
      <c r="P1178" s="30">
        <f t="shared" si="2033"/>
        <v>0</v>
      </c>
      <c r="Q1178" s="30">
        <f t="shared" si="2033"/>
        <v>0</v>
      </c>
      <c r="R1178" s="30">
        <f t="shared" si="2033"/>
        <v>0</v>
      </c>
      <c r="S1178" s="30">
        <f t="shared" si="2033"/>
        <v>0</v>
      </c>
      <c r="T1178" s="30">
        <f t="shared" si="2033"/>
        <v>0</v>
      </c>
      <c r="U1178" s="30">
        <f t="shared" si="2033"/>
        <v>0</v>
      </c>
      <c r="V1178" s="30">
        <f t="shared" si="2033"/>
        <v>0</v>
      </c>
      <c r="W1178" s="30">
        <f t="shared" si="2033"/>
        <v>0</v>
      </c>
      <c r="X1178" s="30">
        <f t="shared" si="2033"/>
        <v>0</v>
      </c>
      <c r="Y1178" s="30">
        <f t="shared" si="2033"/>
        <v>0</v>
      </c>
      <c r="Z1178" s="30">
        <f t="shared" si="2033"/>
        <v>0</v>
      </c>
      <c r="AA1178" s="30">
        <f t="shared" si="2033"/>
        <v>0</v>
      </c>
      <c r="AB1178" s="30">
        <f t="shared" si="2033"/>
        <v>0</v>
      </c>
      <c r="AC1178" s="67"/>
      <c r="AD1178" s="55"/>
    </row>
    <row r="1179" spans="1:30" s="52" customFormat="1">
      <c r="A1179" s="50" t="s">
        <v>50</v>
      </c>
      <c r="B1179" s="33">
        <f>SUM(B1163:B1178)</f>
        <v>28529633.599216998</v>
      </c>
      <c r="C1179" s="126">
        <f>SUM(C1163:C1178)</f>
        <v>2377469.4699999997</v>
      </c>
      <c r="D1179" s="51">
        <f>D1164+D1166+D1168+D1170+D1172+D1174+D1176+D1178</f>
        <v>0</v>
      </c>
      <c r="E1179" s="51">
        <f>E1164+E1166+E1168+E1170+E1172+E1174+E1176+E1178</f>
        <v>2388.0318980000002</v>
      </c>
      <c r="F1179" s="51">
        <f>F1164+F1166+F1168+F1170+F1172+F1174+F1176+F1178</f>
        <v>148252.33972399999</v>
      </c>
      <c r="G1179" s="51">
        <f t="shared" ref="G1179" si="2034">G1164+G1166+G1168+G1170+G1172+G1174+G1176+G1178</f>
        <v>2068528.342284</v>
      </c>
      <c r="H1179" s="51">
        <f t="shared" ref="H1179" si="2035">H1164+H1166+H1168+H1170+H1172+H1174+H1176+H1178</f>
        <v>0</v>
      </c>
      <c r="I1179" s="51">
        <f t="shared" ref="I1179:AB1179" si="2036">I1164+I1166+I1168+I1170+I1172+I1174+I1176+I1178</f>
        <v>0</v>
      </c>
      <c r="J1179" s="51">
        <f t="shared" si="2036"/>
        <v>1202.8933909999998</v>
      </c>
      <c r="K1179" s="51">
        <f t="shared" si="2036"/>
        <v>0</v>
      </c>
      <c r="L1179" s="51">
        <f t="shared" si="2036"/>
        <v>70236.243812999994</v>
      </c>
      <c r="M1179" s="51">
        <f t="shared" si="2036"/>
        <v>0</v>
      </c>
      <c r="N1179" s="51">
        <f t="shared" si="2036"/>
        <v>2356.9608509999998</v>
      </c>
      <c r="O1179" s="51">
        <f t="shared" si="2036"/>
        <v>0</v>
      </c>
      <c r="P1179" s="51">
        <f t="shared" si="2036"/>
        <v>0</v>
      </c>
      <c r="Q1179" s="51">
        <f t="shared" si="2036"/>
        <v>0</v>
      </c>
      <c r="R1179" s="51">
        <f t="shared" si="2036"/>
        <v>0</v>
      </c>
      <c r="S1179" s="51">
        <f t="shared" si="2036"/>
        <v>0</v>
      </c>
      <c r="T1179" s="51">
        <f t="shared" si="2036"/>
        <v>0</v>
      </c>
      <c r="U1179" s="51">
        <f t="shared" si="2036"/>
        <v>79622.064939000004</v>
      </c>
      <c r="V1179" s="51">
        <f t="shared" si="2036"/>
        <v>0</v>
      </c>
      <c r="W1179" s="51">
        <f t="shared" si="2036"/>
        <v>0</v>
      </c>
      <c r="X1179" s="51">
        <f t="shared" si="2036"/>
        <v>0</v>
      </c>
      <c r="Y1179" s="51">
        <f t="shared" si="2036"/>
        <v>0</v>
      </c>
      <c r="Z1179" s="51">
        <f t="shared" si="2036"/>
        <v>0</v>
      </c>
      <c r="AA1179" s="51">
        <f t="shared" si="2036"/>
        <v>0</v>
      </c>
      <c r="AB1179" s="51">
        <f t="shared" si="2036"/>
        <v>4882.5931</v>
      </c>
      <c r="AC1179" s="67"/>
      <c r="AD1179" s="55"/>
    </row>
    <row r="1180" spans="1:30" s="52" customFormat="1">
      <c r="A1180" s="54"/>
      <c r="B1180" s="7"/>
      <c r="C1180" s="84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67"/>
      <c r="AD1180" s="55"/>
    </row>
    <row r="1181" spans="1:30" s="52" customFormat="1" ht="15.6">
      <c r="A1181" s="91"/>
      <c r="B1181" s="66"/>
      <c r="C1181" s="238"/>
      <c r="D1181" s="17"/>
      <c r="E1181" s="17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17"/>
      <c r="W1181" s="17"/>
      <c r="X1181" s="17"/>
      <c r="Y1181" s="17"/>
      <c r="Z1181" s="17"/>
      <c r="AA1181" s="17"/>
      <c r="AB1181" s="17"/>
      <c r="AC1181" s="67"/>
      <c r="AD1181" s="55"/>
    </row>
    <row r="1182" spans="1:30" s="52" customFormat="1" ht="13.8" thickBot="1">
      <c r="A1182" s="82" t="s">
        <v>507</v>
      </c>
      <c r="B1182" s="127"/>
      <c r="C1182" s="234"/>
      <c r="D1182" s="127"/>
      <c r="E1182" s="1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67"/>
      <c r="AD1182" s="55"/>
    </row>
    <row r="1183" spans="1:30" s="52" customFormat="1" ht="13.8" thickBot="1">
      <c r="A1183" s="113" t="s">
        <v>1</v>
      </c>
      <c r="B1183" s="114" t="s">
        <v>2</v>
      </c>
      <c r="C1183" s="239" t="s">
        <v>3</v>
      </c>
      <c r="D1183" s="263" t="s">
        <v>4</v>
      </c>
      <c r="E1183" s="264"/>
      <c r="F1183" s="264"/>
      <c r="G1183" s="264"/>
      <c r="H1183" s="264"/>
      <c r="I1183" s="264"/>
      <c r="J1183" s="264"/>
      <c r="K1183" s="264"/>
      <c r="L1183" s="264"/>
      <c r="M1183" s="264"/>
      <c r="N1183" s="264"/>
      <c r="O1183" s="264"/>
      <c r="P1183" s="264"/>
      <c r="Q1183" s="264"/>
      <c r="R1183" s="264"/>
      <c r="S1183" s="264"/>
      <c r="T1183" s="264"/>
      <c r="U1183" s="264"/>
      <c r="V1183" s="264"/>
      <c r="W1183" s="264"/>
      <c r="X1183" s="264"/>
      <c r="Y1183" s="264"/>
      <c r="Z1183" s="123"/>
      <c r="AA1183" s="123"/>
      <c r="AB1183" s="123"/>
      <c r="AC1183" s="67"/>
      <c r="AD1183" s="55"/>
    </row>
    <row r="1184" spans="1:30" s="52" customFormat="1">
      <c r="A1184" s="115" t="s">
        <v>5</v>
      </c>
      <c r="B1184" s="116" t="s">
        <v>6</v>
      </c>
      <c r="C1184" s="240" t="s">
        <v>6</v>
      </c>
      <c r="D1184" s="117"/>
      <c r="E1184" s="118"/>
      <c r="F1184" s="118"/>
      <c r="G1184" s="118"/>
      <c r="H1184" s="118"/>
      <c r="I1184" s="118"/>
      <c r="J1184" s="118"/>
      <c r="K1184" s="118"/>
      <c r="L1184" s="118"/>
      <c r="M1184" s="118"/>
      <c r="N1184" s="118"/>
      <c r="O1184" s="118"/>
      <c r="P1184" s="118"/>
      <c r="Q1184" s="118"/>
      <c r="R1184" s="118"/>
      <c r="S1184" s="118"/>
      <c r="T1184" s="118"/>
      <c r="U1184" s="118"/>
      <c r="V1184" s="118"/>
      <c r="W1184" s="118"/>
      <c r="X1184" s="118"/>
      <c r="Y1184" s="119"/>
      <c r="Z1184" s="116" t="s">
        <v>7</v>
      </c>
      <c r="AA1184" s="116"/>
      <c r="AB1184" s="116"/>
      <c r="AC1184" s="67"/>
      <c r="AD1184" s="55"/>
    </row>
    <row r="1185" spans="1:30" s="52" customFormat="1">
      <c r="A1185" s="115" t="s">
        <v>8</v>
      </c>
      <c r="B1185" s="116" t="s">
        <v>9</v>
      </c>
      <c r="C1185" s="240" t="s">
        <v>9</v>
      </c>
      <c r="D1185" s="120" t="s">
        <v>10</v>
      </c>
      <c r="E1185" s="116" t="s">
        <v>11</v>
      </c>
      <c r="F1185" s="116" t="s">
        <v>12</v>
      </c>
      <c r="G1185" s="116" t="s">
        <v>13</v>
      </c>
      <c r="H1185" s="116" t="s">
        <v>14</v>
      </c>
      <c r="I1185" s="116" t="s">
        <v>15</v>
      </c>
      <c r="J1185" s="116" t="s">
        <v>16</v>
      </c>
      <c r="K1185" s="116" t="s">
        <v>17</v>
      </c>
      <c r="L1185" s="116" t="s">
        <v>18</v>
      </c>
      <c r="M1185" s="116" t="s">
        <v>19</v>
      </c>
      <c r="N1185" s="116" t="s">
        <v>20</v>
      </c>
      <c r="O1185" s="116" t="s">
        <v>175</v>
      </c>
      <c r="P1185" s="116" t="s">
        <v>21</v>
      </c>
      <c r="Q1185" s="116" t="s">
        <v>22</v>
      </c>
      <c r="R1185" s="116" t="s">
        <v>23</v>
      </c>
      <c r="S1185" s="116" t="s">
        <v>24</v>
      </c>
      <c r="T1185" s="116" t="s">
        <v>25</v>
      </c>
      <c r="U1185" s="116" t="s">
        <v>26</v>
      </c>
      <c r="V1185" s="116" t="s">
        <v>27</v>
      </c>
      <c r="W1185" s="116" t="s">
        <v>28</v>
      </c>
      <c r="X1185" s="116" t="s">
        <v>29</v>
      </c>
      <c r="Y1185" s="116" t="s">
        <v>30</v>
      </c>
      <c r="Z1185" s="116" t="s">
        <v>31</v>
      </c>
      <c r="AA1185" s="116" t="s">
        <v>493</v>
      </c>
      <c r="AB1185" s="116" t="s">
        <v>476</v>
      </c>
      <c r="AC1185" s="67"/>
      <c r="AD1185" s="55"/>
    </row>
    <row r="1186" spans="1:30" s="52" customFormat="1">
      <c r="A1186" s="115"/>
      <c r="B1186" s="116"/>
      <c r="C1186" s="241" t="s">
        <v>638</v>
      </c>
      <c r="D1186" s="121"/>
      <c r="E1186" s="122"/>
      <c r="F1186" s="122"/>
      <c r="G1186" s="122"/>
      <c r="H1186" s="122"/>
      <c r="I1186" s="122"/>
      <c r="J1186" s="122"/>
      <c r="K1186" s="122"/>
      <c r="L1186" s="122"/>
      <c r="M1186" s="122"/>
      <c r="N1186" s="122"/>
      <c r="O1186" s="122"/>
      <c r="P1186" s="122"/>
      <c r="Q1186" s="122"/>
      <c r="R1186" s="122"/>
      <c r="S1186" s="122"/>
      <c r="T1186" s="122"/>
      <c r="U1186" s="122"/>
      <c r="V1186" s="122"/>
      <c r="W1186" s="122"/>
      <c r="X1186" s="122"/>
      <c r="Y1186" s="122"/>
      <c r="Z1186" s="122"/>
      <c r="AA1186" s="122"/>
      <c r="AB1186" s="122"/>
      <c r="AC1186" s="67"/>
      <c r="AD1186" s="55"/>
    </row>
    <row r="1187" spans="1:30" s="52" customFormat="1">
      <c r="A1187" s="135" t="s">
        <v>280</v>
      </c>
      <c r="B1187" s="180">
        <v>9063716</v>
      </c>
      <c r="C1187" s="211">
        <f>ROUND(B1187/12,2)</f>
        <v>755309.67</v>
      </c>
      <c r="D1187" s="20"/>
      <c r="E1187" s="42">
        <v>1</v>
      </c>
      <c r="F1187" s="5"/>
      <c r="G1187" s="19"/>
      <c r="H1187" s="20"/>
      <c r="I1187" s="20"/>
      <c r="J1187" s="20"/>
      <c r="K1187" s="20"/>
      <c r="L1187" s="5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67"/>
      <c r="AD1187" s="55"/>
    </row>
    <row r="1188" spans="1:30" s="52" customFormat="1">
      <c r="A1188" s="90"/>
      <c r="B1188" s="24"/>
      <c r="C1188" s="251"/>
      <c r="D1188" s="30">
        <f>$C1187*D1187</f>
        <v>0</v>
      </c>
      <c r="E1188" s="30">
        <f t="shared" ref="E1188" si="2037">$C1187*E1187</f>
        <v>755309.67</v>
      </c>
      <c r="F1188" s="30">
        <f t="shared" ref="F1188" si="2038">$C1187*F1187</f>
        <v>0</v>
      </c>
      <c r="G1188" s="30">
        <f t="shared" ref="G1188:AB1188" si="2039">$C1187*G1187</f>
        <v>0</v>
      </c>
      <c r="H1188" s="30">
        <f t="shared" si="2039"/>
        <v>0</v>
      </c>
      <c r="I1188" s="30">
        <f t="shared" si="2039"/>
        <v>0</v>
      </c>
      <c r="J1188" s="30">
        <f t="shared" si="2039"/>
        <v>0</v>
      </c>
      <c r="K1188" s="30">
        <f t="shared" si="2039"/>
        <v>0</v>
      </c>
      <c r="L1188" s="30">
        <f t="shared" si="2039"/>
        <v>0</v>
      </c>
      <c r="M1188" s="30">
        <f t="shared" si="2039"/>
        <v>0</v>
      </c>
      <c r="N1188" s="30">
        <f t="shared" si="2039"/>
        <v>0</v>
      </c>
      <c r="O1188" s="30">
        <f t="shared" si="2039"/>
        <v>0</v>
      </c>
      <c r="P1188" s="30">
        <f t="shared" si="2039"/>
        <v>0</v>
      </c>
      <c r="Q1188" s="30">
        <f t="shared" si="2039"/>
        <v>0</v>
      </c>
      <c r="R1188" s="30">
        <f t="shared" si="2039"/>
        <v>0</v>
      </c>
      <c r="S1188" s="30">
        <f t="shared" si="2039"/>
        <v>0</v>
      </c>
      <c r="T1188" s="30">
        <f t="shared" si="2039"/>
        <v>0</v>
      </c>
      <c r="U1188" s="30">
        <f t="shared" si="2039"/>
        <v>0</v>
      </c>
      <c r="V1188" s="30">
        <f t="shared" si="2039"/>
        <v>0</v>
      </c>
      <c r="W1188" s="30">
        <f t="shared" si="2039"/>
        <v>0</v>
      </c>
      <c r="X1188" s="30">
        <f t="shared" si="2039"/>
        <v>0</v>
      </c>
      <c r="Y1188" s="30">
        <f t="shared" si="2039"/>
        <v>0</v>
      </c>
      <c r="Z1188" s="30">
        <f t="shared" si="2039"/>
        <v>0</v>
      </c>
      <c r="AA1188" s="30">
        <f t="shared" si="2039"/>
        <v>0</v>
      </c>
      <c r="AB1188" s="30">
        <f t="shared" si="2039"/>
        <v>0</v>
      </c>
      <c r="AC1188" s="67"/>
      <c r="AD1188" s="55"/>
    </row>
    <row r="1189" spans="1:30" s="52" customFormat="1" ht="13.2" customHeight="1">
      <c r="A1189" s="50" t="s">
        <v>50</v>
      </c>
      <c r="B1189" s="33">
        <f>SUM(B1187:B1187)</f>
        <v>9063716</v>
      </c>
      <c r="C1189" s="126">
        <f>SUM(C1187:C1187)</f>
        <v>755309.67</v>
      </c>
      <c r="D1189" s="33">
        <f>D1188</f>
        <v>0</v>
      </c>
      <c r="E1189" s="33">
        <f t="shared" ref="E1189" si="2040">E1188</f>
        <v>755309.67</v>
      </c>
      <c r="F1189" s="33">
        <f t="shared" ref="F1189" si="2041">F1188</f>
        <v>0</v>
      </c>
      <c r="G1189" s="33">
        <f t="shared" ref="G1189:AB1189" si="2042">G1188</f>
        <v>0</v>
      </c>
      <c r="H1189" s="33">
        <f t="shared" si="2042"/>
        <v>0</v>
      </c>
      <c r="I1189" s="33">
        <f t="shared" si="2042"/>
        <v>0</v>
      </c>
      <c r="J1189" s="33">
        <f t="shared" si="2042"/>
        <v>0</v>
      </c>
      <c r="K1189" s="33">
        <f t="shared" si="2042"/>
        <v>0</v>
      </c>
      <c r="L1189" s="33">
        <f t="shared" si="2042"/>
        <v>0</v>
      </c>
      <c r="M1189" s="33">
        <f t="shared" si="2042"/>
        <v>0</v>
      </c>
      <c r="N1189" s="33">
        <f t="shared" si="2042"/>
        <v>0</v>
      </c>
      <c r="O1189" s="33">
        <f t="shared" si="2042"/>
        <v>0</v>
      </c>
      <c r="P1189" s="33">
        <f t="shared" si="2042"/>
        <v>0</v>
      </c>
      <c r="Q1189" s="33">
        <f t="shared" si="2042"/>
        <v>0</v>
      </c>
      <c r="R1189" s="33">
        <f t="shared" si="2042"/>
        <v>0</v>
      </c>
      <c r="S1189" s="33">
        <f t="shared" si="2042"/>
        <v>0</v>
      </c>
      <c r="T1189" s="33">
        <f t="shared" si="2042"/>
        <v>0</v>
      </c>
      <c r="U1189" s="33">
        <f t="shared" si="2042"/>
        <v>0</v>
      </c>
      <c r="V1189" s="33">
        <f t="shared" si="2042"/>
        <v>0</v>
      </c>
      <c r="W1189" s="33">
        <f t="shared" si="2042"/>
        <v>0</v>
      </c>
      <c r="X1189" s="33">
        <f t="shared" si="2042"/>
        <v>0</v>
      </c>
      <c r="Y1189" s="33">
        <f t="shared" si="2042"/>
        <v>0</v>
      </c>
      <c r="Z1189" s="33">
        <f t="shared" si="2042"/>
        <v>0</v>
      </c>
      <c r="AA1189" s="33">
        <f t="shared" si="2042"/>
        <v>0</v>
      </c>
      <c r="AB1189" s="33">
        <f t="shared" si="2042"/>
        <v>0</v>
      </c>
      <c r="AC1189" s="67"/>
      <c r="AD1189" s="55"/>
    </row>
    <row r="1190" spans="1:30" s="52" customFormat="1" ht="18" customHeight="1">
      <c r="A1190" s="54"/>
      <c r="B1190" s="7"/>
      <c r="C1190" s="84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67"/>
      <c r="AD1190" s="55"/>
    </row>
    <row r="1191" spans="1:30" s="52" customFormat="1" ht="13.35" customHeight="1">
      <c r="A1191" s="54"/>
      <c r="B1191" s="7"/>
      <c r="C1191" s="84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67"/>
      <c r="AD1191" s="55"/>
    </row>
    <row r="1192" spans="1:30" s="52" customFormat="1" ht="13.8" thickBot="1">
      <c r="A1192" s="82" t="s">
        <v>508</v>
      </c>
      <c r="B1192" s="127"/>
      <c r="C1192" s="234"/>
      <c r="D1192" s="127"/>
      <c r="E1192" s="127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67"/>
      <c r="AD1192" s="55"/>
    </row>
    <row r="1193" spans="1:30" s="52" customFormat="1" ht="13.8" thickBot="1">
      <c r="A1193" s="113" t="s">
        <v>1</v>
      </c>
      <c r="B1193" s="114" t="s">
        <v>2</v>
      </c>
      <c r="C1193" s="239" t="s">
        <v>3</v>
      </c>
      <c r="D1193" s="263" t="s">
        <v>4</v>
      </c>
      <c r="E1193" s="264"/>
      <c r="F1193" s="264"/>
      <c r="G1193" s="264"/>
      <c r="H1193" s="264"/>
      <c r="I1193" s="264"/>
      <c r="J1193" s="264"/>
      <c r="K1193" s="264"/>
      <c r="L1193" s="264"/>
      <c r="M1193" s="264"/>
      <c r="N1193" s="264"/>
      <c r="O1193" s="264"/>
      <c r="P1193" s="264"/>
      <c r="Q1193" s="264"/>
      <c r="R1193" s="264"/>
      <c r="S1193" s="264"/>
      <c r="T1193" s="264"/>
      <c r="U1193" s="264"/>
      <c r="V1193" s="264"/>
      <c r="W1193" s="264"/>
      <c r="X1193" s="264"/>
      <c r="Y1193" s="264"/>
      <c r="Z1193" s="123"/>
      <c r="AA1193" s="123"/>
      <c r="AB1193" s="123"/>
      <c r="AC1193" s="67"/>
      <c r="AD1193" s="55"/>
    </row>
    <row r="1194" spans="1:30" s="52" customFormat="1">
      <c r="A1194" s="115" t="s">
        <v>5</v>
      </c>
      <c r="B1194" s="116" t="s">
        <v>6</v>
      </c>
      <c r="C1194" s="240" t="s">
        <v>6</v>
      </c>
      <c r="D1194" s="117"/>
      <c r="E1194" s="118"/>
      <c r="F1194" s="118"/>
      <c r="G1194" s="118"/>
      <c r="H1194" s="118"/>
      <c r="I1194" s="118"/>
      <c r="J1194" s="118"/>
      <c r="K1194" s="118"/>
      <c r="L1194" s="118"/>
      <c r="M1194" s="118"/>
      <c r="N1194" s="118"/>
      <c r="O1194" s="118"/>
      <c r="P1194" s="118"/>
      <c r="Q1194" s="118"/>
      <c r="R1194" s="118"/>
      <c r="S1194" s="118"/>
      <c r="T1194" s="118"/>
      <c r="U1194" s="118"/>
      <c r="V1194" s="118"/>
      <c r="W1194" s="118"/>
      <c r="X1194" s="118"/>
      <c r="Y1194" s="119"/>
      <c r="Z1194" s="116" t="s">
        <v>7</v>
      </c>
      <c r="AA1194" s="116"/>
      <c r="AB1194" s="116"/>
      <c r="AC1194" s="67"/>
      <c r="AD1194" s="55"/>
    </row>
    <row r="1195" spans="1:30" s="52" customFormat="1">
      <c r="A1195" s="115" t="s">
        <v>8</v>
      </c>
      <c r="B1195" s="116" t="s">
        <v>9</v>
      </c>
      <c r="C1195" s="240" t="s">
        <v>9</v>
      </c>
      <c r="D1195" s="120" t="s">
        <v>10</v>
      </c>
      <c r="E1195" s="116" t="s">
        <v>11</v>
      </c>
      <c r="F1195" s="116" t="s">
        <v>12</v>
      </c>
      <c r="G1195" s="116" t="s">
        <v>13</v>
      </c>
      <c r="H1195" s="116" t="s">
        <v>14</v>
      </c>
      <c r="I1195" s="116" t="s">
        <v>15</v>
      </c>
      <c r="J1195" s="116" t="s">
        <v>16</v>
      </c>
      <c r="K1195" s="116" t="s">
        <v>17</v>
      </c>
      <c r="L1195" s="116" t="s">
        <v>18</v>
      </c>
      <c r="M1195" s="116" t="s">
        <v>19</v>
      </c>
      <c r="N1195" s="116" t="s">
        <v>20</v>
      </c>
      <c r="O1195" s="116" t="s">
        <v>175</v>
      </c>
      <c r="P1195" s="116" t="s">
        <v>21</v>
      </c>
      <c r="Q1195" s="116" t="s">
        <v>22</v>
      </c>
      <c r="R1195" s="116" t="s">
        <v>23</v>
      </c>
      <c r="S1195" s="116" t="s">
        <v>24</v>
      </c>
      <c r="T1195" s="116" t="s">
        <v>25</v>
      </c>
      <c r="U1195" s="116" t="s">
        <v>26</v>
      </c>
      <c r="V1195" s="116" t="s">
        <v>27</v>
      </c>
      <c r="W1195" s="116" t="s">
        <v>28</v>
      </c>
      <c r="X1195" s="116" t="s">
        <v>29</v>
      </c>
      <c r="Y1195" s="116" t="s">
        <v>30</v>
      </c>
      <c r="Z1195" s="116" t="s">
        <v>31</v>
      </c>
      <c r="AA1195" s="116" t="s">
        <v>493</v>
      </c>
      <c r="AB1195" s="116" t="s">
        <v>476</v>
      </c>
      <c r="AC1195" s="67"/>
      <c r="AD1195" s="55"/>
    </row>
    <row r="1196" spans="1:30" s="52" customFormat="1">
      <c r="A1196" s="115"/>
      <c r="B1196" s="116"/>
      <c r="C1196" s="241" t="s">
        <v>638</v>
      </c>
      <c r="D1196" s="121"/>
      <c r="E1196" s="122"/>
      <c r="F1196" s="122"/>
      <c r="G1196" s="122"/>
      <c r="H1196" s="122"/>
      <c r="I1196" s="122"/>
      <c r="J1196" s="122"/>
      <c r="K1196" s="122"/>
      <c r="L1196" s="122"/>
      <c r="M1196" s="122"/>
      <c r="N1196" s="122"/>
      <c r="O1196" s="122"/>
      <c r="P1196" s="122"/>
      <c r="Q1196" s="122"/>
      <c r="R1196" s="122"/>
      <c r="S1196" s="122"/>
      <c r="T1196" s="122"/>
      <c r="U1196" s="122"/>
      <c r="V1196" s="122"/>
      <c r="W1196" s="122"/>
      <c r="X1196" s="122"/>
      <c r="Y1196" s="122"/>
      <c r="Z1196" s="122"/>
      <c r="AA1196" s="122"/>
      <c r="AB1196" s="122"/>
      <c r="AC1196" s="67"/>
      <c r="AD1196" s="55"/>
    </row>
    <row r="1197" spans="1:30" s="52" customFormat="1">
      <c r="A1197" s="135" t="s">
        <v>373</v>
      </c>
      <c r="B1197" s="180">
        <v>838798</v>
      </c>
      <c r="C1197" s="211">
        <f>ROUND(B1197/12,2)</f>
        <v>69899.83</v>
      </c>
      <c r="D1197" s="20"/>
      <c r="E1197" s="42">
        <v>6.4600000000000005E-2</v>
      </c>
      <c r="F1197" s="5">
        <v>8.7400000000000005E-2</v>
      </c>
      <c r="G1197" s="19"/>
      <c r="H1197" s="20">
        <v>0.19739999999999999</v>
      </c>
      <c r="I1197" s="20">
        <v>2.1600000000000001E-2</v>
      </c>
      <c r="J1197" s="20">
        <v>5.8999999999999999E-3</v>
      </c>
      <c r="K1197" s="20">
        <v>1.0200000000000001E-2</v>
      </c>
      <c r="L1197" s="5">
        <v>1E-4</v>
      </c>
      <c r="M1197" s="20"/>
      <c r="N1197" s="20">
        <v>0.39950000000000002</v>
      </c>
      <c r="O1197" s="20">
        <v>4.4999999999999997E-3</v>
      </c>
      <c r="P1197" s="20"/>
      <c r="Q1197" s="20"/>
      <c r="R1197" s="20"/>
      <c r="S1197" s="20"/>
      <c r="T1197" s="20"/>
      <c r="U1197" s="20"/>
      <c r="V1197" s="20">
        <v>0.20880000000000001</v>
      </c>
      <c r="W1197" s="20"/>
      <c r="X1197" s="20"/>
      <c r="Y1197" s="20"/>
      <c r="Z1197" s="20"/>
      <c r="AA1197" s="20"/>
      <c r="AB1197" s="20"/>
      <c r="AC1197" s="67"/>
      <c r="AD1197" s="55"/>
    </row>
    <row r="1198" spans="1:30" s="52" customFormat="1">
      <c r="A1198" s="158" t="s">
        <v>375</v>
      </c>
      <c r="B1198" s="141"/>
      <c r="C1198" s="242"/>
      <c r="D1198" s="30">
        <f t="shared" ref="D1198" si="2043">$C1197*D1197</f>
        <v>0</v>
      </c>
      <c r="E1198" s="30">
        <f t="shared" ref="E1198" si="2044">$C1197*E1197</f>
        <v>4515.5290180000002</v>
      </c>
      <c r="F1198" s="30">
        <f t="shared" ref="F1198:AB1198" si="2045">$C1197*F1197</f>
        <v>6109.2451420000007</v>
      </c>
      <c r="G1198" s="30">
        <f t="shared" si="2045"/>
        <v>0</v>
      </c>
      <c r="H1198" s="30">
        <f t="shared" si="2045"/>
        <v>13798.226441999999</v>
      </c>
      <c r="I1198" s="30">
        <f t="shared" si="2045"/>
        <v>1509.8363280000001</v>
      </c>
      <c r="J1198" s="30">
        <f t="shared" si="2045"/>
        <v>412.408997</v>
      </c>
      <c r="K1198" s="30">
        <f t="shared" si="2045"/>
        <v>712.97826600000008</v>
      </c>
      <c r="L1198" s="30">
        <f t="shared" si="2045"/>
        <v>6.9899830000000005</v>
      </c>
      <c r="M1198" s="30">
        <f t="shared" si="2045"/>
        <v>0</v>
      </c>
      <c r="N1198" s="30">
        <f t="shared" si="2045"/>
        <v>27924.982085000003</v>
      </c>
      <c r="O1198" s="30">
        <f t="shared" si="2045"/>
        <v>314.54923500000001</v>
      </c>
      <c r="P1198" s="30">
        <f t="shared" si="2045"/>
        <v>0</v>
      </c>
      <c r="Q1198" s="30">
        <f t="shared" si="2045"/>
        <v>0</v>
      </c>
      <c r="R1198" s="30">
        <f t="shared" si="2045"/>
        <v>0</v>
      </c>
      <c r="S1198" s="30">
        <f t="shared" si="2045"/>
        <v>0</v>
      </c>
      <c r="T1198" s="30">
        <f t="shared" si="2045"/>
        <v>0</v>
      </c>
      <c r="U1198" s="30">
        <f t="shared" si="2045"/>
        <v>0</v>
      </c>
      <c r="V1198" s="30">
        <f t="shared" si="2045"/>
        <v>14595.084504000002</v>
      </c>
      <c r="W1198" s="30">
        <f t="shared" si="2045"/>
        <v>0</v>
      </c>
      <c r="X1198" s="30">
        <f t="shared" si="2045"/>
        <v>0</v>
      </c>
      <c r="Y1198" s="30">
        <f t="shared" si="2045"/>
        <v>0</v>
      </c>
      <c r="Z1198" s="30">
        <f t="shared" si="2045"/>
        <v>0</v>
      </c>
      <c r="AA1198" s="30">
        <f t="shared" si="2045"/>
        <v>0</v>
      </c>
      <c r="AB1198" s="30">
        <f t="shared" si="2045"/>
        <v>0</v>
      </c>
      <c r="AC1198" s="67"/>
      <c r="AD1198" s="55"/>
    </row>
    <row r="1199" spans="1:30" s="52" customFormat="1">
      <c r="A1199" s="50" t="s">
        <v>50</v>
      </c>
      <c r="B1199" s="33">
        <f>SUM(B1197:B1197)</f>
        <v>838798</v>
      </c>
      <c r="C1199" s="126">
        <f>SUM(C1197:C1197)</f>
        <v>69899.83</v>
      </c>
      <c r="D1199" s="33">
        <f t="shared" ref="D1199" si="2046">D1198</f>
        <v>0</v>
      </c>
      <c r="E1199" s="33">
        <f t="shared" ref="E1199" si="2047">E1198</f>
        <v>4515.5290180000002</v>
      </c>
      <c r="F1199" s="33">
        <f t="shared" ref="F1199:AB1199" si="2048">F1198</f>
        <v>6109.2451420000007</v>
      </c>
      <c r="G1199" s="33">
        <f t="shared" si="2048"/>
        <v>0</v>
      </c>
      <c r="H1199" s="33">
        <f t="shared" si="2048"/>
        <v>13798.226441999999</v>
      </c>
      <c r="I1199" s="33">
        <f t="shared" si="2048"/>
        <v>1509.8363280000001</v>
      </c>
      <c r="J1199" s="33">
        <f t="shared" si="2048"/>
        <v>412.408997</v>
      </c>
      <c r="K1199" s="33">
        <f t="shared" si="2048"/>
        <v>712.97826600000008</v>
      </c>
      <c r="L1199" s="33">
        <f t="shared" si="2048"/>
        <v>6.9899830000000005</v>
      </c>
      <c r="M1199" s="33">
        <f t="shared" si="2048"/>
        <v>0</v>
      </c>
      <c r="N1199" s="33">
        <f t="shared" si="2048"/>
        <v>27924.982085000003</v>
      </c>
      <c r="O1199" s="33">
        <f t="shared" si="2048"/>
        <v>314.54923500000001</v>
      </c>
      <c r="P1199" s="33">
        <f t="shared" si="2048"/>
        <v>0</v>
      </c>
      <c r="Q1199" s="33">
        <f t="shared" si="2048"/>
        <v>0</v>
      </c>
      <c r="R1199" s="33">
        <f t="shared" si="2048"/>
        <v>0</v>
      </c>
      <c r="S1199" s="33">
        <f t="shared" si="2048"/>
        <v>0</v>
      </c>
      <c r="T1199" s="33">
        <f t="shared" si="2048"/>
        <v>0</v>
      </c>
      <c r="U1199" s="33">
        <f t="shared" si="2048"/>
        <v>0</v>
      </c>
      <c r="V1199" s="33">
        <f t="shared" si="2048"/>
        <v>14595.084504000002</v>
      </c>
      <c r="W1199" s="33">
        <f t="shared" si="2048"/>
        <v>0</v>
      </c>
      <c r="X1199" s="33">
        <f t="shared" si="2048"/>
        <v>0</v>
      </c>
      <c r="Y1199" s="33">
        <f t="shared" si="2048"/>
        <v>0</v>
      </c>
      <c r="Z1199" s="33">
        <f t="shared" si="2048"/>
        <v>0</v>
      </c>
      <c r="AA1199" s="33">
        <f t="shared" si="2048"/>
        <v>0</v>
      </c>
      <c r="AB1199" s="33">
        <f t="shared" si="2048"/>
        <v>0</v>
      </c>
      <c r="AC1199" s="67"/>
      <c r="AD1199" s="55"/>
    </row>
    <row r="1200" spans="1:30" s="52" customFormat="1">
      <c r="A1200" s="54"/>
      <c r="B1200" s="7"/>
      <c r="C1200" s="84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67"/>
      <c r="AD1200" s="55"/>
    </row>
    <row r="1201" spans="1:30" s="52" customFormat="1">
      <c r="A1201" s="54"/>
      <c r="B1201" s="7"/>
      <c r="C1201" s="84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67"/>
      <c r="AD1201" s="55"/>
    </row>
    <row r="1202" spans="1:30" s="52" customFormat="1" ht="13.8" thickBot="1">
      <c r="A1202" s="82" t="s">
        <v>509</v>
      </c>
      <c r="B1202" s="127"/>
      <c r="C1202" s="234"/>
      <c r="D1202" s="127"/>
      <c r="E1202" s="127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67"/>
      <c r="AD1202" s="55"/>
    </row>
    <row r="1203" spans="1:30" s="52" customFormat="1" ht="13.8" thickBot="1">
      <c r="A1203" s="113" t="s">
        <v>1</v>
      </c>
      <c r="B1203" s="114" t="s">
        <v>2</v>
      </c>
      <c r="C1203" s="239" t="s">
        <v>3</v>
      </c>
      <c r="D1203" s="263" t="s">
        <v>4</v>
      </c>
      <c r="E1203" s="264"/>
      <c r="F1203" s="264"/>
      <c r="G1203" s="264"/>
      <c r="H1203" s="264"/>
      <c r="I1203" s="264"/>
      <c r="J1203" s="264"/>
      <c r="K1203" s="264"/>
      <c r="L1203" s="264"/>
      <c r="M1203" s="264"/>
      <c r="N1203" s="264"/>
      <c r="O1203" s="264"/>
      <c r="P1203" s="264"/>
      <c r="Q1203" s="264"/>
      <c r="R1203" s="264"/>
      <c r="S1203" s="264"/>
      <c r="T1203" s="264"/>
      <c r="U1203" s="264"/>
      <c r="V1203" s="264"/>
      <c r="W1203" s="264"/>
      <c r="X1203" s="264"/>
      <c r="Y1203" s="264"/>
      <c r="Z1203" s="123"/>
      <c r="AA1203" s="123"/>
      <c r="AB1203" s="123"/>
      <c r="AC1203" s="67"/>
      <c r="AD1203" s="55"/>
    </row>
    <row r="1204" spans="1:30" s="52" customFormat="1">
      <c r="A1204" s="115" t="s">
        <v>5</v>
      </c>
      <c r="B1204" s="116" t="s">
        <v>6</v>
      </c>
      <c r="C1204" s="240" t="s">
        <v>6</v>
      </c>
      <c r="D1204" s="117"/>
      <c r="E1204" s="118"/>
      <c r="F1204" s="118"/>
      <c r="G1204" s="118"/>
      <c r="H1204" s="118"/>
      <c r="I1204" s="118"/>
      <c r="J1204" s="118"/>
      <c r="K1204" s="118"/>
      <c r="L1204" s="118"/>
      <c r="M1204" s="118"/>
      <c r="N1204" s="118"/>
      <c r="O1204" s="118"/>
      <c r="P1204" s="118"/>
      <c r="Q1204" s="118"/>
      <c r="R1204" s="118"/>
      <c r="S1204" s="118"/>
      <c r="T1204" s="118"/>
      <c r="U1204" s="118"/>
      <c r="V1204" s="118"/>
      <c r="W1204" s="118"/>
      <c r="X1204" s="118"/>
      <c r="Y1204" s="119"/>
      <c r="Z1204" s="116" t="s">
        <v>7</v>
      </c>
      <c r="AA1204" s="116"/>
      <c r="AB1204" s="116"/>
      <c r="AC1204" s="67"/>
      <c r="AD1204" s="55"/>
    </row>
    <row r="1205" spans="1:30" s="52" customFormat="1">
      <c r="A1205" s="115" t="s">
        <v>8</v>
      </c>
      <c r="B1205" s="116" t="s">
        <v>9</v>
      </c>
      <c r="C1205" s="240" t="s">
        <v>9</v>
      </c>
      <c r="D1205" s="120" t="s">
        <v>10</v>
      </c>
      <c r="E1205" s="116" t="s">
        <v>11</v>
      </c>
      <c r="F1205" s="116" t="s">
        <v>12</v>
      </c>
      <c r="G1205" s="116" t="s">
        <v>13</v>
      </c>
      <c r="H1205" s="116" t="s">
        <v>14</v>
      </c>
      <c r="I1205" s="116" t="s">
        <v>15</v>
      </c>
      <c r="J1205" s="116" t="s">
        <v>16</v>
      </c>
      <c r="K1205" s="116" t="s">
        <v>17</v>
      </c>
      <c r="L1205" s="116" t="s">
        <v>18</v>
      </c>
      <c r="M1205" s="116" t="s">
        <v>19</v>
      </c>
      <c r="N1205" s="116" t="s">
        <v>20</v>
      </c>
      <c r="O1205" s="116" t="s">
        <v>175</v>
      </c>
      <c r="P1205" s="116" t="s">
        <v>21</v>
      </c>
      <c r="Q1205" s="116" t="s">
        <v>22</v>
      </c>
      <c r="R1205" s="116" t="s">
        <v>23</v>
      </c>
      <c r="S1205" s="116" t="s">
        <v>24</v>
      </c>
      <c r="T1205" s="116" t="s">
        <v>25</v>
      </c>
      <c r="U1205" s="116" t="s">
        <v>26</v>
      </c>
      <c r="V1205" s="116" t="s">
        <v>27</v>
      </c>
      <c r="W1205" s="116" t="s">
        <v>28</v>
      </c>
      <c r="X1205" s="116" t="s">
        <v>29</v>
      </c>
      <c r="Y1205" s="116" t="s">
        <v>30</v>
      </c>
      <c r="Z1205" s="116" t="s">
        <v>31</v>
      </c>
      <c r="AA1205" s="116" t="s">
        <v>493</v>
      </c>
      <c r="AB1205" s="116" t="s">
        <v>476</v>
      </c>
      <c r="AC1205" s="67"/>
      <c r="AD1205" s="55"/>
    </row>
    <row r="1206" spans="1:30" s="52" customFormat="1">
      <c r="A1206" s="115"/>
      <c r="B1206" s="116"/>
      <c r="C1206" s="241" t="s">
        <v>607</v>
      </c>
      <c r="D1206" s="121"/>
      <c r="E1206" s="122"/>
      <c r="F1206" s="122"/>
      <c r="G1206" s="122"/>
      <c r="H1206" s="122"/>
      <c r="I1206" s="122"/>
      <c r="J1206" s="122"/>
      <c r="K1206" s="122"/>
      <c r="L1206" s="122"/>
      <c r="M1206" s="122"/>
      <c r="N1206" s="122"/>
      <c r="O1206" s="122"/>
      <c r="P1206" s="122"/>
      <c r="Q1206" s="122"/>
      <c r="R1206" s="122"/>
      <c r="S1206" s="122"/>
      <c r="T1206" s="122"/>
      <c r="U1206" s="122"/>
      <c r="V1206" s="122"/>
      <c r="W1206" s="122"/>
      <c r="X1206" s="122"/>
      <c r="Y1206" s="122"/>
      <c r="Z1206" s="122"/>
      <c r="AA1206" s="122"/>
      <c r="AB1206" s="122"/>
      <c r="AC1206" s="67"/>
      <c r="AD1206" s="55"/>
    </row>
    <row r="1207" spans="1:30" s="52" customFormat="1">
      <c r="A1207" s="135" t="s">
        <v>373</v>
      </c>
      <c r="B1207" s="180">
        <v>906906</v>
      </c>
      <c r="C1207" s="211">
        <f>ROUND(B1207/12,2)</f>
        <v>75575.5</v>
      </c>
      <c r="D1207" s="20"/>
      <c r="E1207" s="42">
        <v>6.4600000000000005E-2</v>
      </c>
      <c r="F1207" s="5">
        <v>8.7400000000000005E-2</v>
      </c>
      <c r="G1207" s="19"/>
      <c r="H1207" s="20">
        <v>0.19739999999999999</v>
      </c>
      <c r="I1207" s="20">
        <v>2.1600000000000001E-2</v>
      </c>
      <c r="J1207" s="20">
        <v>5.8999999999999999E-3</v>
      </c>
      <c r="K1207" s="20">
        <v>1.0200000000000001E-2</v>
      </c>
      <c r="L1207" s="5">
        <v>1E-4</v>
      </c>
      <c r="M1207" s="20"/>
      <c r="N1207" s="20">
        <v>0.39950000000000002</v>
      </c>
      <c r="O1207" s="20">
        <v>4.4999999999999997E-3</v>
      </c>
      <c r="P1207" s="20"/>
      <c r="Q1207" s="20"/>
      <c r="R1207" s="20"/>
      <c r="S1207" s="20"/>
      <c r="T1207" s="20"/>
      <c r="U1207" s="20"/>
      <c r="V1207" s="20">
        <v>0.20880000000000001</v>
      </c>
      <c r="W1207" s="20"/>
      <c r="X1207" s="20"/>
      <c r="Y1207" s="20"/>
      <c r="Z1207" s="20"/>
      <c r="AA1207" s="20"/>
      <c r="AB1207" s="20"/>
      <c r="AC1207" s="67"/>
      <c r="AD1207" s="55"/>
    </row>
    <row r="1208" spans="1:30" s="52" customFormat="1">
      <c r="A1208" s="53" t="s">
        <v>374</v>
      </c>
      <c r="B1208" s="143"/>
      <c r="C1208" s="247"/>
      <c r="D1208" s="30">
        <f>$C1207*D1207</f>
        <v>0</v>
      </c>
      <c r="E1208" s="30">
        <f>$C1207*E1207</f>
        <v>4882.1773000000003</v>
      </c>
      <c r="F1208" s="30">
        <f t="shared" ref="F1208" si="2049">$C1207*F1207</f>
        <v>6605.2987000000003</v>
      </c>
      <c r="G1208" s="30">
        <f t="shared" ref="G1208" si="2050">$C1207*G1207</f>
        <v>0</v>
      </c>
      <c r="H1208" s="30">
        <f t="shared" ref="H1208:AB1208" si="2051">$C1207*H1207</f>
        <v>14918.6037</v>
      </c>
      <c r="I1208" s="30">
        <f t="shared" si="2051"/>
        <v>1632.4308000000001</v>
      </c>
      <c r="J1208" s="30">
        <f t="shared" si="2051"/>
        <v>445.89544999999998</v>
      </c>
      <c r="K1208" s="30">
        <f t="shared" si="2051"/>
        <v>770.87010000000009</v>
      </c>
      <c r="L1208" s="30">
        <f t="shared" si="2051"/>
        <v>7.55755</v>
      </c>
      <c r="M1208" s="30">
        <f t="shared" si="2051"/>
        <v>0</v>
      </c>
      <c r="N1208" s="30">
        <f t="shared" si="2051"/>
        <v>30192.412250000001</v>
      </c>
      <c r="O1208" s="30">
        <f t="shared" si="2051"/>
        <v>340.08974999999998</v>
      </c>
      <c r="P1208" s="30">
        <f t="shared" si="2051"/>
        <v>0</v>
      </c>
      <c r="Q1208" s="30">
        <f t="shared" si="2051"/>
        <v>0</v>
      </c>
      <c r="R1208" s="30">
        <f t="shared" si="2051"/>
        <v>0</v>
      </c>
      <c r="S1208" s="30">
        <f t="shared" si="2051"/>
        <v>0</v>
      </c>
      <c r="T1208" s="30">
        <f t="shared" si="2051"/>
        <v>0</v>
      </c>
      <c r="U1208" s="30">
        <f t="shared" si="2051"/>
        <v>0</v>
      </c>
      <c r="V1208" s="30">
        <f t="shared" si="2051"/>
        <v>15780.164400000001</v>
      </c>
      <c r="W1208" s="30">
        <f t="shared" si="2051"/>
        <v>0</v>
      </c>
      <c r="X1208" s="30">
        <f t="shared" si="2051"/>
        <v>0</v>
      </c>
      <c r="Y1208" s="30">
        <f t="shared" si="2051"/>
        <v>0</v>
      </c>
      <c r="Z1208" s="30">
        <f t="shared" si="2051"/>
        <v>0</v>
      </c>
      <c r="AA1208" s="30">
        <f t="shared" si="2051"/>
        <v>0</v>
      </c>
      <c r="AB1208" s="30">
        <f t="shared" si="2051"/>
        <v>0</v>
      </c>
      <c r="AC1208" s="67"/>
      <c r="AD1208" s="55"/>
    </row>
    <row r="1209" spans="1:30" s="52" customFormat="1">
      <c r="A1209" s="53" t="s">
        <v>375</v>
      </c>
      <c r="B1209" s="144"/>
      <c r="C1209" s="247"/>
      <c r="D1209" s="20"/>
      <c r="E1209" s="42"/>
      <c r="F1209" s="19"/>
      <c r="G1209" s="19"/>
      <c r="H1209" s="20"/>
      <c r="I1209" s="20"/>
      <c r="J1209" s="20"/>
      <c r="K1209" s="20"/>
      <c r="L1209" s="19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67"/>
      <c r="AD1209" s="55"/>
    </row>
    <row r="1210" spans="1:30" s="52" customFormat="1">
      <c r="A1210" s="53" t="s">
        <v>376</v>
      </c>
      <c r="B1210" s="144"/>
      <c r="C1210" s="247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67"/>
      <c r="AD1210" s="55"/>
    </row>
    <row r="1211" spans="1:30" s="52" customFormat="1">
      <c r="A1211" s="142"/>
      <c r="B1211" s="145"/>
      <c r="C1211" s="236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67"/>
      <c r="AD1211" s="55"/>
    </row>
    <row r="1212" spans="1:30" s="52" customFormat="1">
      <c r="A1212" s="50" t="s">
        <v>50</v>
      </c>
      <c r="B1212" s="33">
        <f>SUM(B1207:B1207)</f>
        <v>906906</v>
      </c>
      <c r="C1212" s="126">
        <f>SUM(C1207:C1207)</f>
        <v>75575.5</v>
      </c>
      <c r="D1212" s="51">
        <f>D1208</f>
        <v>0</v>
      </c>
      <c r="E1212" s="51">
        <f t="shared" ref="E1212" si="2052">E1208</f>
        <v>4882.1773000000003</v>
      </c>
      <c r="F1212" s="51">
        <f t="shared" ref="F1212" si="2053">F1208</f>
        <v>6605.2987000000003</v>
      </c>
      <c r="G1212" s="51">
        <f t="shared" ref="G1212:AB1212" si="2054">G1208</f>
        <v>0</v>
      </c>
      <c r="H1212" s="51">
        <f t="shared" si="2054"/>
        <v>14918.6037</v>
      </c>
      <c r="I1212" s="51">
        <f t="shared" si="2054"/>
        <v>1632.4308000000001</v>
      </c>
      <c r="J1212" s="51">
        <f t="shared" si="2054"/>
        <v>445.89544999999998</v>
      </c>
      <c r="K1212" s="51">
        <f t="shared" si="2054"/>
        <v>770.87010000000009</v>
      </c>
      <c r="L1212" s="51">
        <f t="shared" si="2054"/>
        <v>7.55755</v>
      </c>
      <c r="M1212" s="51">
        <f t="shared" si="2054"/>
        <v>0</v>
      </c>
      <c r="N1212" s="51">
        <f t="shared" si="2054"/>
        <v>30192.412250000001</v>
      </c>
      <c r="O1212" s="51">
        <f t="shared" si="2054"/>
        <v>340.08974999999998</v>
      </c>
      <c r="P1212" s="51">
        <f t="shared" si="2054"/>
        <v>0</v>
      </c>
      <c r="Q1212" s="51">
        <f t="shared" si="2054"/>
        <v>0</v>
      </c>
      <c r="R1212" s="51">
        <f t="shared" si="2054"/>
        <v>0</v>
      </c>
      <c r="S1212" s="51">
        <f t="shared" si="2054"/>
        <v>0</v>
      </c>
      <c r="T1212" s="51">
        <f t="shared" si="2054"/>
        <v>0</v>
      </c>
      <c r="U1212" s="51">
        <f t="shared" si="2054"/>
        <v>0</v>
      </c>
      <c r="V1212" s="51">
        <f t="shared" si="2054"/>
        <v>15780.164400000001</v>
      </c>
      <c r="W1212" s="51">
        <f t="shared" si="2054"/>
        <v>0</v>
      </c>
      <c r="X1212" s="51">
        <f t="shared" si="2054"/>
        <v>0</v>
      </c>
      <c r="Y1212" s="51">
        <f t="shared" si="2054"/>
        <v>0</v>
      </c>
      <c r="Z1212" s="51">
        <f t="shared" si="2054"/>
        <v>0</v>
      </c>
      <c r="AA1212" s="51">
        <f t="shared" si="2054"/>
        <v>0</v>
      </c>
      <c r="AB1212" s="51">
        <f t="shared" si="2054"/>
        <v>0</v>
      </c>
      <c r="AC1212" s="67"/>
      <c r="AD1212" s="55"/>
    </row>
    <row r="1213" spans="1:30" s="52" customFormat="1">
      <c r="A1213" s="54"/>
      <c r="B1213" s="7"/>
      <c r="C1213" s="84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67"/>
      <c r="AD1213" s="55"/>
    </row>
    <row r="1214" spans="1:30" s="52" customFormat="1">
      <c r="A1214" s="54"/>
      <c r="B1214" s="7"/>
      <c r="C1214" s="84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67"/>
      <c r="AD1214" s="55"/>
    </row>
    <row r="1215" spans="1:30" s="52" customFormat="1" ht="13.8" thickBot="1">
      <c r="A1215" s="82" t="s">
        <v>511</v>
      </c>
      <c r="B1215" s="127"/>
      <c r="C1215" s="234"/>
      <c r="D1215" s="127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67"/>
      <c r="AD1215" s="55"/>
    </row>
    <row r="1216" spans="1:30" s="52" customFormat="1" ht="13.8" thickBot="1">
      <c r="A1216" s="113" t="s">
        <v>1</v>
      </c>
      <c r="B1216" s="114" t="s">
        <v>2</v>
      </c>
      <c r="C1216" s="239" t="s">
        <v>3</v>
      </c>
      <c r="D1216" s="263" t="s">
        <v>4</v>
      </c>
      <c r="E1216" s="264"/>
      <c r="F1216" s="264"/>
      <c r="G1216" s="264"/>
      <c r="H1216" s="264"/>
      <c r="I1216" s="264"/>
      <c r="J1216" s="264"/>
      <c r="K1216" s="264"/>
      <c r="L1216" s="264"/>
      <c r="M1216" s="264"/>
      <c r="N1216" s="264"/>
      <c r="O1216" s="264"/>
      <c r="P1216" s="264"/>
      <c r="Q1216" s="264"/>
      <c r="R1216" s="264"/>
      <c r="S1216" s="264"/>
      <c r="T1216" s="264"/>
      <c r="U1216" s="264"/>
      <c r="V1216" s="264"/>
      <c r="W1216" s="264"/>
      <c r="X1216" s="264"/>
      <c r="Y1216" s="264"/>
      <c r="Z1216" s="123"/>
      <c r="AA1216" s="123"/>
      <c r="AB1216" s="123"/>
      <c r="AC1216" s="67"/>
      <c r="AD1216" s="55"/>
    </row>
    <row r="1217" spans="1:30" s="52" customFormat="1">
      <c r="A1217" s="115" t="s">
        <v>5</v>
      </c>
      <c r="B1217" s="116" t="s">
        <v>6</v>
      </c>
      <c r="C1217" s="240" t="s">
        <v>6</v>
      </c>
      <c r="D1217" s="117"/>
      <c r="E1217" s="118"/>
      <c r="F1217" s="118"/>
      <c r="G1217" s="118"/>
      <c r="H1217" s="118"/>
      <c r="I1217" s="118"/>
      <c r="J1217" s="118"/>
      <c r="K1217" s="118"/>
      <c r="L1217" s="118"/>
      <c r="M1217" s="118"/>
      <c r="N1217" s="118"/>
      <c r="O1217" s="118"/>
      <c r="P1217" s="118"/>
      <c r="Q1217" s="118"/>
      <c r="R1217" s="118"/>
      <c r="S1217" s="118"/>
      <c r="T1217" s="118"/>
      <c r="U1217" s="118"/>
      <c r="V1217" s="118"/>
      <c r="W1217" s="118"/>
      <c r="X1217" s="118"/>
      <c r="Y1217" s="119"/>
      <c r="Z1217" s="116" t="s">
        <v>7</v>
      </c>
      <c r="AA1217" s="116"/>
      <c r="AB1217" s="116"/>
      <c r="AC1217" s="67"/>
      <c r="AD1217" s="55"/>
    </row>
    <row r="1218" spans="1:30" s="52" customFormat="1">
      <c r="A1218" s="115" t="s">
        <v>8</v>
      </c>
      <c r="B1218" s="116" t="s">
        <v>9</v>
      </c>
      <c r="C1218" s="240" t="s">
        <v>9</v>
      </c>
      <c r="D1218" s="120" t="s">
        <v>10</v>
      </c>
      <c r="E1218" s="116" t="s">
        <v>11</v>
      </c>
      <c r="F1218" s="116" t="s">
        <v>12</v>
      </c>
      <c r="G1218" s="116" t="s">
        <v>13</v>
      </c>
      <c r="H1218" s="116" t="s">
        <v>14</v>
      </c>
      <c r="I1218" s="116" t="s">
        <v>15</v>
      </c>
      <c r="J1218" s="116" t="s">
        <v>16</v>
      </c>
      <c r="K1218" s="116" t="s">
        <v>17</v>
      </c>
      <c r="L1218" s="116" t="s">
        <v>18</v>
      </c>
      <c r="M1218" s="116" t="s">
        <v>19</v>
      </c>
      <c r="N1218" s="116" t="s">
        <v>20</v>
      </c>
      <c r="O1218" s="116" t="s">
        <v>175</v>
      </c>
      <c r="P1218" s="116" t="s">
        <v>21</v>
      </c>
      <c r="Q1218" s="116" t="s">
        <v>22</v>
      </c>
      <c r="R1218" s="116" t="s">
        <v>23</v>
      </c>
      <c r="S1218" s="116" t="s">
        <v>24</v>
      </c>
      <c r="T1218" s="116" t="s">
        <v>25</v>
      </c>
      <c r="U1218" s="116" t="s">
        <v>26</v>
      </c>
      <c r="V1218" s="116" t="s">
        <v>27</v>
      </c>
      <c r="W1218" s="116" t="s">
        <v>28</v>
      </c>
      <c r="X1218" s="116" t="s">
        <v>29</v>
      </c>
      <c r="Y1218" s="116" t="s">
        <v>30</v>
      </c>
      <c r="Z1218" s="116" t="s">
        <v>31</v>
      </c>
      <c r="AA1218" s="116" t="s">
        <v>493</v>
      </c>
      <c r="AB1218" s="116" t="s">
        <v>476</v>
      </c>
      <c r="AC1218" s="67"/>
      <c r="AD1218" s="55"/>
    </row>
    <row r="1219" spans="1:30" s="52" customFormat="1">
      <c r="A1219" s="115"/>
      <c r="B1219" s="116"/>
      <c r="C1219" s="241" t="s">
        <v>607</v>
      </c>
      <c r="D1219" s="121"/>
      <c r="E1219" s="122"/>
      <c r="F1219" s="122"/>
      <c r="G1219" s="122"/>
      <c r="H1219" s="122"/>
      <c r="I1219" s="122"/>
      <c r="J1219" s="122"/>
      <c r="K1219" s="122"/>
      <c r="L1219" s="122"/>
      <c r="M1219" s="122"/>
      <c r="N1219" s="122"/>
      <c r="O1219" s="122"/>
      <c r="P1219" s="122"/>
      <c r="Q1219" s="122"/>
      <c r="R1219" s="122"/>
      <c r="S1219" s="122"/>
      <c r="T1219" s="122"/>
      <c r="U1219" s="122"/>
      <c r="V1219" s="122"/>
      <c r="W1219" s="122"/>
      <c r="X1219" s="122"/>
      <c r="Y1219" s="122"/>
      <c r="Z1219" s="122"/>
      <c r="AA1219" s="122"/>
      <c r="AB1219" s="122"/>
      <c r="AC1219" s="67"/>
      <c r="AD1219" s="55"/>
    </row>
    <row r="1220" spans="1:30" s="52" customFormat="1">
      <c r="A1220" s="135" t="s">
        <v>516</v>
      </c>
      <c r="B1220" s="180">
        <v>25861317.490968321</v>
      </c>
      <c r="C1220" s="211">
        <f>ROUND(B1220/12,2)</f>
        <v>2155109.79</v>
      </c>
      <c r="D1220" s="20">
        <v>8.0100000000000005E-2</v>
      </c>
      <c r="E1220" s="42"/>
      <c r="F1220" s="5"/>
      <c r="G1220" s="19"/>
      <c r="H1220" s="20">
        <v>1.9400000000000001E-2</v>
      </c>
      <c r="I1220" s="20"/>
      <c r="J1220" s="20"/>
      <c r="K1220" s="20"/>
      <c r="L1220" s="5"/>
      <c r="M1220" s="20">
        <v>0.12989999999999999</v>
      </c>
      <c r="N1220" s="20"/>
      <c r="O1220" s="20"/>
      <c r="P1220" s="20"/>
      <c r="Q1220" s="20">
        <v>0.13850000000000001</v>
      </c>
      <c r="R1220" s="20">
        <v>5.8799999999999998E-2</v>
      </c>
      <c r="S1220" s="20">
        <v>3.4500000000000003E-2</v>
      </c>
      <c r="T1220" s="20">
        <v>0.1762</v>
      </c>
      <c r="U1220" s="20"/>
      <c r="V1220" s="20"/>
      <c r="W1220" s="20">
        <v>0.14849999999999999</v>
      </c>
      <c r="X1220" s="20">
        <v>0.2079</v>
      </c>
      <c r="Y1220" s="20">
        <v>6.1999999999999998E-3</v>
      </c>
      <c r="Z1220" s="20"/>
      <c r="AA1220" s="20"/>
      <c r="AB1220" s="20"/>
      <c r="AC1220" s="67"/>
      <c r="AD1220" s="55"/>
    </row>
    <row r="1221" spans="1:30" s="52" customFormat="1">
      <c r="A1221" s="90"/>
      <c r="B1221" s="17"/>
      <c r="C1221" s="242"/>
      <c r="D1221" s="30">
        <f t="shared" ref="D1221" si="2055">$C1220*D1220</f>
        <v>172624.29417900002</v>
      </c>
      <c r="E1221" s="30">
        <f t="shared" ref="E1221" si="2056">$C1220*E1220</f>
        <v>0</v>
      </c>
      <c r="F1221" s="30">
        <f t="shared" ref="F1221:AB1221" si="2057">$C1220*F1220</f>
        <v>0</v>
      </c>
      <c r="G1221" s="30">
        <f t="shared" si="2057"/>
        <v>0</v>
      </c>
      <c r="H1221" s="30">
        <f t="shared" si="2057"/>
        <v>41809.129926000001</v>
      </c>
      <c r="I1221" s="30">
        <f t="shared" si="2057"/>
        <v>0</v>
      </c>
      <c r="J1221" s="30">
        <f t="shared" si="2057"/>
        <v>0</v>
      </c>
      <c r="K1221" s="30">
        <f t="shared" si="2057"/>
        <v>0</v>
      </c>
      <c r="L1221" s="30">
        <f t="shared" si="2057"/>
        <v>0</v>
      </c>
      <c r="M1221" s="30">
        <f t="shared" si="2057"/>
        <v>279948.76172099996</v>
      </c>
      <c r="N1221" s="30">
        <f t="shared" si="2057"/>
        <v>0</v>
      </c>
      <c r="O1221" s="30">
        <f t="shared" si="2057"/>
        <v>0</v>
      </c>
      <c r="P1221" s="30">
        <f t="shared" si="2057"/>
        <v>0</v>
      </c>
      <c r="Q1221" s="30">
        <f t="shared" si="2057"/>
        <v>298482.70591500006</v>
      </c>
      <c r="R1221" s="30">
        <f t="shared" si="2057"/>
        <v>126720.455652</v>
      </c>
      <c r="S1221" s="30">
        <f t="shared" si="2057"/>
        <v>74351.287755000012</v>
      </c>
      <c r="T1221" s="30">
        <f t="shared" si="2057"/>
        <v>379730.34499800002</v>
      </c>
      <c r="U1221" s="30">
        <f t="shared" si="2057"/>
        <v>0</v>
      </c>
      <c r="V1221" s="30">
        <f t="shared" si="2057"/>
        <v>0</v>
      </c>
      <c r="W1221" s="30">
        <f t="shared" si="2057"/>
        <v>320033.80381499999</v>
      </c>
      <c r="X1221" s="30">
        <f t="shared" si="2057"/>
        <v>448047.32534099999</v>
      </c>
      <c r="Y1221" s="30">
        <f t="shared" si="2057"/>
        <v>13361.680698</v>
      </c>
      <c r="Z1221" s="30">
        <f t="shared" si="2057"/>
        <v>0</v>
      </c>
      <c r="AA1221" s="30">
        <f t="shared" si="2057"/>
        <v>0</v>
      </c>
      <c r="AB1221" s="30">
        <f t="shared" si="2057"/>
        <v>0</v>
      </c>
      <c r="AC1221" s="67"/>
      <c r="AD1221" s="55"/>
    </row>
    <row r="1222" spans="1:30" s="52" customFormat="1">
      <c r="A1222" s="50" t="s">
        <v>50</v>
      </c>
      <c r="B1222" s="33">
        <f>SUM(B1220:B1220)</f>
        <v>25861317.490968321</v>
      </c>
      <c r="C1222" s="126">
        <f>SUM(C1220:C1220)</f>
        <v>2155109.79</v>
      </c>
      <c r="D1222" s="51">
        <f>D1221</f>
        <v>172624.29417900002</v>
      </c>
      <c r="E1222" s="51">
        <f>E1221</f>
        <v>0</v>
      </c>
      <c r="F1222" s="51">
        <f t="shared" ref="F1222" si="2058">F1221</f>
        <v>0</v>
      </c>
      <c r="G1222" s="51">
        <f t="shared" ref="G1222" si="2059">G1221</f>
        <v>0</v>
      </c>
      <c r="H1222" s="51">
        <f t="shared" ref="H1222:AB1222" si="2060">H1221</f>
        <v>41809.129926000001</v>
      </c>
      <c r="I1222" s="51">
        <f t="shared" si="2060"/>
        <v>0</v>
      </c>
      <c r="J1222" s="51">
        <f t="shared" si="2060"/>
        <v>0</v>
      </c>
      <c r="K1222" s="51">
        <f t="shared" si="2060"/>
        <v>0</v>
      </c>
      <c r="L1222" s="51">
        <f t="shared" si="2060"/>
        <v>0</v>
      </c>
      <c r="M1222" s="51">
        <f t="shared" si="2060"/>
        <v>279948.76172099996</v>
      </c>
      <c r="N1222" s="51">
        <f t="shared" si="2060"/>
        <v>0</v>
      </c>
      <c r="O1222" s="51">
        <f t="shared" si="2060"/>
        <v>0</v>
      </c>
      <c r="P1222" s="51">
        <f t="shared" si="2060"/>
        <v>0</v>
      </c>
      <c r="Q1222" s="51">
        <f t="shared" si="2060"/>
        <v>298482.70591500006</v>
      </c>
      <c r="R1222" s="51">
        <f t="shared" si="2060"/>
        <v>126720.455652</v>
      </c>
      <c r="S1222" s="51">
        <f t="shared" si="2060"/>
        <v>74351.287755000012</v>
      </c>
      <c r="T1222" s="51">
        <f t="shared" si="2060"/>
        <v>379730.34499800002</v>
      </c>
      <c r="U1222" s="51">
        <f t="shared" si="2060"/>
        <v>0</v>
      </c>
      <c r="V1222" s="51">
        <f t="shared" si="2060"/>
        <v>0</v>
      </c>
      <c r="W1222" s="51">
        <f t="shared" si="2060"/>
        <v>320033.80381499999</v>
      </c>
      <c r="X1222" s="51">
        <f t="shared" si="2060"/>
        <v>448047.32534099999</v>
      </c>
      <c r="Y1222" s="51">
        <f t="shared" si="2060"/>
        <v>13361.680698</v>
      </c>
      <c r="Z1222" s="51">
        <f t="shared" si="2060"/>
        <v>0</v>
      </c>
      <c r="AA1222" s="51">
        <f t="shared" si="2060"/>
        <v>0</v>
      </c>
      <c r="AB1222" s="51">
        <f t="shared" si="2060"/>
        <v>0</v>
      </c>
      <c r="AC1222" s="67"/>
      <c r="AD1222" s="55"/>
    </row>
    <row r="1223" spans="1:30" s="52" customFormat="1">
      <c r="A1223" s="54"/>
      <c r="B1223" s="7"/>
      <c r="C1223" s="84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67"/>
      <c r="AD1223" s="55"/>
    </row>
    <row r="1224" spans="1:30" s="52" customFormat="1">
      <c r="A1224" s="54"/>
      <c r="B1224" s="7"/>
      <c r="C1224" s="84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67"/>
      <c r="AD1224" s="55"/>
    </row>
    <row r="1225" spans="1:30" s="52" customFormat="1" ht="13.8" thickBot="1">
      <c r="A1225" s="82" t="s">
        <v>522</v>
      </c>
      <c r="B1225" s="127"/>
      <c r="C1225" s="234"/>
      <c r="D1225" s="127"/>
      <c r="E1225" s="127"/>
      <c r="F1225" s="127"/>
      <c r="G1225" s="127"/>
      <c r="H1225" s="127"/>
      <c r="I1225" s="127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67"/>
    </row>
    <row r="1226" spans="1:30" s="52" customFormat="1" ht="13.8" thickBot="1">
      <c r="A1226" s="113" t="s">
        <v>1</v>
      </c>
      <c r="B1226" s="114" t="s">
        <v>2</v>
      </c>
      <c r="C1226" s="239" t="s">
        <v>3</v>
      </c>
      <c r="D1226" s="263" t="s">
        <v>4</v>
      </c>
      <c r="E1226" s="264"/>
      <c r="F1226" s="264"/>
      <c r="G1226" s="264"/>
      <c r="H1226" s="264"/>
      <c r="I1226" s="264"/>
      <c r="J1226" s="264"/>
      <c r="K1226" s="264"/>
      <c r="L1226" s="264"/>
      <c r="M1226" s="264"/>
      <c r="N1226" s="264"/>
      <c r="O1226" s="264"/>
      <c r="P1226" s="264"/>
      <c r="Q1226" s="264"/>
      <c r="R1226" s="264"/>
      <c r="S1226" s="264"/>
      <c r="T1226" s="264"/>
      <c r="U1226" s="264"/>
      <c r="V1226" s="264"/>
      <c r="W1226" s="264"/>
      <c r="X1226" s="264"/>
      <c r="Y1226" s="264"/>
      <c r="Z1226" s="123"/>
      <c r="AA1226" s="123"/>
      <c r="AB1226" s="123"/>
      <c r="AC1226" s="67"/>
    </row>
    <row r="1227" spans="1:30">
      <c r="A1227" s="115" t="s">
        <v>5</v>
      </c>
      <c r="B1227" s="116" t="s">
        <v>6</v>
      </c>
      <c r="C1227" s="240" t="s">
        <v>6</v>
      </c>
      <c r="D1227" s="117"/>
      <c r="E1227" s="118"/>
      <c r="F1227" s="118"/>
      <c r="G1227" s="118"/>
      <c r="H1227" s="118"/>
      <c r="I1227" s="118"/>
      <c r="J1227" s="118"/>
      <c r="K1227" s="118"/>
      <c r="L1227" s="118"/>
      <c r="M1227" s="118"/>
      <c r="N1227" s="118"/>
      <c r="O1227" s="118"/>
      <c r="P1227" s="118"/>
      <c r="Q1227" s="118"/>
      <c r="R1227" s="118"/>
      <c r="S1227" s="118"/>
      <c r="T1227" s="118"/>
      <c r="U1227" s="118"/>
      <c r="V1227" s="118"/>
      <c r="W1227" s="118"/>
      <c r="X1227" s="118"/>
      <c r="Y1227" s="119"/>
      <c r="Z1227" s="116" t="s">
        <v>7</v>
      </c>
      <c r="AA1227" s="116"/>
      <c r="AB1227" s="116"/>
      <c r="AC1227" s="67"/>
    </row>
    <row r="1228" spans="1:30">
      <c r="A1228" s="115" t="s">
        <v>8</v>
      </c>
      <c r="B1228" s="116" t="s">
        <v>9</v>
      </c>
      <c r="C1228" s="240" t="s">
        <v>9</v>
      </c>
      <c r="D1228" s="120" t="s">
        <v>10</v>
      </c>
      <c r="E1228" s="116" t="s">
        <v>11</v>
      </c>
      <c r="F1228" s="116" t="s">
        <v>12</v>
      </c>
      <c r="G1228" s="116" t="s">
        <v>13</v>
      </c>
      <c r="H1228" s="116" t="s">
        <v>14</v>
      </c>
      <c r="I1228" s="116" t="s">
        <v>15</v>
      </c>
      <c r="J1228" s="116" t="s">
        <v>16</v>
      </c>
      <c r="K1228" s="116" t="s">
        <v>17</v>
      </c>
      <c r="L1228" s="116" t="s">
        <v>18</v>
      </c>
      <c r="M1228" s="116" t="s">
        <v>19</v>
      </c>
      <c r="N1228" s="116" t="s">
        <v>20</v>
      </c>
      <c r="O1228" s="116" t="s">
        <v>175</v>
      </c>
      <c r="P1228" s="116" t="s">
        <v>21</v>
      </c>
      <c r="Q1228" s="116" t="s">
        <v>22</v>
      </c>
      <c r="R1228" s="116" t="s">
        <v>23</v>
      </c>
      <c r="S1228" s="116" t="s">
        <v>24</v>
      </c>
      <c r="T1228" s="116" t="s">
        <v>25</v>
      </c>
      <c r="U1228" s="116" t="s">
        <v>26</v>
      </c>
      <c r="V1228" s="116" t="s">
        <v>27</v>
      </c>
      <c r="W1228" s="116" t="s">
        <v>28</v>
      </c>
      <c r="X1228" s="116" t="s">
        <v>29</v>
      </c>
      <c r="Y1228" s="116" t="s">
        <v>30</v>
      </c>
      <c r="Z1228" s="116" t="s">
        <v>31</v>
      </c>
      <c r="AA1228" s="116" t="s">
        <v>493</v>
      </c>
      <c r="AB1228" s="116" t="s">
        <v>476</v>
      </c>
      <c r="AC1228" s="67"/>
    </row>
    <row r="1229" spans="1:30">
      <c r="A1229" s="115"/>
      <c r="B1229" s="116"/>
      <c r="C1229" s="241" t="s">
        <v>638</v>
      </c>
      <c r="D1229" s="121"/>
      <c r="E1229" s="122"/>
      <c r="F1229" s="122"/>
      <c r="G1229" s="122"/>
      <c r="H1229" s="122"/>
      <c r="I1229" s="122"/>
      <c r="J1229" s="122"/>
      <c r="K1229" s="122"/>
      <c r="L1229" s="122"/>
      <c r="M1229" s="122"/>
      <c r="N1229" s="122"/>
      <c r="O1229" s="122"/>
      <c r="P1229" s="122"/>
      <c r="Q1229" s="122"/>
      <c r="R1229" s="122"/>
      <c r="S1229" s="122"/>
      <c r="T1229" s="122"/>
      <c r="U1229" s="122"/>
      <c r="V1229" s="122"/>
      <c r="W1229" s="122"/>
      <c r="X1229" s="122"/>
      <c r="Y1229" s="122"/>
      <c r="Z1229" s="122"/>
      <c r="AA1229" s="122"/>
      <c r="AB1229" s="122"/>
      <c r="AC1229" s="67"/>
    </row>
    <row r="1230" spans="1:30">
      <c r="A1230" s="129" t="s">
        <v>518</v>
      </c>
      <c r="B1230" s="182">
        <v>846120</v>
      </c>
      <c r="C1230" s="211">
        <f>ROUND(B1230/12,2)</f>
        <v>70510</v>
      </c>
      <c r="D1230" s="130">
        <v>9.7000000000000003E-3</v>
      </c>
      <c r="E1230" s="130">
        <v>0.16650000000000001</v>
      </c>
      <c r="F1230" s="130">
        <v>4.9399999999999999E-2</v>
      </c>
      <c r="G1230" s="130">
        <v>7.7700000000000005E-2</v>
      </c>
      <c r="H1230" s="130">
        <v>5.1999999999999998E-2</v>
      </c>
      <c r="I1230" s="130"/>
      <c r="J1230" s="130">
        <v>1.8499999999999999E-2</v>
      </c>
      <c r="K1230" s="130">
        <v>2.29E-2</v>
      </c>
      <c r="L1230" s="130">
        <v>1.43E-2</v>
      </c>
      <c r="M1230" s="130">
        <v>1.7500000000000002E-2</v>
      </c>
      <c r="N1230" s="130">
        <v>0.152</v>
      </c>
      <c r="O1230" s="130">
        <v>6.0000000000000001E-3</v>
      </c>
      <c r="P1230" s="130">
        <v>2.0000000000000001E-4</v>
      </c>
      <c r="Q1230" s="130">
        <v>2.1600000000000001E-2</v>
      </c>
      <c r="R1230" s="130">
        <v>1.72E-2</v>
      </c>
      <c r="S1230" s="130">
        <v>3.3E-3</v>
      </c>
      <c r="T1230" s="130">
        <v>4.3200000000000002E-2</v>
      </c>
      <c r="U1230" s="130">
        <v>4.9799999999999997E-2</v>
      </c>
      <c r="V1230" s="130">
        <v>5.8000000000000003E-2</v>
      </c>
      <c r="W1230" s="130">
        <v>4.7399999999999998E-2</v>
      </c>
      <c r="X1230" s="130">
        <v>5.0799999999999998E-2</v>
      </c>
      <c r="Y1230" s="130">
        <v>1.5E-3</v>
      </c>
      <c r="Z1230" s="131">
        <v>5.0000000000000001E-4</v>
      </c>
      <c r="AA1230" s="131"/>
      <c r="AB1230" s="131">
        <v>0.12</v>
      </c>
      <c r="AC1230" s="67"/>
    </row>
    <row r="1231" spans="1:30">
      <c r="A1231" s="90"/>
      <c r="B1231" s="17"/>
      <c r="C1231" s="211"/>
      <c r="D1231" s="30">
        <f t="shared" ref="D1231" si="2061">$C1230*D1230</f>
        <v>683.947</v>
      </c>
      <c r="E1231" s="30">
        <f t="shared" ref="E1231" si="2062">$C1230*E1230</f>
        <v>11739.915000000001</v>
      </c>
      <c r="F1231" s="30">
        <f t="shared" ref="F1231:AB1231" si="2063">$C1230*F1230</f>
        <v>3483.194</v>
      </c>
      <c r="G1231" s="30">
        <f t="shared" si="2063"/>
        <v>5478.6270000000004</v>
      </c>
      <c r="H1231" s="30">
        <f t="shared" si="2063"/>
        <v>3666.52</v>
      </c>
      <c r="I1231" s="30">
        <f t="shared" si="2063"/>
        <v>0</v>
      </c>
      <c r="J1231" s="30">
        <f t="shared" si="2063"/>
        <v>1304.4349999999999</v>
      </c>
      <c r="K1231" s="30">
        <f t="shared" si="2063"/>
        <v>1614.6790000000001</v>
      </c>
      <c r="L1231" s="30">
        <f t="shared" si="2063"/>
        <v>1008.293</v>
      </c>
      <c r="M1231" s="30">
        <f t="shared" si="2063"/>
        <v>1233.9250000000002</v>
      </c>
      <c r="N1231" s="30">
        <f t="shared" si="2063"/>
        <v>10717.52</v>
      </c>
      <c r="O1231" s="30">
        <f t="shared" si="2063"/>
        <v>423.06</v>
      </c>
      <c r="P1231" s="30">
        <f t="shared" si="2063"/>
        <v>14.102</v>
      </c>
      <c r="Q1231" s="30">
        <f t="shared" si="2063"/>
        <v>1523.0160000000001</v>
      </c>
      <c r="R1231" s="30">
        <f t="shared" si="2063"/>
        <v>1212.7719999999999</v>
      </c>
      <c r="S1231" s="30">
        <f t="shared" si="2063"/>
        <v>232.68299999999999</v>
      </c>
      <c r="T1231" s="30">
        <f t="shared" si="2063"/>
        <v>3046.0320000000002</v>
      </c>
      <c r="U1231" s="30">
        <f t="shared" si="2063"/>
        <v>3511.3979999999997</v>
      </c>
      <c r="V1231" s="30">
        <f t="shared" si="2063"/>
        <v>4089.5800000000004</v>
      </c>
      <c r="W1231" s="30">
        <f t="shared" si="2063"/>
        <v>3342.174</v>
      </c>
      <c r="X1231" s="30">
        <f t="shared" si="2063"/>
        <v>3581.9079999999999</v>
      </c>
      <c r="Y1231" s="30">
        <f t="shared" si="2063"/>
        <v>105.765</v>
      </c>
      <c r="Z1231" s="30">
        <f t="shared" si="2063"/>
        <v>35.255000000000003</v>
      </c>
      <c r="AA1231" s="30">
        <f t="shared" si="2063"/>
        <v>0</v>
      </c>
      <c r="AB1231" s="30">
        <f t="shared" si="2063"/>
        <v>8461.1999999999989</v>
      </c>
      <c r="AC1231" s="67"/>
    </row>
    <row r="1232" spans="1:30">
      <c r="A1232" s="129" t="s">
        <v>519</v>
      </c>
      <c r="B1232" s="182">
        <v>736106</v>
      </c>
      <c r="C1232" s="211">
        <f t="shared" ref="C1232:C1236" si="2064">ROUND(B1232/12,2)</f>
        <v>61342.17</v>
      </c>
      <c r="D1232" s="130">
        <v>9.2999999999999992E-3</v>
      </c>
      <c r="E1232" s="130">
        <v>0.26019999999999999</v>
      </c>
      <c r="F1232" s="130">
        <v>4.19E-2</v>
      </c>
      <c r="G1232" s="130">
        <v>5.9499999999999997E-2</v>
      </c>
      <c r="H1232" s="130">
        <v>4.3799999999999999E-2</v>
      </c>
      <c r="I1232" s="130"/>
      <c r="J1232" s="130">
        <v>1.5800000000000002E-2</v>
      </c>
      <c r="K1232" s="130">
        <v>2.3E-2</v>
      </c>
      <c r="L1232" s="130">
        <v>1.26E-2</v>
      </c>
      <c r="M1232" s="130">
        <v>1.5299999999999999E-2</v>
      </c>
      <c r="N1232" s="130">
        <v>0.14699999999999999</v>
      </c>
      <c r="O1232" s="130">
        <v>9.7999999999999997E-3</v>
      </c>
      <c r="P1232" s="130">
        <v>2.0000000000000001E-4</v>
      </c>
      <c r="Q1232" s="130">
        <v>1.9199999999999998E-2</v>
      </c>
      <c r="R1232" s="130">
        <v>1.3899999999999999E-2</v>
      </c>
      <c r="S1232" s="130">
        <v>5.5999999999999999E-3</v>
      </c>
      <c r="T1232" s="130">
        <v>4.19E-2</v>
      </c>
      <c r="U1232" s="130">
        <v>4.3400000000000001E-2</v>
      </c>
      <c r="V1232" s="130">
        <v>5.0500000000000003E-2</v>
      </c>
      <c r="W1232" s="130">
        <v>4.0300000000000002E-2</v>
      </c>
      <c r="X1232" s="130">
        <v>4.48E-2</v>
      </c>
      <c r="Y1232" s="130">
        <v>1.1999999999999999E-3</v>
      </c>
      <c r="Z1232" s="131">
        <v>8.0000000000000004E-4</v>
      </c>
      <c r="AA1232" s="131"/>
      <c r="AB1232" s="131">
        <v>0.1</v>
      </c>
      <c r="AC1232" s="67"/>
    </row>
    <row r="1233" spans="1:29">
      <c r="A1233" s="90"/>
      <c r="B1233" s="17"/>
      <c r="C1233" s="211"/>
      <c r="D1233" s="30">
        <f t="shared" ref="D1233" si="2065">$C1232*D1232</f>
        <v>570.48218099999997</v>
      </c>
      <c r="E1233" s="30">
        <f t="shared" ref="E1233" si="2066">$C1232*E1232</f>
        <v>15961.232633999998</v>
      </c>
      <c r="F1233" s="30">
        <f t="shared" ref="F1233:AB1233" si="2067">$C1232*F1232</f>
        <v>2570.2369229999999</v>
      </c>
      <c r="G1233" s="30">
        <f t="shared" si="2067"/>
        <v>3649.8591149999997</v>
      </c>
      <c r="H1233" s="30">
        <f t="shared" si="2067"/>
        <v>2686.7870459999999</v>
      </c>
      <c r="I1233" s="30">
        <f t="shared" si="2067"/>
        <v>0</v>
      </c>
      <c r="J1233" s="30">
        <f t="shared" si="2067"/>
        <v>969.20628600000009</v>
      </c>
      <c r="K1233" s="30">
        <f t="shared" si="2067"/>
        <v>1410.8699099999999</v>
      </c>
      <c r="L1233" s="30">
        <f t="shared" si="2067"/>
        <v>772.91134199999999</v>
      </c>
      <c r="M1233" s="30">
        <f t="shared" si="2067"/>
        <v>938.53520099999992</v>
      </c>
      <c r="N1233" s="30">
        <f t="shared" si="2067"/>
        <v>9017.2989899999993</v>
      </c>
      <c r="O1233" s="30">
        <f t="shared" si="2067"/>
        <v>601.15326599999992</v>
      </c>
      <c r="P1233" s="30">
        <f t="shared" si="2067"/>
        <v>12.268434000000001</v>
      </c>
      <c r="Q1233" s="30">
        <f t="shared" si="2067"/>
        <v>1177.7696639999999</v>
      </c>
      <c r="R1233" s="30">
        <f t="shared" si="2067"/>
        <v>852.65616299999988</v>
      </c>
      <c r="S1233" s="30">
        <f t="shared" si="2067"/>
        <v>343.51615199999998</v>
      </c>
      <c r="T1233" s="30">
        <f t="shared" si="2067"/>
        <v>2570.2369229999999</v>
      </c>
      <c r="U1233" s="30">
        <f t="shared" si="2067"/>
        <v>2662.2501779999998</v>
      </c>
      <c r="V1233" s="30">
        <f t="shared" si="2067"/>
        <v>3097.7795850000002</v>
      </c>
      <c r="W1233" s="30">
        <f t="shared" si="2067"/>
        <v>2472.0894510000003</v>
      </c>
      <c r="X1233" s="30">
        <f t="shared" si="2067"/>
        <v>2748.1292159999998</v>
      </c>
      <c r="Y1233" s="30">
        <f t="shared" si="2067"/>
        <v>73.610603999999995</v>
      </c>
      <c r="Z1233" s="30">
        <f t="shared" si="2067"/>
        <v>49.073736000000004</v>
      </c>
      <c r="AA1233" s="30">
        <f t="shared" si="2067"/>
        <v>0</v>
      </c>
      <c r="AB1233" s="30">
        <f t="shared" si="2067"/>
        <v>6134.2170000000006</v>
      </c>
      <c r="AC1233" s="67"/>
    </row>
    <row r="1234" spans="1:29">
      <c r="A1234" s="129" t="s">
        <v>520</v>
      </c>
      <c r="B1234" s="182">
        <v>6505</v>
      </c>
      <c r="C1234" s="211">
        <f t="shared" si="2064"/>
        <v>542.08000000000004</v>
      </c>
      <c r="D1234" s="130">
        <v>1E-4</v>
      </c>
      <c r="E1234" s="130">
        <v>0.40279999999999999</v>
      </c>
      <c r="F1234" s="130">
        <v>1.2999999999999999E-3</v>
      </c>
      <c r="G1234" s="130">
        <v>5.0000000000000001E-4</v>
      </c>
      <c r="H1234" s="130">
        <v>8.0000000000000004E-4</v>
      </c>
      <c r="I1234" s="130"/>
      <c r="J1234" s="130">
        <v>2.9999999999999997E-4</v>
      </c>
      <c r="K1234" s="130"/>
      <c r="L1234" s="130"/>
      <c r="M1234" s="130">
        <v>1E-4</v>
      </c>
      <c r="N1234" s="130"/>
      <c r="O1234" s="130"/>
      <c r="P1234" s="130">
        <v>4.0000000000000002E-4</v>
      </c>
      <c r="Q1234" s="130"/>
      <c r="R1234" s="130">
        <v>4.0000000000000002E-4</v>
      </c>
      <c r="S1234" s="130">
        <v>4.0000000000000002E-4</v>
      </c>
      <c r="T1234" s="130"/>
      <c r="U1234" s="130">
        <v>5.9999999999999995E-4</v>
      </c>
      <c r="V1234" s="130"/>
      <c r="W1234" s="130">
        <v>2E-3</v>
      </c>
      <c r="X1234" s="130">
        <v>2.9999999999999997E-4</v>
      </c>
      <c r="Y1234" s="130"/>
      <c r="Z1234" s="131"/>
      <c r="AA1234" s="131"/>
      <c r="AB1234" s="131">
        <v>0.59</v>
      </c>
      <c r="AC1234" s="67"/>
    </row>
    <row r="1235" spans="1:29">
      <c r="A1235" s="90"/>
      <c r="B1235" s="17"/>
      <c r="C1235" s="211"/>
      <c r="D1235" s="30">
        <f t="shared" ref="D1235" si="2068">$C1234*D1234</f>
        <v>5.4208000000000006E-2</v>
      </c>
      <c r="E1235" s="30">
        <f t="shared" ref="E1235" si="2069">$C1234*E1234</f>
        <v>218.34982400000001</v>
      </c>
      <c r="F1235" s="30">
        <f t="shared" ref="F1235:AB1235" si="2070">$C1234*F1234</f>
        <v>0.704704</v>
      </c>
      <c r="G1235" s="30">
        <f t="shared" si="2070"/>
        <v>0.27104</v>
      </c>
      <c r="H1235" s="30">
        <f t="shared" si="2070"/>
        <v>0.43366400000000005</v>
      </c>
      <c r="I1235" s="30">
        <f t="shared" si="2070"/>
        <v>0</v>
      </c>
      <c r="J1235" s="30">
        <f t="shared" si="2070"/>
        <v>0.16262399999999999</v>
      </c>
      <c r="K1235" s="30">
        <f t="shared" si="2070"/>
        <v>0</v>
      </c>
      <c r="L1235" s="30">
        <f t="shared" si="2070"/>
        <v>0</v>
      </c>
      <c r="M1235" s="30">
        <f t="shared" si="2070"/>
        <v>5.4208000000000006E-2</v>
      </c>
      <c r="N1235" s="30">
        <f t="shared" si="2070"/>
        <v>0</v>
      </c>
      <c r="O1235" s="30">
        <f t="shared" si="2070"/>
        <v>0</v>
      </c>
      <c r="P1235" s="30">
        <f t="shared" si="2070"/>
        <v>0.21683200000000002</v>
      </c>
      <c r="Q1235" s="30">
        <f t="shared" si="2070"/>
        <v>0</v>
      </c>
      <c r="R1235" s="30">
        <f t="shared" si="2070"/>
        <v>0.21683200000000002</v>
      </c>
      <c r="S1235" s="30">
        <f t="shared" si="2070"/>
        <v>0.21683200000000002</v>
      </c>
      <c r="T1235" s="30">
        <f t="shared" si="2070"/>
        <v>0</v>
      </c>
      <c r="U1235" s="30">
        <f t="shared" si="2070"/>
        <v>0.32524799999999998</v>
      </c>
      <c r="V1235" s="30">
        <f t="shared" si="2070"/>
        <v>0</v>
      </c>
      <c r="W1235" s="30">
        <f t="shared" si="2070"/>
        <v>1.08416</v>
      </c>
      <c r="X1235" s="30">
        <f t="shared" si="2070"/>
        <v>0.16262399999999999</v>
      </c>
      <c r="Y1235" s="30">
        <f t="shared" si="2070"/>
        <v>0</v>
      </c>
      <c r="Z1235" s="30">
        <f t="shared" si="2070"/>
        <v>0</v>
      </c>
      <c r="AA1235" s="30">
        <f t="shared" si="2070"/>
        <v>0</v>
      </c>
      <c r="AB1235" s="30">
        <f t="shared" si="2070"/>
        <v>319.8272</v>
      </c>
      <c r="AC1235" s="67"/>
    </row>
    <row r="1236" spans="1:29">
      <c r="A1236" s="129" t="s">
        <v>521</v>
      </c>
      <c r="B1236" s="182">
        <v>913279</v>
      </c>
      <c r="C1236" s="211">
        <f t="shared" si="2064"/>
        <v>76106.58</v>
      </c>
      <c r="D1236" s="130">
        <v>2.8E-3</v>
      </c>
      <c r="E1236" s="130">
        <v>4.5100000000000001E-2</v>
      </c>
      <c r="F1236" s="130">
        <v>1.3100000000000001E-2</v>
      </c>
      <c r="G1236" s="130">
        <v>1.9099999999999999E-2</v>
      </c>
      <c r="H1236" s="130">
        <v>1.4E-2</v>
      </c>
      <c r="I1236" s="130"/>
      <c r="J1236" s="130">
        <v>4.8999999999999998E-3</v>
      </c>
      <c r="K1236" s="130">
        <v>6.8999999999999999E-3</v>
      </c>
      <c r="L1236" s="130">
        <v>3.8E-3</v>
      </c>
      <c r="M1236" s="130">
        <v>4.5999999999999999E-3</v>
      </c>
      <c r="N1236" s="130">
        <v>4.3499999999999997E-2</v>
      </c>
      <c r="O1236" s="130">
        <v>2.7000000000000001E-3</v>
      </c>
      <c r="P1236" s="130">
        <v>1E-4</v>
      </c>
      <c r="Q1236" s="130">
        <v>5.7000000000000002E-3</v>
      </c>
      <c r="R1236" s="130">
        <v>4.3E-3</v>
      </c>
      <c r="S1236" s="130">
        <v>1.4E-3</v>
      </c>
      <c r="T1236" s="130">
        <v>1.2500000000000001E-2</v>
      </c>
      <c r="U1236" s="130">
        <v>1.34E-2</v>
      </c>
      <c r="V1236" s="130">
        <v>1.5299999999999999E-2</v>
      </c>
      <c r="W1236" s="130">
        <v>1.23E-2</v>
      </c>
      <c r="X1236" s="130">
        <v>1.41E-2</v>
      </c>
      <c r="Y1236" s="130">
        <v>4.0000000000000002E-4</v>
      </c>
      <c r="Z1236" s="131"/>
      <c r="AA1236" s="131"/>
      <c r="AB1236" s="131">
        <v>0.76</v>
      </c>
      <c r="AC1236" s="67"/>
    </row>
    <row r="1237" spans="1:29">
      <c r="A1237" s="90"/>
      <c r="B1237" s="17"/>
      <c r="C1237" s="242"/>
      <c r="D1237" s="30">
        <f t="shared" ref="D1237" si="2071">$C1236*D1236</f>
        <v>213.09842399999999</v>
      </c>
      <c r="E1237" s="30">
        <f t="shared" ref="E1237" si="2072">$C1236*E1236</f>
        <v>3432.4067580000001</v>
      </c>
      <c r="F1237" s="30">
        <f t="shared" ref="F1237:AB1237" si="2073">$C1236*F1236</f>
        <v>996.99619800000005</v>
      </c>
      <c r="G1237" s="30">
        <f t="shared" si="2073"/>
        <v>1453.6356779999999</v>
      </c>
      <c r="H1237" s="30">
        <f t="shared" si="2073"/>
        <v>1065.4921200000001</v>
      </c>
      <c r="I1237" s="30">
        <f t="shared" si="2073"/>
        <v>0</v>
      </c>
      <c r="J1237" s="30">
        <f t="shared" si="2073"/>
        <v>372.92224199999998</v>
      </c>
      <c r="K1237" s="30">
        <f t="shared" si="2073"/>
        <v>525.135402</v>
      </c>
      <c r="L1237" s="30">
        <f t="shared" si="2073"/>
        <v>289.20500400000003</v>
      </c>
      <c r="M1237" s="30">
        <f t="shared" si="2073"/>
        <v>350.09026799999998</v>
      </c>
      <c r="N1237" s="30">
        <f t="shared" si="2073"/>
        <v>3310.6362300000001</v>
      </c>
      <c r="O1237" s="30">
        <f t="shared" si="2073"/>
        <v>205.48776600000002</v>
      </c>
      <c r="P1237" s="30">
        <f t="shared" si="2073"/>
        <v>7.6106580000000008</v>
      </c>
      <c r="Q1237" s="30">
        <f t="shared" si="2073"/>
        <v>433.80750600000005</v>
      </c>
      <c r="R1237" s="30">
        <f t="shared" si="2073"/>
        <v>327.25829400000003</v>
      </c>
      <c r="S1237" s="30">
        <f t="shared" si="2073"/>
        <v>106.549212</v>
      </c>
      <c r="T1237" s="30">
        <f t="shared" si="2073"/>
        <v>951.33225000000004</v>
      </c>
      <c r="U1237" s="30">
        <f t="shared" si="2073"/>
        <v>1019.8281720000001</v>
      </c>
      <c r="V1237" s="30">
        <f t="shared" si="2073"/>
        <v>1164.430674</v>
      </c>
      <c r="W1237" s="30">
        <f t="shared" si="2073"/>
        <v>936.11093400000004</v>
      </c>
      <c r="X1237" s="30">
        <f t="shared" si="2073"/>
        <v>1073.1027779999999</v>
      </c>
      <c r="Y1237" s="30">
        <f t="shared" si="2073"/>
        <v>30.442632000000003</v>
      </c>
      <c r="Z1237" s="30">
        <f t="shared" si="2073"/>
        <v>0</v>
      </c>
      <c r="AA1237" s="30">
        <f t="shared" si="2073"/>
        <v>0</v>
      </c>
      <c r="AB1237" s="30">
        <f t="shared" si="2073"/>
        <v>57841.000800000002</v>
      </c>
      <c r="AC1237" s="67"/>
    </row>
    <row r="1238" spans="1:29">
      <c r="A1238" s="50" t="s">
        <v>50</v>
      </c>
      <c r="B1238" s="33">
        <f>SUM(B1230:B1236)</f>
        <v>2502010</v>
      </c>
      <c r="C1238" s="126">
        <f>SUM(C1230:C1236)</f>
        <v>208500.82999999996</v>
      </c>
      <c r="D1238" s="126">
        <f>D1231+D1233+D1235+D1237</f>
        <v>1467.581813</v>
      </c>
      <c r="E1238" s="126">
        <f t="shared" ref="E1238" si="2074">E1231+E1233+E1235+E1237</f>
        <v>31351.904216000003</v>
      </c>
      <c r="F1238" s="126">
        <f t="shared" ref="F1238" si="2075">F1231+F1233+F1235+F1237</f>
        <v>7051.1318249999995</v>
      </c>
      <c r="G1238" s="126">
        <f t="shared" ref="G1238:AB1238" si="2076">G1231+G1233+G1235+G1237</f>
        <v>10582.392833</v>
      </c>
      <c r="H1238" s="126">
        <f t="shared" si="2076"/>
        <v>7419.2328299999999</v>
      </c>
      <c r="I1238" s="126">
        <f t="shared" si="2076"/>
        <v>0</v>
      </c>
      <c r="J1238" s="126">
        <f t="shared" si="2076"/>
        <v>2646.7261520000002</v>
      </c>
      <c r="K1238" s="126">
        <f t="shared" si="2076"/>
        <v>3550.6843119999999</v>
      </c>
      <c r="L1238" s="126">
        <f t="shared" si="2076"/>
        <v>2070.4093459999999</v>
      </c>
      <c r="M1238" s="126">
        <f t="shared" si="2076"/>
        <v>2522.6046769999998</v>
      </c>
      <c r="N1238" s="126">
        <f t="shared" si="2076"/>
        <v>23045.45522</v>
      </c>
      <c r="O1238" s="126">
        <f t="shared" si="2076"/>
        <v>1229.7010319999999</v>
      </c>
      <c r="P1238" s="126">
        <f t="shared" si="2076"/>
        <v>34.197924</v>
      </c>
      <c r="Q1238" s="126">
        <f t="shared" si="2076"/>
        <v>3134.5931700000001</v>
      </c>
      <c r="R1238" s="126">
        <f t="shared" si="2076"/>
        <v>2392.9032889999999</v>
      </c>
      <c r="S1238" s="126">
        <f t="shared" si="2076"/>
        <v>682.96519599999988</v>
      </c>
      <c r="T1238" s="126">
        <f t="shared" si="2076"/>
        <v>6567.601173</v>
      </c>
      <c r="U1238" s="126">
        <f t="shared" si="2076"/>
        <v>7193.801598</v>
      </c>
      <c r="V1238" s="126">
        <f t="shared" si="2076"/>
        <v>8351.7902589999994</v>
      </c>
      <c r="W1238" s="126">
        <f t="shared" si="2076"/>
        <v>6751.4585450000013</v>
      </c>
      <c r="X1238" s="126">
        <f t="shared" si="2076"/>
        <v>7403.3026179999997</v>
      </c>
      <c r="Y1238" s="126">
        <f t="shared" si="2076"/>
        <v>209.81823600000001</v>
      </c>
      <c r="Z1238" s="126">
        <f t="shared" si="2076"/>
        <v>84.328736000000006</v>
      </c>
      <c r="AA1238" s="126">
        <f t="shared" si="2076"/>
        <v>0</v>
      </c>
      <c r="AB1238" s="126">
        <f t="shared" si="2076"/>
        <v>72756.244999999995</v>
      </c>
      <c r="AC1238" s="67"/>
    </row>
    <row r="1239" spans="1:29">
      <c r="A1239" s="54"/>
      <c r="B1239" s="7"/>
      <c r="C1239" s="84"/>
      <c r="D1239" s="84"/>
      <c r="E1239" s="84"/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84"/>
      <c r="AB1239" s="84"/>
      <c r="AC1239" s="67"/>
    </row>
    <row r="1240" spans="1:29">
      <c r="A1240" s="54"/>
      <c r="B1240" s="7"/>
      <c r="C1240" s="84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C1240" s="67"/>
    </row>
    <row r="1241" spans="1:29" ht="13.8" thickBot="1">
      <c r="A1241" s="82" t="s">
        <v>526</v>
      </c>
      <c r="B1241" s="127"/>
      <c r="C1241" s="234"/>
      <c r="D1241" s="165"/>
      <c r="E1241" s="165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67"/>
    </row>
    <row r="1242" spans="1:29" ht="13.8" thickBot="1">
      <c r="A1242" s="113" t="s">
        <v>1</v>
      </c>
      <c r="B1242" s="114" t="s">
        <v>2</v>
      </c>
      <c r="C1242" s="239" t="s">
        <v>3</v>
      </c>
      <c r="D1242" s="263" t="s">
        <v>4</v>
      </c>
      <c r="E1242" s="264"/>
      <c r="F1242" s="264"/>
      <c r="G1242" s="264"/>
      <c r="H1242" s="264"/>
      <c r="I1242" s="264"/>
      <c r="J1242" s="264"/>
      <c r="K1242" s="264"/>
      <c r="L1242" s="264"/>
      <c r="M1242" s="264"/>
      <c r="N1242" s="264"/>
      <c r="O1242" s="264"/>
      <c r="P1242" s="264"/>
      <c r="Q1242" s="264"/>
      <c r="R1242" s="264"/>
      <c r="S1242" s="264"/>
      <c r="T1242" s="264"/>
      <c r="U1242" s="264"/>
      <c r="V1242" s="264"/>
      <c r="W1242" s="264"/>
      <c r="X1242" s="264"/>
      <c r="Y1242" s="264"/>
      <c r="Z1242" s="123"/>
      <c r="AA1242" s="123"/>
      <c r="AB1242" s="123"/>
      <c r="AC1242" s="67"/>
    </row>
    <row r="1243" spans="1:29">
      <c r="A1243" s="115" t="s">
        <v>5</v>
      </c>
      <c r="B1243" s="116" t="s">
        <v>6</v>
      </c>
      <c r="C1243" s="240" t="s">
        <v>6</v>
      </c>
      <c r="D1243" s="117"/>
      <c r="E1243" s="118"/>
      <c r="F1243" s="118"/>
      <c r="G1243" s="118"/>
      <c r="H1243" s="118"/>
      <c r="I1243" s="118"/>
      <c r="J1243" s="118"/>
      <c r="K1243" s="118"/>
      <c r="L1243" s="118"/>
      <c r="M1243" s="118"/>
      <c r="N1243" s="118"/>
      <c r="O1243" s="118"/>
      <c r="P1243" s="118"/>
      <c r="Q1243" s="118"/>
      <c r="R1243" s="118"/>
      <c r="S1243" s="118"/>
      <c r="T1243" s="118"/>
      <c r="U1243" s="118"/>
      <c r="V1243" s="118"/>
      <c r="W1243" s="118"/>
      <c r="X1243" s="118"/>
      <c r="Y1243" s="119"/>
      <c r="Z1243" s="116" t="s">
        <v>7</v>
      </c>
      <c r="AA1243" s="116"/>
      <c r="AB1243" s="116"/>
      <c r="AC1243" s="67"/>
    </row>
    <row r="1244" spans="1:29">
      <c r="A1244" s="115" t="s">
        <v>8</v>
      </c>
      <c r="B1244" s="116" t="s">
        <v>9</v>
      </c>
      <c r="C1244" s="240" t="s">
        <v>9</v>
      </c>
      <c r="D1244" s="120" t="s">
        <v>10</v>
      </c>
      <c r="E1244" s="116" t="s">
        <v>11</v>
      </c>
      <c r="F1244" s="116" t="s">
        <v>12</v>
      </c>
      <c r="G1244" s="116" t="s">
        <v>13</v>
      </c>
      <c r="H1244" s="116" t="s">
        <v>14</v>
      </c>
      <c r="I1244" s="116" t="s">
        <v>15</v>
      </c>
      <c r="J1244" s="116" t="s">
        <v>16</v>
      </c>
      <c r="K1244" s="116" t="s">
        <v>17</v>
      </c>
      <c r="L1244" s="116" t="s">
        <v>18</v>
      </c>
      <c r="M1244" s="116" t="s">
        <v>19</v>
      </c>
      <c r="N1244" s="116" t="s">
        <v>20</v>
      </c>
      <c r="O1244" s="116" t="s">
        <v>175</v>
      </c>
      <c r="P1244" s="116" t="s">
        <v>21</v>
      </c>
      <c r="Q1244" s="116" t="s">
        <v>22</v>
      </c>
      <c r="R1244" s="116" t="s">
        <v>23</v>
      </c>
      <c r="S1244" s="116" t="s">
        <v>24</v>
      </c>
      <c r="T1244" s="116" t="s">
        <v>25</v>
      </c>
      <c r="U1244" s="116" t="s">
        <v>26</v>
      </c>
      <c r="V1244" s="116" t="s">
        <v>27</v>
      </c>
      <c r="W1244" s="116" t="s">
        <v>28</v>
      </c>
      <c r="X1244" s="116" t="s">
        <v>29</v>
      </c>
      <c r="Y1244" s="116" t="s">
        <v>30</v>
      </c>
      <c r="Z1244" s="116" t="s">
        <v>31</v>
      </c>
      <c r="AA1244" s="116" t="s">
        <v>493</v>
      </c>
      <c r="AB1244" s="116" t="s">
        <v>476</v>
      </c>
      <c r="AC1244" s="67"/>
    </row>
    <row r="1245" spans="1:29">
      <c r="A1245" s="115"/>
      <c r="B1245" s="116"/>
      <c r="C1245" s="241" t="s">
        <v>638</v>
      </c>
      <c r="D1245" s="121"/>
      <c r="E1245" s="122"/>
      <c r="F1245" s="122"/>
      <c r="G1245" s="122"/>
      <c r="H1245" s="122"/>
      <c r="I1245" s="122"/>
      <c r="J1245" s="122"/>
      <c r="K1245" s="122"/>
      <c r="L1245" s="122"/>
      <c r="M1245" s="122"/>
      <c r="N1245" s="122"/>
      <c r="O1245" s="122"/>
      <c r="P1245" s="122"/>
      <c r="Q1245" s="122"/>
      <c r="R1245" s="122"/>
      <c r="S1245" s="122"/>
      <c r="T1245" s="122"/>
      <c r="U1245" s="122"/>
      <c r="V1245" s="122"/>
      <c r="W1245" s="122"/>
      <c r="X1245" s="122"/>
      <c r="Y1245" s="122"/>
      <c r="Z1245" s="122"/>
      <c r="AA1245" s="122"/>
      <c r="AB1245" s="122"/>
      <c r="AC1245" s="67"/>
    </row>
    <row r="1246" spans="1:29">
      <c r="A1246" s="135" t="s">
        <v>525</v>
      </c>
      <c r="B1246" s="180">
        <v>5440021.2986747334</v>
      </c>
      <c r="C1246" s="211">
        <f>ROUND(B1246/12,2)</f>
        <v>453335.11</v>
      </c>
      <c r="D1246" s="20"/>
      <c r="E1246" s="42"/>
      <c r="F1246" s="5"/>
      <c r="G1246" s="19">
        <v>9.9299999999999999E-2</v>
      </c>
      <c r="H1246" s="20"/>
      <c r="I1246" s="20"/>
      <c r="J1246" s="20">
        <v>0.90069999999999995</v>
      </c>
      <c r="K1246" s="20"/>
      <c r="L1246" s="5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67"/>
    </row>
    <row r="1247" spans="1:29">
      <c r="A1247" s="90"/>
      <c r="B1247" s="17"/>
      <c r="C1247" s="84"/>
      <c r="D1247" s="30">
        <f t="shared" ref="D1247" si="2077">$C1246*D1246</f>
        <v>0</v>
      </c>
      <c r="E1247" s="30">
        <f t="shared" ref="E1247" si="2078">$C1246*E1246</f>
        <v>0</v>
      </c>
      <c r="F1247" s="30">
        <f t="shared" ref="F1247:AB1247" si="2079">$C1246*F1246</f>
        <v>0</v>
      </c>
      <c r="G1247" s="30">
        <f t="shared" si="2079"/>
        <v>45016.176422999997</v>
      </c>
      <c r="H1247" s="30">
        <f t="shared" si="2079"/>
        <v>0</v>
      </c>
      <c r="I1247" s="30">
        <f t="shared" si="2079"/>
        <v>0</v>
      </c>
      <c r="J1247" s="30">
        <f t="shared" si="2079"/>
        <v>408318.93357699999</v>
      </c>
      <c r="K1247" s="30">
        <f t="shared" si="2079"/>
        <v>0</v>
      </c>
      <c r="L1247" s="30">
        <f t="shared" si="2079"/>
        <v>0</v>
      </c>
      <c r="M1247" s="30">
        <f t="shared" si="2079"/>
        <v>0</v>
      </c>
      <c r="N1247" s="30">
        <f t="shared" si="2079"/>
        <v>0</v>
      </c>
      <c r="O1247" s="30">
        <f t="shared" si="2079"/>
        <v>0</v>
      </c>
      <c r="P1247" s="30">
        <f t="shared" si="2079"/>
        <v>0</v>
      </c>
      <c r="Q1247" s="30">
        <f t="shared" si="2079"/>
        <v>0</v>
      </c>
      <c r="R1247" s="30">
        <f t="shared" si="2079"/>
        <v>0</v>
      </c>
      <c r="S1247" s="30">
        <f t="shared" si="2079"/>
        <v>0</v>
      </c>
      <c r="T1247" s="30">
        <f t="shared" si="2079"/>
        <v>0</v>
      </c>
      <c r="U1247" s="30">
        <f t="shared" si="2079"/>
        <v>0</v>
      </c>
      <c r="V1247" s="30">
        <f t="shared" si="2079"/>
        <v>0</v>
      </c>
      <c r="W1247" s="30">
        <f t="shared" si="2079"/>
        <v>0</v>
      </c>
      <c r="X1247" s="30">
        <f t="shared" si="2079"/>
        <v>0</v>
      </c>
      <c r="Y1247" s="30">
        <f t="shared" si="2079"/>
        <v>0</v>
      </c>
      <c r="Z1247" s="30">
        <f t="shared" si="2079"/>
        <v>0</v>
      </c>
      <c r="AA1247" s="30">
        <f t="shared" si="2079"/>
        <v>0</v>
      </c>
      <c r="AB1247" s="30">
        <f t="shared" si="2079"/>
        <v>0</v>
      </c>
      <c r="AC1247" s="67"/>
    </row>
    <row r="1248" spans="1:29">
      <c r="A1248" s="50" t="s">
        <v>50</v>
      </c>
      <c r="B1248" s="33">
        <f>SUM(B1246:B1246)</f>
        <v>5440021.2986747334</v>
      </c>
      <c r="C1248" s="126">
        <f>SUM(C1246:C1246)</f>
        <v>453335.11</v>
      </c>
      <c r="D1248" s="51">
        <f>D1247</f>
        <v>0</v>
      </c>
      <c r="E1248" s="51">
        <f>E1247</f>
        <v>0</v>
      </c>
      <c r="F1248" s="51">
        <f t="shared" ref="F1248" si="2080">F1247</f>
        <v>0</v>
      </c>
      <c r="G1248" s="51">
        <f t="shared" ref="G1248" si="2081">G1247</f>
        <v>45016.176422999997</v>
      </c>
      <c r="H1248" s="51">
        <f t="shared" ref="H1248:AB1248" si="2082">H1247</f>
        <v>0</v>
      </c>
      <c r="I1248" s="51">
        <f t="shared" si="2082"/>
        <v>0</v>
      </c>
      <c r="J1248" s="51">
        <f t="shared" si="2082"/>
        <v>408318.93357699999</v>
      </c>
      <c r="K1248" s="51">
        <f t="shared" si="2082"/>
        <v>0</v>
      </c>
      <c r="L1248" s="51">
        <f t="shared" si="2082"/>
        <v>0</v>
      </c>
      <c r="M1248" s="51">
        <f t="shared" si="2082"/>
        <v>0</v>
      </c>
      <c r="N1248" s="51">
        <f t="shared" si="2082"/>
        <v>0</v>
      </c>
      <c r="O1248" s="51">
        <f t="shared" si="2082"/>
        <v>0</v>
      </c>
      <c r="P1248" s="51">
        <f t="shared" si="2082"/>
        <v>0</v>
      </c>
      <c r="Q1248" s="51">
        <f t="shared" si="2082"/>
        <v>0</v>
      </c>
      <c r="R1248" s="51">
        <f t="shared" si="2082"/>
        <v>0</v>
      </c>
      <c r="S1248" s="51">
        <f t="shared" si="2082"/>
        <v>0</v>
      </c>
      <c r="T1248" s="51">
        <f t="shared" si="2082"/>
        <v>0</v>
      </c>
      <c r="U1248" s="51">
        <f t="shared" si="2082"/>
        <v>0</v>
      </c>
      <c r="V1248" s="51">
        <f t="shared" si="2082"/>
        <v>0</v>
      </c>
      <c r="W1248" s="51">
        <f t="shared" si="2082"/>
        <v>0</v>
      </c>
      <c r="X1248" s="51">
        <f t="shared" si="2082"/>
        <v>0</v>
      </c>
      <c r="Y1248" s="51">
        <f t="shared" si="2082"/>
        <v>0</v>
      </c>
      <c r="Z1248" s="51">
        <f t="shared" si="2082"/>
        <v>0</v>
      </c>
      <c r="AA1248" s="51">
        <f t="shared" si="2082"/>
        <v>0</v>
      </c>
      <c r="AB1248" s="51">
        <f t="shared" si="2082"/>
        <v>0</v>
      </c>
      <c r="AC1248" s="67"/>
    </row>
    <row r="1249" spans="1:29">
      <c r="A1249" s="54"/>
      <c r="B1249" s="7"/>
      <c r="C1249" s="84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67"/>
    </row>
    <row r="1250" spans="1:29">
      <c r="A1250" s="54"/>
      <c r="B1250" s="7"/>
      <c r="C1250" s="84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67"/>
    </row>
    <row r="1251" spans="1:29" ht="13.8" thickBot="1">
      <c r="A1251" s="164" t="s">
        <v>574</v>
      </c>
      <c r="B1251" s="165"/>
      <c r="C1251" s="254"/>
      <c r="D1251" s="165"/>
      <c r="E1251" s="165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67"/>
    </row>
    <row r="1252" spans="1:29" ht="13.8" thickBot="1">
      <c r="A1252" s="113" t="s">
        <v>1</v>
      </c>
      <c r="B1252" s="114" t="s">
        <v>2</v>
      </c>
      <c r="C1252" s="239" t="s">
        <v>3</v>
      </c>
      <c r="D1252" s="263" t="s">
        <v>4</v>
      </c>
      <c r="E1252" s="264"/>
      <c r="F1252" s="264"/>
      <c r="G1252" s="264"/>
      <c r="H1252" s="264"/>
      <c r="I1252" s="264"/>
      <c r="J1252" s="264"/>
      <c r="K1252" s="264"/>
      <c r="L1252" s="264"/>
      <c r="M1252" s="264"/>
      <c r="N1252" s="264"/>
      <c r="O1252" s="264"/>
      <c r="P1252" s="264"/>
      <c r="Q1252" s="264"/>
      <c r="R1252" s="264"/>
      <c r="S1252" s="264"/>
      <c r="T1252" s="264"/>
      <c r="U1252" s="264"/>
      <c r="V1252" s="264"/>
      <c r="W1252" s="264"/>
      <c r="X1252" s="264"/>
      <c r="Y1252" s="264"/>
      <c r="Z1252" s="123"/>
      <c r="AA1252" s="123"/>
      <c r="AB1252" s="123"/>
      <c r="AC1252" s="67"/>
    </row>
    <row r="1253" spans="1:29">
      <c r="A1253" s="115" t="s">
        <v>5</v>
      </c>
      <c r="B1253" s="116" t="s">
        <v>6</v>
      </c>
      <c r="C1253" s="240" t="s">
        <v>6</v>
      </c>
      <c r="D1253" s="117"/>
      <c r="E1253" s="118"/>
      <c r="F1253" s="118"/>
      <c r="G1253" s="118"/>
      <c r="H1253" s="118"/>
      <c r="I1253" s="118"/>
      <c r="J1253" s="118"/>
      <c r="K1253" s="118"/>
      <c r="L1253" s="118"/>
      <c r="M1253" s="118"/>
      <c r="N1253" s="118"/>
      <c r="O1253" s="118"/>
      <c r="P1253" s="118"/>
      <c r="Q1253" s="118"/>
      <c r="R1253" s="118"/>
      <c r="S1253" s="118"/>
      <c r="T1253" s="118"/>
      <c r="U1253" s="118"/>
      <c r="V1253" s="118"/>
      <c r="W1253" s="118"/>
      <c r="X1253" s="118"/>
      <c r="Y1253" s="119"/>
      <c r="Z1253" s="116" t="s">
        <v>7</v>
      </c>
      <c r="AA1253" s="116"/>
      <c r="AB1253" s="116"/>
      <c r="AC1253" s="67"/>
    </row>
    <row r="1254" spans="1:29">
      <c r="A1254" s="115" t="s">
        <v>8</v>
      </c>
      <c r="B1254" s="116" t="s">
        <v>9</v>
      </c>
      <c r="C1254" s="240" t="s">
        <v>9</v>
      </c>
      <c r="D1254" s="120" t="s">
        <v>10</v>
      </c>
      <c r="E1254" s="116" t="s">
        <v>11</v>
      </c>
      <c r="F1254" s="116" t="s">
        <v>12</v>
      </c>
      <c r="G1254" s="116" t="s">
        <v>13</v>
      </c>
      <c r="H1254" s="116" t="s">
        <v>14</v>
      </c>
      <c r="I1254" s="116" t="s">
        <v>15</v>
      </c>
      <c r="J1254" s="116" t="s">
        <v>16</v>
      </c>
      <c r="K1254" s="116" t="s">
        <v>17</v>
      </c>
      <c r="L1254" s="116" t="s">
        <v>18</v>
      </c>
      <c r="M1254" s="116" t="s">
        <v>19</v>
      </c>
      <c r="N1254" s="116" t="s">
        <v>20</v>
      </c>
      <c r="O1254" s="116" t="s">
        <v>175</v>
      </c>
      <c r="P1254" s="116" t="s">
        <v>21</v>
      </c>
      <c r="Q1254" s="116" t="s">
        <v>22</v>
      </c>
      <c r="R1254" s="116" t="s">
        <v>23</v>
      </c>
      <c r="S1254" s="116" t="s">
        <v>24</v>
      </c>
      <c r="T1254" s="116" t="s">
        <v>25</v>
      </c>
      <c r="U1254" s="116" t="s">
        <v>26</v>
      </c>
      <c r="V1254" s="116" t="s">
        <v>27</v>
      </c>
      <c r="W1254" s="116" t="s">
        <v>28</v>
      </c>
      <c r="X1254" s="116" t="s">
        <v>29</v>
      </c>
      <c r="Y1254" s="116" t="s">
        <v>30</v>
      </c>
      <c r="Z1254" s="116" t="s">
        <v>31</v>
      </c>
      <c r="AA1254" s="116" t="s">
        <v>493</v>
      </c>
      <c r="AB1254" s="116" t="s">
        <v>476</v>
      </c>
      <c r="AC1254" s="67"/>
    </row>
    <row r="1255" spans="1:29">
      <c r="A1255" s="115"/>
      <c r="B1255" s="116"/>
      <c r="C1255" s="241" t="s">
        <v>641</v>
      </c>
      <c r="D1255" s="121"/>
      <c r="E1255" s="122"/>
      <c r="F1255" s="122"/>
      <c r="G1255" s="122"/>
      <c r="H1255" s="122"/>
      <c r="I1255" s="122"/>
      <c r="J1255" s="122"/>
      <c r="K1255" s="122"/>
      <c r="L1255" s="122"/>
      <c r="M1255" s="122"/>
      <c r="N1255" s="122"/>
      <c r="O1255" s="122"/>
      <c r="P1255" s="122"/>
      <c r="Q1255" s="122"/>
      <c r="R1255" s="122"/>
      <c r="S1255" s="122"/>
      <c r="T1255" s="122"/>
      <c r="U1255" s="122"/>
      <c r="V1255" s="122"/>
      <c r="W1255" s="122"/>
      <c r="X1255" s="122"/>
      <c r="Y1255" s="122"/>
      <c r="Z1255" s="122"/>
      <c r="AA1255" s="122"/>
      <c r="AB1255" s="122"/>
      <c r="AC1255" s="67"/>
    </row>
    <row r="1256" spans="1:29">
      <c r="A1256" s="129" t="s">
        <v>575</v>
      </c>
      <c r="B1256" s="182">
        <f>89477/2</f>
        <v>44738.5</v>
      </c>
      <c r="C1256" s="211">
        <f>ROUND(B1256/12,2)</f>
        <v>3728.21</v>
      </c>
      <c r="D1256" s="170">
        <v>1.6500000000000001E-2</v>
      </c>
      <c r="E1256" s="170">
        <v>0.1368</v>
      </c>
      <c r="F1256" s="170">
        <v>5.7599999999999998E-2</v>
      </c>
      <c r="G1256" s="170">
        <v>8.0399999999999999E-2</v>
      </c>
      <c r="H1256" s="170">
        <v>4.1099999999999998E-2</v>
      </c>
      <c r="I1256" s="170">
        <v>0.13389999999999999</v>
      </c>
      <c r="J1256" s="170">
        <v>2.12E-2</v>
      </c>
      <c r="K1256" s="170">
        <v>3.2500000000000001E-2</v>
      </c>
      <c r="L1256" s="170">
        <v>1.7100000000000001E-2</v>
      </c>
      <c r="M1256" s="170">
        <v>2.5999999999999999E-2</v>
      </c>
      <c r="N1256" s="170">
        <v>0.13320000000000001</v>
      </c>
      <c r="O1256" s="170">
        <v>1.89E-2</v>
      </c>
      <c r="P1256" s="170">
        <v>0</v>
      </c>
      <c r="Q1256" s="170">
        <v>3.8600000000000002E-2</v>
      </c>
      <c r="R1256" s="170">
        <v>1.9E-2</v>
      </c>
      <c r="S1256" s="170">
        <v>4.1999999999999997E-3</v>
      </c>
      <c r="T1256" s="170">
        <v>5.3999999999999999E-2</v>
      </c>
      <c r="U1256" s="170">
        <v>1.78E-2</v>
      </c>
      <c r="V1256" s="170">
        <v>3.6700000000000003E-2</v>
      </c>
      <c r="W1256" s="170">
        <v>4.7199999999999999E-2</v>
      </c>
      <c r="X1256" s="170">
        <v>6.3899999999999998E-2</v>
      </c>
      <c r="Y1256" s="170">
        <v>2.5999999999999999E-3</v>
      </c>
      <c r="Z1256" s="171">
        <v>0</v>
      </c>
      <c r="AA1256" s="171">
        <v>8.0000000000000004E-4</v>
      </c>
      <c r="AB1256" s="171">
        <v>0</v>
      </c>
      <c r="AC1256" s="67"/>
    </row>
    <row r="1257" spans="1:29">
      <c r="A1257" s="90"/>
      <c r="B1257" s="17"/>
      <c r="C1257" s="242"/>
      <c r="D1257" s="30">
        <f>$C1256*D1256</f>
        <v>61.515465000000006</v>
      </c>
      <c r="E1257" s="30">
        <f t="shared" ref="E1257" si="2083">$C1256*E1256</f>
        <v>510.01912800000002</v>
      </c>
      <c r="F1257" s="30">
        <f t="shared" ref="F1257" si="2084">$C1256*F1256</f>
        <v>214.74489599999998</v>
      </c>
      <c r="G1257" s="30">
        <f t="shared" ref="G1257:AB1257" si="2085">$C1256*G1256</f>
        <v>299.74808400000001</v>
      </c>
      <c r="H1257" s="30">
        <f t="shared" si="2085"/>
        <v>153.22943100000001</v>
      </c>
      <c r="I1257" s="30">
        <f t="shared" si="2085"/>
        <v>499.20731899999998</v>
      </c>
      <c r="J1257" s="30">
        <f t="shared" si="2085"/>
        <v>79.038052000000008</v>
      </c>
      <c r="K1257" s="30">
        <f t="shared" si="2085"/>
        <v>121.166825</v>
      </c>
      <c r="L1257" s="30">
        <f t="shared" si="2085"/>
        <v>63.752391000000003</v>
      </c>
      <c r="M1257" s="30">
        <f t="shared" si="2085"/>
        <v>96.933459999999997</v>
      </c>
      <c r="N1257" s="30">
        <f t="shared" si="2085"/>
        <v>496.59757200000007</v>
      </c>
      <c r="O1257" s="30">
        <f t="shared" si="2085"/>
        <v>70.463169000000008</v>
      </c>
      <c r="P1257" s="30">
        <f t="shared" si="2085"/>
        <v>0</v>
      </c>
      <c r="Q1257" s="30">
        <f t="shared" si="2085"/>
        <v>143.908906</v>
      </c>
      <c r="R1257" s="30">
        <f t="shared" si="2085"/>
        <v>70.835989999999995</v>
      </c>
      <c r="S1257" s="30">
        <f t="shared" si="2085"/>
        <v>15.658481999999999</v>
      </c>
      <c r="T1257" s="30">
        <f t="shared" si="2085"/>
        <v>201.32334</v>
      </c>
      <c r="U1257" s="30">
        <f t="shared" si="2085"/>
        <v>66.362138000000002</v>
      </c>
      <c r="V1257" s="30">
        <f t="shared" si="2085"/>
        <v>136.82530700000001</v>
      </c>
      <c r="W1257" s="30">
        <f t="shared" si="2085"/>
        <v>175.97151199999999</v>
      </c>
      <c r="X1257" s="30">
        <f t="shared" si="2085"/>
        <v>238.232619</v>
      </c>
      <c r="Y1257" s="30">
        <f t="shared" si="2085"/>
        <v>9.693346</v>
      </c>
      <c r="Z1257" s="30">
        <f t="shared" si="2085"/>
        <v>0</v>
      </c>
      <c r="AA1257" s="30">
        <f t="shared" si="2085"/>
        <v>2.9825680000000001</v>
      </c>
      <c r="AB1257" s="30">
        <f t="shared" si="2085"/>
        <v>0</v>
      </c>
      <c r="AC1257" s="67"/>
    </row>
    <row r="1258" spans="1:29">
      <c r="A1258" s="129" t="s">
        <v>588</v>
      </c>
      <c r="B1258" s="182">
        <f>89477/2</f>
        <v>44738.5</v>
      </c>
      <c r="C1258" s="211">
        <f>ROUND(B1258/12,2)</f>
        <v>3728.21</v>
      </c>
      <c r="D1258" s="130"/>
      <c r="E1258" s="130"/>
      <c r="F1258" s="130">
        <v>1</v>
      </c>
      <c r="G1258" s="130"/>
      <c r="H1258" s="130"/>
      <c r="I1258" s="130"/>
      <c r="J1258" s="130"/>
      <c r="K1258" s="130"/>
      <c r="L1258" s="130"/>
      <c r="M1258" s="130"/>
      <c r="N1258" s="130"/>
      <c r="O1258" s="130"/>
      <c r="P1258" s="130"/>
      <c r="Q1258" s="130"/>
      <c r="R1258" s="130"/>
      <c r="S1258" s="130"/>
      <c r="T1258" s="130"/>
      <c r="U1258" s="130"/>
      <c r="V1258" s="130"/>
      <c r="W1258" s="130"/>
      <c r="X1258" s="130"/>
      <c r="Y1258" s="130"/>
      <c r="Z1258" s="131"/>
      <c r="AA1258" s="131"/>
      <c r="AB1258" s="131"/>
      <c r="AC1258" s="67"/>
    </row>
    <row r="1259" spans="1:29">
      <c r="A1259" s="90"/>
      <c r="B1259" s="17"/>
      <c r="C1259" s="242"/>
      <c r="D1259" s="30">
        <f t="shared" ref="D1259" si="2086">$C1258*D1258</f>
        <v>0</v>
      </c>
      <c r="E1259" s="30">
        <f t="shared" ref="E1259" si="2087">$C1258*E1258</f>
        <v>0</v>
      </c>
      <c r="F1259" s="30">
        <f t="shared" ref="F1259:AB1259" si="2088">$C1258*F1258</f>
        <v>3728.21</v>
      </c>
      <c r="G1259" s="30">
        <f t="shared" si="2088"/>
        <v>0</v>
      </c>
      <c r="H1259" s="30">
        <f t="shared" si="2088"/>
        <v>0</v>
      </c>
      <c r="I1259" s="30">
        <f t="shared" si="2088"/>
        <v>0</v>
      </c>
      <c r="J1259" s="30">
        <f t="shared" si="2088"/>
        <v>0</v>
      </c>
      <c r="K1259" s="30">
        <f t="shared" si="2088"/>
        <v>0</v>
      </c>
      <c r="L1259" s="30">
        <f t="shared" si="2088"/>
        <v>0</v>
      </c>
      <c r="M1259" s="30">
        <f t="shared" si="2088"/>
        <v>0</v>
      </c>
      <c r="N1259" s="30">
        <f t="shared" si="2088"/>
        <v>0</v>
      </c>
      <c r="O1259" s="30">
        <f t="shared" si="2088"/>
        <v>0</v>
      </c>
      <c r="P1259" s="30">
        <f t="shared" si="2088"/>
        <v>0</v>
      </c>
      <c r="Q1259" s="30">
        <f t="shared" si="2088"/>
        <v>0</v>
      </c>
      <c r="R1259" s="30">
        <f t="shared" si="2088"/>
        <v>0</v>
      </c>
      <c r="S1259" s="30">
        <f t="shared" si="2088"/>
        <v>0</v>
      </c>
      <c r="T1259" s="30">
        <f t="shared" si="2088"/>
        <v>0</v>
      </c>
      <c r="U1259" s="30">
        <f t="shared" si="2088"/>
        <v>0</v>
      </c>
      <c r="V1259" s="30">
        <f t="shared" si="2088"/>
        <v>0</v>
      </c>
      <c r="W1259" s="30">
        <f t="shared" si="2088"/>
        <v>0</v>
      </c>
      <c r="X1259" s="30">
        <f t="shared" si="2088"/>
        <v>0</v>
      </c>
      <c r="Y1259" s="30">
        <f t="shared" si="2088"/>
        <v>0</v>
      </c>
      <c r="Z1259" s="30">
        <f t="shared" si="2088"/>
        <v>0</v>
      </c>
      <c r="AA1259" s="30">
        <f t="shared" si="2088"/>
        <v>0</v>
      </c>
      <c r="AB1259" s="30">
        <f t="shared" si="2088"/>
        <v>0</v>
      </c>
      <c r="AC1259" s="67"/>
    </row>
    <row r="1260" spans="1:29">
      <c r="A1260" s="129" t="s">
        <v>576</v>
      </c>
      <c r="B1260" s="182">
        <v>310274</v>
      </c>
      <c r="C1260" s="211">
        <f>ROUND(B1260/12,2)</f>
        <v>25856.17</v>
      </c>
      <c r="D1260" s="130"/>
      <c r="E1260" s="130">
        <v>1</v>
      </c>
      <c r="F1260" s="174"/>
      <c r="G1260" s="130"/>
      <c r="H1260" s="130"/>
      <c r="I1260" s="130"/>
      <c r="J1260" s="130"/>
      <c r="K1260" s="130"/>
      <c r="L1260" s="130"/>
      <c r="M1260" s="130"/>
      <c r="N1260" s="130"/>
      <c r="O1260" s="130"/>
      <c r="P1260" s="130"/>
      <c r="Q1260" s="130"/>
      <c r="R1260" s="130"/>
      <c r="S1260" s="130"/>
      <c r="T1260" s="130"/>
      <c r="U1260" s="130"/>
      <c r="V1260" s="130"/>
      <c r="W1260" s="130"/>
      <c r="X1260" s="130"/>
      <c r="Y1260" s="130"/>
      <c r="Z1260" s="131"/>
      <c r="AA1260" s="131"/>
      <c r="AB1260" s="131"/>
      <c r="AC1260" s="67"/>
    </row>
    <row r="1261" spans="1:29">
      <c r="A1261" s="90"/>
      <c r="B1261" s="17"/>
      <c r="C1261" s="242"/>
      <c r="D1261" s="30">
        <f t="shared" ref="D1261" si="2089">$C1260*D1260</f>
        <v>0</v>
      </c>
      <c r="E1261" s="30">
        <f t="shared" ref="E1261" si="2090">$C1260*E1260</f>
        <v>25856.17</v>
      </c>
      <c r="F1261" s="30">
        <f t="shared" ref="F1261:AB1261" si="2091">$C1260*F1260</f>
        <v>0</v>
      </c>
      <c r="G1261" s="30">
        <f t="shared" si="2091"/>
        <v>0</v>
      </c>
      <c r="H1261" s="30">
        <f t="shared" si="2091"/>
        <v>0</v>
      </c>
      <c r="I1261" s="30">
        <f t="shared" si="2091"/>
        <v>0</v>
      </c>
      <c r="J1261" s="30">
        <f t="shared" si="2091"/>
        <v>0</v>
      </c>
      <c r="K1261" s="30">
        <f t="shared" si="2091"/>
        <v>0</v>
      </c>
      <c r="L1261" s="30">
        <f t="shared" si="2091"/>
        <v>0</v>
      </c>
      <c r="M1261" s="30">
        <f t="shared" si="2091"/>
        <v>0</v>
      </c>
      <c r="N1261" s="30">
        <f t="shared" si="2091"/>
        <v>0</v>
      </c>
      <c r="O1261" s="30">
        <f t="shared" si="2091"/>
        <v>0</v>
      </c>
      <c r="P1261" s="30">
        <f t="shared" si="2091"/>
        <v>0</v>
      </c>
      <c r="Q1261" s="30">
        <f t="shared" si="2091"/>
        <v>0</v>
      </c>
      <c r="R1261" s="30">
        <f t="shared" si="2091"/>
        <v>0</v>
      </c>
      <c r="S1261" s="30">
        <f t="shared" si="2091"/>
        <v>0</v>
      </c>
      <c r="T1261" s="30">
        <f t="shared" si="2091"/>
        <v>0</v>
      </c>
      <c r="U1261" s="30">
        <f t="shared" si="2091"/>
        <v>0</v>
      </c>
      <c r="V1261" s="30">
        <f t="shared" si="2091"/>
        <v>0</v>
      </c>
      <c r="W1261" s="30">
        <f t="shared" si="2091"/>
        <v>0</v>
      </c>
      <c r="X1261" s="30">
        <f t="shared" si="2091"/>
        <v>0</v>
      </c>
      <c r="Y1261" s="30">
        <f t="shared" si="2091"/>
        <v>0</v>
      </c>
      <c r="Z1261" s="30">
        <f t="shared" si="2091"/>
        <v>0</v>
      </c>
      <c r="AA1261" s="30">
        <f t="shared" si="2091"/>
        <v>0</v>
      </c>
      <c r="AB1261" s="30">
        <f t="shared" si="2091"/>
        <v>0</v>
      </c>
      <c r="AC1261" s="67"/>
    </row>
    <row r="1262" spans="1:29">
      <c r="A1262" s="129" t="s">
        <v>577</v>
      </c>
      <c r="B1262" s="182">
        <v>474593</v>
      </c>
      <c r="C1262" s="211">
        <f>ROUND(B1262/12,2)</f>
        <v>39549.42</v>
      </c>
      <c r="D1262" s="130"/>
      <c r="E1262" s="130"/>
      <c r="F1262" s="130"/>
      <c r="G1262" s="130"/>
      <c r="H1262" s="130">
        <v>0.1666</v>
      </c>
      <c r="I1262" s="130"/>
      <c r="J1262" s="130"/>
      <c r="K1262" s="130"/>
      <c r="L1262" s="130"/>
      <c r="M1262" s="130"/>
      <c r="N1262" s="130">
        <v>0.33660000000000001</v>
      </c>
      <c r="O1262" s="130"/>
      <c r="P1262" s="130"/>
      <c r="Q1262" s="130"/>
      <c r="R1262" s="130"/>
      <c r="S1262" s="130"/>
      <c r="T1262" s="130"/>
      <c r="U1262" s="130"/>
      <c r="V1262" s="130">
        <v>0.49680000000000002</v>
      </c>
      <c r="W1262" s="130"/>
      <c r="X1262" s="130"/>
      <c r="Y1262" s="130"/>
      <c r="Z1262" s="131"/>
      <c r="AA1262" s="131"/>
      <c r="AB1262" s="131"/>
      <c r="AC1262" s="67"/>
    </row>
    <row r="1263" spans="1:29">
      <c r="A1263" s="90"/>
      <c r="B1263" s="17"/>
      <c r="C1263" s="242"/>
      <c r="D1263" s="30">
        <f t="shared" ref="D1263" si="2092">$C1262*D1262</f>
        <v>0</v>
      </c>
      <c r="E1263" s="30">
        <f t="shared" ref="E1263" si="2093">$C1262*E1262</f>
        <v>0</v>
      </c>
      <c r="F1263" s="30">
        <f t="shared" ref="F1263:AB1263" si="2094">$C1262*F1262</f>
        <v>0</v>
      </c>
      <c r="G1263" s="30">
        <f t="shared" si="2094"/>
        <v>0</v>
      </c>
      <c r="H1263" s="30">
        <f t="shared" si="2094"/>
        <v>6588.9333719999995</v>
      </c>
      <c r="I1263" s="30">
        <f t="shared" si="2094"/>
        <v>0</v>
      </c>
      <c r="J1263" s="30">
        <f t="shared" si="2094"/>
        <v>0</v>
      </c>
      <c r="K1263" s="30">
        <f t="shared" si="2094"/>
        <v>0</v>
      </c>
      <c r="L1263" s="30">
        <f t="shared" si="2094"/>
        <v>0</v>
      </c>
      <c r="M1263" s="30">
        <f t="shared" si="2094"/>
        <v>0</v>
      </c>
      <c r="N1263" s="30">
        <f t="shared" si="2094"/>
        <v>13312.334772</v>
      </c>
      <c r="O1263" s="30">
        <f t="shared" si="2094"/>
        <v>0</v>
      </c>
      <c r="P1263" s="30">
        <f t="shared" si="2094"/>
        <v>0</v>
      </c>
      <c r="Q1263" s="30">
        <f t="shared" si="2094"/>
        <v>0</v>
      </c>
      <c r="R1263" s="30">
        <f t="shared" si="2094"/>
        <v>0</v>
      </c>
      <c r="S1263" s="30">
        <f t="shared" si="2094"/>
        <v>0</v>
      </c>
      <c r="T1263" s="30">
        <f t="shared" si="2094"/>
        <v>0</v>
      </c>
      <c r="U1263" s="30">
        <f t="shared" si="2094"/>
        <v>0</v>
      </c>
      <c r="V1263" s="30">
        <f t="shared" si="2094"/>
        <v>19648.151856</v>
      </c>
      <c r="W1263" s="30">
        <f t="shared" si="2094"/>
        <v>0</v>
      </c>
      <c r="X1263" s="30">
        <f t="shared" si="2094"/>
        <v>0</v>
      </c>
      <c r="Y1263" s="30">
        <f t="shared" si="2094"/>
        <v>0</v>
      </c>
      <c r="Z1263" s="30">
        <f t="shared" si="2094"/>
        <v>0</v>
      </c>
      <c r="AA1263" s="30">
        <f t="shared" si="2094"/>
        <v>0</v>
      </c>
      <c r="AB1263" s="30">
        <f t="shared" si="2094"/>
        <v>0</v>
      </c>
      <c r="AC1263" s="67"/>
    </row>
    <row r="1264" spans="1:29">
      <c r="A1264" s="129" t="s">
        <v>578</v>
      </c>
      <c r="B1264" s="182">
        <v>255572</v>
      </c>
      <c r="C1264" s="211">
        <f>ROUND(B1264/12,2)</f>
        <v>21297.67</v>
      </c>
      <c r="D1264" s="130">
        <v>1.8200000000000001E-2</v>
      </c>
      <c r="E1264" s="130"/>
      <c r="F1264" s="130">
        <v>0.76839999999999997</v>
      </c>
      <c r="G1264" s="130"/>
      <c r="H1264" s="130"/>
      <c r="I1264" s="130"/>
      <c r="J1264" s="130"/>
      <c r="K1264" s="130"/>
      <c r="L1264" s="130"/>
      <c r="M1264" s="130">
        <v>2.64E-2</v>
      </c>
      <c r="N1264" s="130"/>
      <c r="O1264" s="130"/>
      <c r="P1264" s="130"/>
      <c r="Q1264" s="130">
        <v>4.53E-2</v>
      </c>
      <c r="R1264" s="130">
        <v>9.1499999999999998E-2</v>
      </c>
      <c r="S1264" s="130">
        <v>4.1999999999999997E-3</v>
      </c>
      <c r="T1264" s="130"/>
      <c r="U1264" s="130"/>
      <c r="V1264" s="130"/>
      <c r="W1264" s="130">
        <v>4.5999999999999999E-2</v>
      </c>
      <c r="X1264" s="130"/>
      <c r="Y1264" s="130"/>
      <c r="Z1264" s="131"/>
      <c r="AA1264" s="131"/>
      <c r="AB1264" s="131"/>
      <c r="AC1264" s="67"/>
    </row>
    <row r="1265" spans="1:29">
      <c r="A1265" s="90"/>
      <c r="B1265" s="17"/>
      <c r="C1265" s="242"/>
      <c r="D1265" s="30">
        <f t="shared" ref="D1265" si="2095">$C1264*D1264</f>
        <v>387.617594</v>
      </c>
      <c r="E1265" s="30">
        <f t="shared" ref="E1265" si="2096">$C1264*E1264</f>
        <v>0</v>
      </c>
      <c r="F1265" s="30">
        <f t="shared" ref="F1265:AB1265" si="2097">$C1264*F1264</f>
        <v>16365.129627999999</v>
      </c>
      <c r="G1265" s="30">
        <f t="shared" si="2097"/>
        <v>0</v>
      </c>
      <c r="H1265" s="30">
        <f t="shared" si="2097"/>
        <v>0</v>
      </c>
      <c r="I1265" s="30">
        <f t="shared" si="2097"/>
        <v>0</v>
      </c>
      <c r="J1265" s="30">
        <f t="shared" si="2097"/>
        <v>0</v>
      </c>
      <c r="K1265" s="30">
        <f t="shared" si="2097"/>
        <v>0</v>
      </c>
      <c r="L1265" s="30">
        <f t="shared" si="2097"/>
        <v>0</v>
      </c>
      <c r="M1265" s="30">
        <f t="shared" si="2097"/>
        <v>562.25848799999994</v>
      </c>
      <c r="N1265" s="30">
        <f t="shared" si="2097"/>
        <v>0</v>
      </c>
      <c r="O1265" s="30">
        <f t="shared" si="2097"/>
        <v>0</v>
      </c>
      <c r="P1265" s="30">
        <f t="shared" si="2097"/>
        <v>0</v>
      </c>
      <c r="Q1265" s="30">
        <f t="shared" si="2097"/>
        <v>964.78445099999988</v>
      </c>
      <c r="R1265" s="30">
        <f t="shared" si="2097"/>
        <v>1948.7368049999998</v>
      </c>
      <c r="S1265" s="30">
        <f t="shared" si="2097"/>
        <v>89.450213999999988</v>
      </c>
      <c r="T1265" s="30">
        <f t="shared" si="2097"/>
        <v>0</v>
      </c>
      <c r="U1265" s="30">
        <f t="shared" si="2097"/>
        <v>0</v>
      </c>
      <c r="V1265" s="30">
        <f t="shared" si="2097"/>
        <v>0</v>
      </c>
      <c r="W1265" s="30">
        <f t="shared" si="2097"/>
        <v>979.69281999999987</v>
      </c>
      <c r="X1265" s="30">
        <f t="shared" si="2097"/>
        <v>0</v>
      </c>
      <c r="Y1265" s="30">
        <f t="shared" si="2097"/>
        <v>0</v>
      </c>
      <c r="Z1265" s="30">
        <f t="shared" si="2097"/>
        <v>0</v>
      </c>
      <c r="AA1265" s="30">
        <f t="shared" si="2097"/>
        <v>0</v>
      </c>
      <c r="AB1265" s="30">
        <f t="shared" si="2097"/>
        <v>0</v>
      </c>
      <c r="AC1265" s="67"/>
    </row>
    <row r="1266" spans="1:29">
      <c r="A1266" s="129" t="s">
        <v>579</v>
      </c>
      <c r="B1266" s="182">
        <f>15196/2</f>
        <v>7598</v>
      </c>
      <c r="C1266" s="211">
        <f>ROUND(B1266/12,2)</f>
        <v>633.16999999999996</v>
      </c>
      <c r="D1266" s="170">
        <v>1.6500000000000001E-2</v>
      </c>
      <c r="E1266" s="170">
        <v>0.1368</v>
      </c>
      <c r="F1266" s="170">
        <v>5.7599999999999998E-2</v>
      </c>
      <c r="G1266" s="170">
        <v>8.0399999999999999E-2</v>
      </c>
      <c r="H1266" s="170">
        <v>4.1099999999999998E-2</v>
      </c>
      <c r="I1266" s="170">
        <v>0.13389999999999999</v>
      </c>
      <c r="J1266" s="170">
        <v>2.12E-2</v>
      </c>
      <c r="K1266" s="170">
        <v>3.2500000000000001E-2</v>
      </c>
      <c r="L1266" s="170">
        <v>1.7100000000000001E-2</v>
      </c>
      <c r="M1266" s="170">
        <v>2.5999999999999999E-2</v>
      </c>
      <c r="N1266" s="170">
        <v>0.13320000000000001</v>
      </c>
      <c r="O1266" s="170">
        <v>1.89E-2</v>
      </c>
      <c r="P1266" s="170">
        <v>0</v>
      </c>
      <c r="Q1266" s="170">
        <v>3.8600000000000002E-2</v>
      </c>
      <c r="R1266" s="170">
        <v>1.9E-2</v>
      </c>
      <c r="S1266" s="170">
        <v>4.1999999999999997E-3</v>
      </c>
      <c r="T1266" s="170">
        <v>5.3999999999999999E-2</v>
      </c>
      <c r="U1266" s="170">
        <v>1.78E-2</v>
      </c>
      <c r="V1266" s="170">
        <v>3.6700000000000003E-2</v>
      </c>
      <c r="W1266" s="170">
        <v>4.7199999999999999E-2</v>
      </c>
      <c r="X1266" s="170">
        <v>6.3899999999999998E-2</v>
      </c>
      <c r="Y1266" s="170">
        <v>2.5999999999999999E-3</v>
      </c>
      <c r="Z1266" s="171">
        <v>0</v>
      </c>
      <c r="AA1266" s="171">
        <v>8.0000000000000004E-4</v>
      </c>
      <c r="AB1266" s="171">
        <v>0</v>
      </c>
      <c r="AC1266" s="67"/>
    </row>
    <row r="1267" spans="1:29">
      <c r="A1267" s="90"/>
      <c r="B1267" s="17"/>
      <c r="C1267" s="242"/>
      <c r="D1267" s="30">
        <f t="shared" ref="D1267" si="2098">$C1266*D1266</f>
        <v>10.447305</v>
      </c>
      <c r="E1267" s="30">
        <f t="shared" ref="E1267" si="2099">$C1266*E1266</f>
        <v>86.617655999999997</v>
      </c>
      <c r="F1267" s="30">
        <f t="shared" ref="F1267:AB1267" si="2100">$C1266*F1266</f>
        <v>36.470591999999996</v>
      </c>
      <c r="G1267" s="30">
        <f t="shared" si="2100"/>
        <v>50.906867999999996</v>
      </c>
      <c r="H1267" s="30">
        <f t="shared" si="2100"/>
        <v>26.023286999999996</v>
      </c>
      <c r="I1267" s="30">
        <f t="shared" si="2100"/>
        <v>84.781462999999988</v>
      </c>
      <c r="J1267" s="30">
        <f t="shared" si="2100"/>
        <v>13.423203999999998</v>
      </c>
      <c r="K1267" s="30">
        <f t="shared" si="2100"/>
        <v>20.578025</v>
      </c>
      <c r="L1267" s="30">
        <f t="shared" si="2100"/>
        <v>10.827207</v>
      </c>
      <c r="M1267" s="30">
        <f t="shared" si="2100"/>
        <v>16.462419999999998</v>
      </c>
      <c r="N1267" s="30">
        <f t="shared" si="2100"/>
        <v>84.338244000000003</v>
      </c>
      <c r="O1267" s="30">
        <f t="shared" si="2100"/>
        <v>11.966913</v>
      </c>
      <c r="P1267" s="30">
        <f t="shared" si="2100"/>
        <v>0</v>
      </c>
      <c r="Q1267" s="30">
        <f t="shared" si="2100"/>
        <v>24.440362</v>
      </c>
      <c r="R1267" s="30">
        <f t="shared" si="2100"/>
        <v>12.03023</v>
      </c>
      <c r="S1267" s="30">
        <f t="shared" si="2100"/>
        <v>2.6593139999999997</v>
      </c>
      <c r="T1267" s="30">
        <f t="shared" si="2100"/>
        <v>34.191179999999996</v>
      </c>
      <c r="U1267" s="30">
        <f t="shared" si="2100"/>
        <v>11.270425999999999</v>
      </c>
      <c r="V1267" s="30">
        <f t="shared" si="2100"/>
        <v>23.237339000000002</v>
      </c>
      <c r="W1267" s="30">
        <f t="shared" si="2100"/>
        <v>29.885623999999996</v>
      </c>
      <c r="X1267" s="30">
        <f t="shared" si="2100"/>
        <v>40.459562999999996</v>
      </c>
      <c r="Y1267" s="30">
        <f t="shared" si="2100"/>
        <v>1.6462419999999998</v>
      </c>
      <c r="Z1267" s="30">
        <f t="shared" si="2100"/>
        <v>0</v>
      </c>
      <c r="AA1267" s="30">
        <f t="shared" si="2100"/>
        <v>0.50653599999999999</v>
      </c>
      <c r="AB1267" s="30">
        <f t="shared" si="2100"/>
        <v>0</v>
      </c>
      <c r="AC1267" s="67"/>
    </row>
    <row r="1268" spans="1:29">
      <c r="A1268" s="129" t="s">
        <v>589</v>
      </c>
      <c r="B1268" s="182">
        <f>15196/2</f>
        <v>7598</v>
      </c>
      <c r="C1268" s="211">
        <f>ROUND(B1268/12,2)</f>
        <v>633.16999999999996</v>
      </c>
      <c r="D1268" s="130"/>
      <c r="E1268" s="130"/>
      <c r="F1268" s="174">
        <v>0.16109999999999999</v>
      </c>
      <c r="G1268" s="130"/>
      <c r="H1268" s="174">
        <v>0.13320000000000001</v>
      </c>
      <c r="I1268" s="130"/>
      <c r="J1268" s="130"/>
      <c r="K1268" s="130"/>
      <c r="L1268" s="130"/>
      <c r="M1268" s="130"/>
      <c r="N1268" s="174">
        <v>0.55420000000000003</v>
      </c>
      <c r="O1268" s="130"/>
      <c r="P1268" s="130"/>
      <c r="Q1268" s="130"/>
      <c r="R1268" s="130"/>
      <c r="S1268" s="130"/>
      <c r="T1268" s="130"/>
      <c r="U1268" s="130"/>
      <c r="V1268" s="174">
        <v>0.1515</v>
      </c>
      <c r="W1268" s="130"/>
      <c r="X1268" s="130"/>
      <c r="Y1268" s="130"/>
      <c r="Z1268" s="131"/>
      <c r="AA1268" s="131"/>
      <c r="AB1268" s="131"/>
      <c r="AC1268" s="67"/>
    </row>
    <row r="1269" spans="1:29">
      <c r="A1269" s="90"/>
      <c r="B1269" s="17"/>
      <c r="C1269" s="242"/>
      <c r="D1269" s="30">
        <f t="shared" ref="D1269" si="2101">$C1268*D1268</f>
        <v>0</v>
      </c>
      <c r="E1269" s="30">
        <f t="shared" ref="E1269" si="2102">$C1268*E1268</f>
        <v>0</v>
      </c>
      <c r="F1269" s="30">
        <f t="shared" ref="F1269:AB1269" si="2103">$C1268*F1268</f>
        <v>102.00368699999999</v>
      </c>
      <c r="G1269" s="30">
        <f t="shared" si="2103"/>
        <v>0</v>
      </c>
      <c r="H1269" s="30">
        <f t="shared" si="2103"/>
        <v>84.338244000000003</v>
      </c>
      <c r="I1269" s="30">
        <f t="shared" si="2103"/>
        <v>0</v>
      </c>
      <c r="J1269" s="30">
        <f t="shared" si="2103"/>
        <v>0</v>
      </c>
      <c r="K1269" s="30">
        <f t="shared" si="2103"/>
        <v>0</v>
      </c>
      <c r="L1269" s="30">
        <f t="shared" si="2103"/>
        <v>0</v>
      </c>
      <c r="M1269" s="30">
        <f t="shared" si="2103"/>
        <v>0</v>
      </c>
      <c r="N1269" s="30">
        <f t="shared" si="2103"/>
        <v>350.90281399999998</v>
      </c>
      <c r="O1269" s="30">
        <f t="shared" si="2103"/>
        <v>0</v>
      </c>
      <c r="P1269" s="30">
        <f t="shared" si="2103"/>
        <v>0</v>
      </c>
      <c r="Q1269" s="30">
        <f t="shared" si="2103"/>
        <v>0</v>
      </c>
      <c r="R1269" s="30">
        <f t="shared" si="2103"/>
        <v>0</v>
      </c>
      <c r="S1269" s="30">
        <f t="shared" si="2103"/>
        <v>0</v>
      </c>
      <c r="T1269" s="30">
        <f t="shared" si="2103"/>
        <v>0</v>
      </c>
      <c r="U1269" s="30">
        <f t="shared" si="2103"/>
        <v>0</v>
      </c>
      <c r="V1269" s="30">
        <f t="shared" si="2103"/>
        <v>95.925254999999993</v>
      </c>
      <c r="W1269" s="30">
        <f t="shared" si="2103"/>
        <v>0</v>
      </c>
      <c r="X1269" s="30">
        <f t="shared" si="2103"/>
        <v>0</v>
      </c>
      <c r="Y1269" s="30">
        <f t="shared" si="2103"/>
        <v>0</v>
      </c>
      <c r="Z1269" s="30">
        <f t="shared" si="2103"/>
        <v>0</v>
      </c>
      <c r="AA1269" s="30">
        <f t="shared" si="2103"/>
        <v>0</v>
      </c>
      <c r="AB1269" s="30">
        <f t="shared" si="2103"/>
        <v>0</v>
      </c>
      <c r="AC1269" s="67"/>
    </row>
    <row r="1270" spans="1:29">
      <c r="A1270" s="129" t="s">
        <v>580</v>
      </c>
      <c r="B1270" s="182">
        <f>2000369/2</f>
        <v>1000184.5</v>
      </c>
      <c r="C1270" s="211">
        <f>ROUND(B1270/12,2)</f>
        <v>83348.710000000006</v>
      </c>
      <c r="D1270" s="170">
        <v>1.6500000000000001E-2</v>
      </c>
      <c r="E1270" s="170">
        <v>0.1368</v>
      </c>
      <c r="F1270" s="170">
        <v>5.7599999999999998E-2</v>
      </c>
      <c r="G1270" s="170">
        <v>8.0399999999999999E-2</v>
      </c>
      <c r="H1270" s="170">
        <v>4.1099999999999998E-2</v>
      </c>
      <c r="I1270" s="170">
        <v>0.13389999999999999</v>
      </c>
      <c r="J1270" s="170">
        <v>2.12E-2</v>
      </c>
      <c r="K1270" s="170">
        <v>3.2500000000000001E-2</v>
      </c>
      <c r="L1270" s="170">
        <v>1.7100000000000001E-2</v>
      </c>
      <c r="M1270" s="170">
        <v>2.5999999999999999E-2</v>
      </c>
      <c r="N1270" s="170">
        <v>0.13320000000000001</v>
      </c>
      <c r="O1270" s="170">
        <v>1.89E-2</v>
      </c>
      <c r="P1270" s="170">
        <v>0</v>
      </c>
      <c r="Q1270" s="170">
        <v>3.8600000000000002E-2</v>
      </c>
      <c r="R1270" s="170">
        <v>1.9E-2</v>
      </c>
      <c r="S1270" s="170">
        <v>4.1999999999999997E-3</v>
      </c>
      <c r="T1270" s="170">
        <v>5.3999999999999999E-2</v>
      </c>
      <c r="U1270" s="170">
        <v>1.78E-2</v>
      </c>
      <c r="V1270" s="170">
        <v>3.6700000000000003E-2</v>
      </c>
      <c r="W1270" s="170">
        <v>4.7199999999999999E-2</v>
      </c>
      <c r="X1270" s="170">
        <v>6.3899999999999998E-2</v>
      </c>
      <c r="Y1270" s="170">
        <v>2.5999999999999999E-3</v>
      </c>
      <c r="Z1270" s="171">
        <v>0</v>
      </c>
      <c r="AA1270" s="171">
        <v>8.0000000000000004E-4</v>
      </c>
      <c r="AB1270" s="171">
        <v>0</v>
      </c>
      <c r="AC1270" s="67"/>
    </row>
    <row r="1271" spans="1:29">
      <c r="A1271" s="90"/>
      <c r="B1271" s="17"/>
      <c r="C1271" s="242"/>
      <c r="D1271" s="30">
        <f t="shared" ref="D1271" si="2104">$C1270*D1270</f>
        <v>1375.2537150000003</v>
      </c>
      <c r="E1271" s="30">
        <f t="shared" ref="E1271" si="2105">$C1270*E1270</f>
        <v>11402.103528000001</v>
      </c>
      <c r="F1271" s="30">
        <f t="shared" ref="F1271:AB1271" si="2106">$C1270*F1270</f>
        <v>4800.8856960000003</v>
      </c>
      <c r="G1271" s="30">
        <f t="shared" si="2106"/>
        <v>6701.2362840000005</v>
      </c>
      <c r="H1271" s="30">
        <f t="shared" si="2106"/>
        <v>3425.631981</v>
      </c>
      <c r="I1271" s="30">
        <f t="shared" si="2106"/>
        <v>11160.392269</v>
      </c>
      <c r="J1271" s="30">
        <f t="shared" si="2106"/>
        <v>1766.9926520000001</v>
      </c>
      <c r="K1271" s="30">
        <f t="shared" si="2106"/>
        <v>2708.8330750000005</v>
      </c>
      <c r="L1271" s="30">
        <f t="shared" si="2106"/>
        <v>1425.2629410000002</v>
      </c>
      <c r="M1271" s="30">
        <f t="shared" si="2106"/>
        <v>2167.06646</v>
      </c>
      <c r="N1271" s="30">
        <f t="shared" si="2106"/>
        <v>11102.048172000003</v>
      </c>
      <c r="O1271" s="30">
        <f t="shared" si="2106"/>
        <v>1575.2906190000001</v>
      </c>
      <c r="P1271" s="30">
        <f t="shared" si="2106"/>
        <v>0</v>
      </c>
      <c r="Q1271" s="30">
        <f t="shared" si="2106"/>
        <v>3217.2602060000004</v>
      </c>
      <c r="R1271" s="30">
        <f t="shared" si="2106"/>
        <v>1583.6254900000001</v>
      </c>
      <c r="S1271" s="30">
        <f t="shared" si="2106"/>
        <v>350.06458200000003</v>
      </c>
      <c r="T1271" s="30">
        <f t="shared" si="2106"/>
        <v>4500.8303400000004</v>
      </c>
      <c r="U1271" s="30">
        <f t="shared" si="2106"/>
        <v>1483.6070380000001</v>
      </c>
      <c r="V1271" s="30">
        <f t="shared" si="2106"/>
        <v>3058.8976570000004</v>
      </c>
      <c r="W1271" s="30">
        <f t="shared" si="2106"/>
        <v>3934.0591120000004</v>
      </c>
      <c r="X1271" s="30">
        <f t="shared" si="2106"/>
        <v>5325.9825690000007</v>
      </c>
      <c r="Y1271" s="30">
        <f t="shared" si="2106"/>
        <v>216.70664600000001</v>
      </c>
      <c r="Z1271" s="30">
        <f t="shared" si="2106"/>
        <v>0</v>
      </c>
      <c r="AA1271" s="30">
        <f t="shared" si="2106"/>
        <v>66.678968000000012</v>
      </c>
      <c r="AB1271" s="30">
        <f t="shared" si="2106"/>
        <v>0</v>
      </c>
      <c r="AC1271" s="67"/>
    </row>
    <row r="1272" spans="1:29">
      <c r="A1272" s="129" t="s">
        <v>590</v>
      </c>
      <c r="B1272" s="182">
        <f>2000369/2</f>
        <v>1000184.5</v>
      </c>
      <c r="C1272" s="211">
        <f>ROUND(B1272/12,2)</f>
        <v>83348.710000000006</v>
      </c>
      <c r="D1272" s="130"/>
      <c r="E1272" s="130"/>
      <c r="F1272" s="174">
        <v>0.16109999999999999</v>
      </c>
      <c r="G1272" s="130"/>
      <c r="H1272" s="174">
        <v>0.13320000000000001</v>
      </c>
      <c r="I1272" s="130"/>
      <c r="J1272" s="130"/>
      <c r="K1272" s="130"/>
      <c r="L1272" s="130"/>
      <c r="M1272" s="130"/>
      <c r="N1272" s="174">
        <v>0.55420000000000003</v>
      </c>
      <c r="O1272" s="130"/>
      <c r="P1272" s="130"/>
      <c r="Q1272" s="130"/>
      <c r="R1272" s="130"/>
      <c r="S1272" s="130"/>
      <c r="T1272" s="130"/>
      <c r="U1272" s="130"/>
      <c r="V1272" s="174">
        <v>0.1515</v>
      </c>
      <c r="W1272" s="130"/>
      <c r="X1272" s="130"/>
      <c r="Y1272" s="130"/>
      <c r="Z1272" s="131"/>
      <c r="AA1272" s="131"/>
      <c r="AB1272" s="131"/>
      <c r="AC1272" s="67"/>
    </row>
    <row r="1273" spans="1:29">
      <c r="A1273" s="90"/>
      <c r="B1273" s="17"/>
      <c r="C1273" s="242"/>
      <c r="D1273" s="30">
        <f t="shared" ref="D1273" si="2107">$C1272*D1272</f>
        <v>0</v>
      </c>
      <c r="E1273" s="30">
        <f t="shared" ref="E1273" si="2108">$C1272*E1272</f>
        <v>0</v>
      </c>
      <c r="F1273" s="30">
        <f t="shared" ref="F1273:AB1273" si="2109">$C1272*F1272</f>
        <v>13427.477181</v>
      </c>
      <c r="G1273" s="30">
        <f t="shared" si="2109"/>
        <v>0</v>
      </c>
      <c r="H1273" s="30">
        <f t="shared" si="2109"/>
        <v>11102.048172000003</v>
      </c>
      <c r="I1273" s="30">
        <f t="shared" si="2109"/>
        <v>0</v>
      </c>
      <c r="J1273" s="30">
        <f t="shared" si="2109"/>
        <v>0</v>
      </c>
      <c r="K1273" s="30">
        <f t="shared" si="2109"/>
        <v>0</v>
      </c>
      <c r="L1273" s="30">
        <f t="shared" si="2109"/>
        <v>0</v>
      </c>
      <c r="M1273" s="30">
        <f t="shared" si="2109"/>
        <v>0</v>
      </c>
      <c r="N1273" s="30">
        <f t="shared" si="2109"/>
        <v>46191.855082000009</v>
      </c>
      <c r="O1273" s="30">
        <f t="shared" si="2109"/>
        <v>0</v>
      </c>
      <c r="P1273" s="30">
        <f t="shared" si="2109"/>
        <v>0</v>
      </c>
      <c r="Q1273" s="30">
        <f t="shared" si="2109"/>
        <v>0</v>
      </c>
      <c r="R1273" s="30">
        <f t="shared" si="2109"/>
        <v>0</v>
      </c>
      <c r="S1273" s="30">
        <f t="shared" si="2109"/>
        <v>0</v>
      </c>
      <c r="T1273" s="30">
        <f t="shared" si="2109"/>
        <v>0</v>
      </c>
      <c r="U1273" s="30">
        <f t="shared" si="2109"/>
        <v>0</v>
      </c>
      <c r="V1273" s="30">
        <f t="shared" si="2109"/>
        <v>12627.329565</v>
      </c>
      <c r="W1273" s="30">
        <f t="shared" si="2109"/>
        <v>0</v>
      </c>
      <c r="X1273" s="30">
        <f t="shared" si="2109"/>
        <v>0</v>
      </c>
      <c r="Y1273" s="30">
        <f t="shared" si="2109"/>
        <v>0</v>
      </c>
      <c r="Z1273" s="30">
        <f t="shared" si="2109"/>
        <v>0</v>
      </c>
      <c r="AA1273" s="30">
        <f t="shared" si="2109"/>
        <v>0</v>
      </c>
      <c r="AB1273" s="30">
        <f t="shared" si="2109"/>
        <v>0</v>
      </c>
      <c r="AC1273" s="67"/>
    </row>
    <row r="1274" spans="1:29">
      <c r="A1274" s="129" t="s">
        <v>581</v>
      </c>
      <c r="B1274" s="182">
        <v>62093</v>
      </c>
      <c r="C1274" s="211">
        <f>ROUND(B1274/12,2)</f>
        <v>5174.42</v>
      </c>
      <c r="D1274" s="130"/>
      <c r="E1274" s="130">
        <v>0.12909999999999999</v>
      </c>
      <c r="F1274" s="130">
        <v>0.19040000000000001</v>
      </c>
      <c r="G1274" s="130">
        <v>1.24E-2</v>
      </c>
      <c r="H1274" s="130"/>
      <c r="I1274" s="130">
        <v>3.5000000000000001E-3</v>
      </c>
      <c r="J1274" s="130">
        <v>1.4500000000000001E-2</v>
      </c>
      <c r="K1274" s="130">
        <v>2.3E-2</v>
      </c>
      <c r="L1274" s="130">
        <v>1.11E-2</v>
      </c>
      <c r="M1274" s="130"/>
      <c r="N1274" s="130">
        <v>0.44850000000000001</v>
      </c>
      <c r="O1274" s="130">
        <v>7.7999999999999996E-3</v>
      </c>
      <c r="P1274" s="130"/>
      <c r="Q1274" s="130"/>
      <c r="R1274" s="130"/>
      <c r="S1274" s="130"/>
      <c r="T1274" s="130"/>
      <c r="U1274" s="130"/>
      <c r="V1274" s="130">
        <v>0.1585</v>
      </c>
      <c r="W1274" s="130">
        <v>1.1999999999999999E-3</v>
      </c>
      <c r="X1274" s="130"/>
      <c r="Y1274" s="130"/>
      <c r="Z1274" s="131"/>
      <c r="AA1274" s="131"/>
      <c r="AB1274" s="131"/>
      <c r="AC1274" s="67"/>
    </row>
    <row r="1275" spans="1:29">
      <c r="A1275" s="90"/>
      <c r="B1275" s="17"/>
      <c r="C1275" s="242"/>
      <c r="D1275" s="30">
        <f t="shared" ref="D1275" si="2110">$C1274*D1274</f>
        <v>0</v>
      </c>
      <c r="E1275" s="30">
        <f t="shared" ref="E1275" si="2111">$C1274*E1274</f>
        <v>668.01762199999996</v>
      </c>
      <c r="F1275" s="30">
        <f t="shared" ref="F1275:AB1275" si="2112">$C1274*F1274</f>
        <v>985.2095680000001</v>
      </c>
      <c r="G1275" s="30">
        <f t="shared" si="2112"/>
        <v>64.162807999999998</v>
      </c>
      <c r="H1275" s="30">
        <f t="shared" si="2112"/>
        <v>0</v>
      </c>
      <c r="I1275" s="30">
        <f t="shared" si="2112"/>
        <v>18.110469999999999</v>
      </c>
      <c r="J1275" s="30">
        <f t="shared" si="2112"/>
        <v>75.029090000000011</v>
      </c>
      <c r="K1275" s="30">
        <f t="shared" si="2112"/>
        <v>119.01166000000001</v>
      </c>
      <c r="L1275" s="30">
        <f t="shared" si="2112"/>
        <v>57.436062000000007</v>
      </c>
      <c r="M1275" s="30">
        <f t="shared" si="2112"/>
        <v>0</v>
      </c>
      <c r="N1275" s="30">
        <f t="shared" si="2112"/>
        <v>2320.7273700000001</v>
      </c>
      <c r="O1275" s="30">
        <f t="shared" si="2112"/>
        <v>40.360475999999998</v>
      </c>
      <c r="P1275" s="30">
        <f t="shared" si="2112"/>
        <v>0</v>
      </c>
      <c r="Q1275" s="30">
        <f t="shared" si="2112"/>
        <v>0</v>
      </c>
      <c r="R1275" s="30">
        <f t="shared" si="2112"/>
        <v>0</v>
      </c>
      <c r="S1275" s="30">
        <f t="shared" si="2112"/>
        <v>0</v>
      </c>
      <c r="T1275" s="30">
        <f t="shared" si="2112"/>
        <v>0</v>
      </c>
      <c r="U1275" s="30">
        <f t="shared" si="2112"/>
        <v>0</v>
      </c>
      <c r="V1275" s="30">
        <f t="shared" si="2112"/>
        <v>820.14557000000002</v>
      </c>
      <c r="W1275" s="30">
        <f t="shared" si="2112"/>
        <v>6.2093039999999995</v>
      </c>
      <c r="X1275" s="30">
        <f t="shared" si="2112"/>
        <v>0</v>
      </c>
      <c r="Y1275" s="30">
        <f t="shared" si="2112"/>
        <v>0</v>
      </c>
      <c r="Z1275" s="30">
        <f t="shared" si="2112"/>
        <v>0</v>
      </c>
      <c r="AA1275" s="30">
        <f t="shared" si="2112"/>
        <v>0</v>
      </c>
      <c r="AB1275" s="30">
        <f t="shared" si="2112"/>
        <v>0</v>
      </c>
      <c r="AC1275" s="67"/>
    </row>
    <row r="1276" spans="1:29">
      <c r="A1276" s="129" t="s">
        <v>592</v>
      </c>
      <c r="B1276" s="182">
        <f>254594/2</f>
        <v>127297</v>
      </c>
      <c r="C1276" s="211">
        <f>ROUND(B1276/12,2)</f>
        <v>10608.08</v>
      </c>
      <c r="D1276" s="170">
        <v>1.6500000000000001E-2</v>
      </c>
      <c r="E1276" s="170">
        <v>0.1368</v>
      </c>
      <c r="F1276" s="170">
        <v>5.7599999999999998E-2</v>
      </c>
      <c r="G1276" s="170">
        <v>8.0399999999999999E-2</v>
      </c>
      <c r="H1276" s="170">
        <v>4.1099999999999998E-2</v>
      </c>
      <c r="I1276" s="170">
        <v>0.13389999999999999</v>
      </c>
      <c r="J1276" s="170">
        <v>2.12E-2</v>
      </c>
      <c r="K1276" s="170">
        <v>3.2500000000000001E-2</v>
      </c>
      <c r="L1276" s="170">
        <v>1.7100000000000001E-2</v>
      </c>
      <c r="M1276" s="170">
        <v>2.5999999999999999E-2</v>
      </c>
      <c r="N1276" s="170">
        <v>0.13320000000000001</v>
      </c>
      <c r="O1276" s="170">
        <v>1.89E-2</v>
      </c>
      <c r="P1276" s="170">
        <v>0</v>
      </c>
      <c r="Q1276" s="170">
        <v>3.8600000000000002E-2</v>
      </c>
      <c r="R1276" s="170">
        <v>1.9E-2</v>
      </c>
      <c r="S1276" s="170">
        <v>4.1999999999999997E-3</v>
      </c>
      <c r="T1276" s="170">
        <v>5.3999999999999999E-2</v>
      </c>
      <c r="U1276" s="170">
        <v>1.78E-2</v>
      </c>
      <c r="V1276" s="170">
        <v>3.6700000000000003E-2</v>
      </c>
      <c r="W1276" s="170">
        <v>4.7199999999999999E-2</v>
      </c>
      <c r="X1276" s="170">
        <v>6.3899999999999998E-2</v>
      </c>
      <c r="Y1276" s="170">
        <v>2.5999999999999999E-3</v>
      </c>
      <c r="Z1276" s="171">
        <v>0</v>
      </c>
      <c r="AA1276" s="171">
        <v>8.0000000000000004E-4</v>
      </c>
      <c r="AB1276" s="171">
        <v>0</v>
      </c>
      <c r="AC1276" s="67"/>
    </row>
    <row r="1277" spans="1:29">
      <c r="A1277" s="90"/>
      <c r="B1277" s="17"/>
      <c r="C1277" s="242"/>
      <c r="D1277" s="30">
        <f t="shared" ref="D1277" si="2113">$C1276*D1276</f>
        <v>175.03332</v>
      </c>
      <c r="E1277" s="30">
        <f t="shared" ref="E1277" si="2114">$C1276*E1276</f>
        <v>1451.185344</v>
      </c>
      <c r="F1277" s="30">
        <f t="shared" ref="F1277:AB1277" si="2115">$C1276*F1276</f>
        <v>611.02540799999997</v>
      </c>
      <c r="G1277" s="30">
        <f t="shared" si="2115"/>
        <v>852.88963200000001</v>
      </c>
      <c r="H1277" s="30">
        <f t="shared" si="2115"/>
        <v>435.99208799999997</v>
      </c>
      <c r="I1277" s="30">
        <f t="shared" si="2115"/>
        <v>1420.4219119999998</v>
      </c>
      <c r="J1277" s="30">
        <f t="shared" si="2115"/>
        <v>224.89129600000001</v>
      </c>
      <c r="K1277" s="30">
        <f t="shared" si="2115"/>
        <v>344.76260000000002</v>
      </c>
      <c r="L1277" s="30">
        <f t="shared" si="2115"/>
        <v>181.398168</v>
      </c>
      <c r="M1277" s="30">
        <f t="shared" si="2115"/>
        <v>275.81007999999997</v>
      </c>
      <c r="N1277" s="30">
        <f t="shared" si="2115"/>
        <v>1412.9962560000001</v>
      </c>
      <c r="O1277" s="30">
        <f t="shared" si="2115"/>
        <v>200.49271200000001</v>
      </c>
      <c r="P1277" s="30">
        <f t="shared" si="2115"/>
        <v>0</v>
      </c>
      <c r="Q1277" s="30">
        <f t="shared" si="2115"/>
        <v>409.47188800000004</v>
      </c>
      <c r="R1277" s="30">
        <f t="shared" si="2115"/>
        <v>201.55351999999999</v>
      </c>
      <c r="S1277" s="30">
        <f t="shared" si="2115"/>
        <v>44.553936</v>
      </c>
      <c r="T1277" s="30">
        <f t="shared" si="2115"/>
        <v>572.83632</v>
      </c>
      <c r="U1277" s="30">
        <f t="shared" si="2115"/>
        <v>188.823824</v>
      </c>
      <c r="V1277" s="30">
        <f t="shared" si="2115"/>
        <v>389.31653600000004</v>
      </c>
      <c r="W1277" s="30">
        <f t="shared" si="2115"/>
        <v>500.70137599999998</v>
      </c>
      <c r="X1277" s="30">
        <f t="shared" si="2115"/>
        <v>677.856312</v>
      </c>
      <c r="Y1277" s="30">
        <f t="shared" si="2115"/>
        <v>27.581007999999997</v>
      </c>
      <c r="Z1277" s="30">
        <f t="shared" si="2115"/>
        <v>0</v>
      </c>
      <c r="AA1277" s="30">
        <f t="shared" si="2115"/>
        <v>8.4864639999999998</v>
      </c>
      <c r="AB1277" s="30">
        <f t="shared" si="2115"/>
        <v>0</v>
      </c>
      <c r="AC1277" s="67"/>
    </row>
    <row r="1278" spans="1:29">
      <c r="A1278" s="210" t="s">
        <v>591</v>
      </c>
      <c r="B1278" s="182">
        <f>254594/2</f>
        <v>127297</v>
      </c>
      <c r="C1278" s="211">
        <f>ROUND(B1278/12,2)</f>
        <v>10608.08</v>
      </c>
      <c r="D1278" s="130"/>
      <c r="E1278" s="130"/>
      <c r="F1278" s="174">
        <v>0.22570000000000001</v>
      </c>
      <c r="G1278" s="130"/>
      <c r="H1278" s="174">
        <v>7.2700000000000001E-2</v>
      </c>
      <c r="I1278" s="130"/>
      <c r="J1278" s="130"/>
      <c r="K1278" s="130"/>
      <c r="L1278" s="130"/>
      <c r="M1278" s="130"/>
      <c r="N1278" s="174">
        <v>0.56769999999999998</v>
      </c>
      <c r="O1278" s="130"/>
      <c r="P1278" s="130"/>
      <c r="Q1278" s="130"/>
      <c r="R1278" s="130"/>
      <c r="S1278" s="130"/>
      <c r="T1278" s="130"/>
      <c r="U1278" s="130"/>
      <c r="V1278" s="174">
        <v>0.13389999999999999</v>
      </c>
      <c r="W1278" s="130"/>
      <c r="X1278" s="130"/>
      <c r="Y1278" s="130"/>
      <c r="Z1278" s="131"/>
      <c r="AA1278" s="131"/>
      <c r="AB1278" s="131"/>
      <c r="AC1278" s="67"/>
    </row>
    <row r="1279" spans="1:29">
      <c r="A1279" s="153"/>
      <c r="B1279" s="17"/>
      <c r="C1279" s="242"/>
      <c r="D1279" s="30">
        <f t="shared" ref="D1279" si="2116">$C1278*D1278</f>
        <v>0</v>
      </c>
      <c r="E1279" s="30">
        <f t="shared" ref="E1279" si="2117">$C1278*E1278</f>
        <v>0</v>
      </c>
      <c r="F1279" s="30">
        <f t="shared" ref="F1279:AB1279" si="2118">$C1278*F1278</f>
        <v>2394.2436560000001</v>
      </c>
      <c r="G1279" s="30">
        <f t="shared" si="2118"/>
        <v>0</v>
      </c>
      <c r="H1279" s="30">
        <f t="shared" si="2118"/>
        <v>771.20741599999997</v>
      </c>
      <c r="I1279" s="30">
        <f t="shared" si="2118"/>
        <v>0</v>
      </c>
      <c r="J1279" s="30">
        <f t="shared" si="2118"/>
        <v>0</v>
      </c>
      <c r="K1279" s="30">
        <f t="shared" si="2118"/>
        <v>0</v>
      </c>
      <c r="L1279" s="30">
        <f t="shared" si="2118"/>
        <v>0</v>
      </c>
      <c r="M1279" s="30">
        <f t="shared" si="2118"/>
        <v>0</v>
      </c>
      <c r="N1279" s="30">
        <f t="shared" si="2118"/>
        <v>6022.2070159999994</v>
      </c>
      <c r="O1279" s="30">
        <f t="shared" si="2118"/>
        <v>0</v>
      </c>
      <c r="P1279" s="30">
        <f t="shared" si="2118"/>
        <v>0</v>
      </c>
      <c r="Q1279" s="30">
        <f t="shared" si="2118"/>
        <v>0</v>
      </c>
      <c r="R1279" s="30">
        <f t="shared" si="2118"/>
        <v>0</v>
      </c>
      <c r="S1279" s="30">
        <f t="shared" si="2118"/>
        <v>0</v>
      </c>
      <c r="T1279" s="30">
        <f t="shared" si="2118"/>
        <v>0</v>
      </c>
      <c r="U1279" s="30">
        <f t="shared" si="2118"/>
        <v>0</v>
      </c>
      <c r="V1279" s="30">
        <f t="shared" si="2118"/>
        <v>1420.4219119999998</v>
      </c>
      <c r="W1279" s="30">
        <f t="shared" si="2118"/>
        <v>0</v>
      </c>
      <c r="X1279" s="30">
        <f t="shared" si="2118"/>
        <v>0</v>
      </c>
      <c r="Y1279" s="30">
        <f t="shared" si="2118"/>
        <v>0</v>
      </c>
      <c r="Z1279" s="30">
        <f t="shared" si="2118"/>
        <v>0</v>
      </c>
      <c r="AA1279" s="30">
        <f t="shared" si="2118"/>
        <v>0</v>
      </c>
      <c r="AB1279" s="30">
        <f t="shared" si="2118"/>
        <v>0</v>
      </c>
      <c r="AC1279" s="67"/>
    </row>
    <row r="1280" spans="1:29">
      <c r="A1280" s="129" t="s">
        <v>582</v>
      </c>
      <c r="B1280" s="182">
        <v>1501</v>
      </c>
      <c r="C1280" s="211">
        <f>ROUND(B1280/12,2)</f>
        <v>125.08</v>
      </c>
      <c r="D1280" s="130"/>
      <c r="E1280" s="130"/>
      <c r="F1280" s="130">
        <v>0.37680000000000002</v>
      </c>
      <c r="G1280" s="130"/>
      <c r="H1280" s="130">
        <v>0.1145</v>
      </c>
      <c r="I1280" s="130"/>
      <c r="J1280" s="130"/>
      <c r="K1280" s="130"/>
      <c r="L1280" s="130">
        <v>1.8E-3</v>
      </c>
      <c r="M1280" s="130"/>
      <c r="N1280" s="130">
        <v>0.34460000000000002</v>
      </c>
      <c r="O1280" s="130"/>
      <c r="P1280" s="130"/>
      <c r="Q1280" s="130"/>
      <c r="R1280" s="130">
        <v>2.01E-2</v>
      </c>
      <c r="S1280" s="130"/>
      <c r="T1280" s="130"/>
      <c r="U1280" s="130">
        <v>5.3E-3</v>
      </c>
      <c r="V1280" s="130">
        <v>0.13689999999999999</v>
      </c>
      <c r="W1280" s="130"/>
      <c r="X1280" s="130"/>
      <c r="Y1280" s="130"/>
      <c r="Z1280" s="131"/>
      <c r="AA1280" s="131"/>
      <c r="AB1280" s="131"/>
      <c r="AC1280" s="67"/>
    </row>
    <row r="1281" spans="1:29">
      <c r="A1281" s="90"/>
      <c r="B1281" s="17"/>
      <c r="C1281" s="242"/>
      <c r="D1281" s="30">
        <f t="shared" ref="D1281" si="2119">$C1280*D1280</f>
        <v>0</v>
      </c>
      <c r="E1281" s="30">
        <f t="shared" ref="E1281" si="2120">$C1280*E1280</f>
        <v>0</v>
      </c>
      <c r="F1281" s="30">
        <f t="shared" ref="F1281:AB1281" si="2121">$C1280*F1280</f>
        <v>47.130144000000001</v>
      </c>
      <c r="G1281" s="30">
        <f t="shared" si="2121"/>
        <v>0</v>
      </c>
      <c r="H1281" s="30">
        <f t="shared" si="2121"/>
        <v>14.32166</v>
      </c>
      <c r="I1281" s="30">
        <f t="shared" si="2121"/>
        <v>0</v>
      </c>
      <c r="J1281" s="30">
        <f t="shared" si="2121"/>
        <v>0</v>
      </c>
      <c r="K1281" s="30">
        <f t="shared" si="2121"/>
        <v>0</v>
      </c>
      <c r="L1281" s="30">
        <f t="shared" si="2121"/>
        <v>0.22514399999999998</v>
      </c>
      <c r="M1281" s="30">
        <f t="shared" si="2121"/>
        <v>0</v>
      </c>
      <c r="N1281" s="30">
        <f t="shared" si="2121"/>
        <v>43.102568000000005</v>
      </c>
      <c r="O1281" s="30">
        <f t="shared" si="2121"/>
        <v>0</v>
      </c>
      <c r="P1281" s="30">
        <f t="shared" si="2121"/>
        <v>0</v>
      </c>
      <c r="Q1281" s="30">
        <f t="shared" si="2121"/>
        <v>0</v>
      </c>
      <c r="R1281" s="30">
        <f t="shared" si="2121"/>
        <v>2.5141079999999998</v>
      </c>
      <c r="S1281" s="30">
        <f t="shared" si="2121"/>
        <v>0</v>
      </c>
      <c r="T1281" s="30">
        <f t="shared" si="2121"/>
        <v>0</v>
      </c>
      <c r="U1281" s="30">
        <f t="shared" si="2121"/>
        <v>0.66292399999999996</v>
      </c>
      <c r="V1281" s="30">
        <f t="shared" si="2121"/>
        <v>17.123452</v>
      </c>
      <c r="W1281" s="30">
        <f t="shared" si="2121"/>
        <v>0</v>
      </c>
      <c r="X1281" s="30">
        <f t="shared" si="2121"/>
        <v>0</v>
      </c>
      <c r="Y1281" s="30">
        <f t="shared" si="2121"/>
        <v>0</v>
      </c>
      <c r="Z1281" s="30">
        <f t="shared" si="2121"/>
        <v>0</v>
      </c>
      <c r="AA1281" s="30">
        <f t="shared" si="2121"/>
        <v>0</v>
      </c>
      <c r="AB1281" s="30">
        <f t="shared" si="2121"/>
        <v>0</v>
      </c>
      <c r="AC1281" s="67"/>
    </row>
    <row r="1282" spans="1:29">
      <c r="A1282" s="129" t="s">
        <v>583</v>
      </c>
      <c r="B1282" s="182">
        <v>55660</v>
      </c>
      <c r="C1282" s="211">
        <f>ROUND(B1282/12,2)</f>
        <v>4638.33</v>
      </c>
      <c r="D1282" s="130"/>
      <c r="E1282" s="130"/>
      <c r="F1282" s="130">
        <v>0.9698</v>
      </c>
      <c r="G1282" s="130"/>
      <c r="H1282" s="130"/>
      <c r="I1282" s="130"/>
      <c r="J1282" s="130"/>
      <c r="K1282" s="130"/>
      <c r="L1282" s="130">
        <v>3.0200000000000001E-2</v>
      </c>
      <c r="M1282" s="130"/>
      <c r="N1282" s="130"/>
      <c r="O1282" s="130"/>
      <c r="P1282" s="130"/>
      <c r="Q1282" s="130"/>
      <c r="R1282" s="130"/>
      <c r="S1282" s="130"/>
      <c r="T1282" s="130"/>
      <c r="U1282" s="130"/>
      <c r="V1282" s="130"/>
      <c r="W1282" s="130"/>
      <c r="X1282" s="130"/>
      <c r="Y1282" s="130"/>
      <c r="Z1282" s="131"/>
      <c r="AA1282" s="131"/>
      <c r="AB1282" s="131"/>
      <c r="AC1282" s="67"/>
    </row>
    <row r="1283" spans="1:29">
      <c r="A1283" s="90"/>
      <c r="B1283" s="17"/>
      <c r="C1283" s="242"/>
      <c r="D1283" s="30">
        <f t="shared" ref="D1283" si="2122">$C1282*D1282</f>
        <v>0</v>
      </c>
      <c r="E1283" s="30">
        <f t="shared" ref="E1283" si="2123">$C1282*E1282</f>
        <v>0</v>
      </c>
      <c r="F1283" s="30">
        <f t="shared" ref="F1283:AB1283" si="2124">$C1282*F1282</f>
        <v>4498.252434</v>
      </c>
      <c r="G1283" s="30">
        <f t="shared" si="2124"/>
        <v>0</v>
      </c>
      <c r="H1283" s="30">
        <f t="shared" si="2124"/>
        <v>0</v>
      </c>
      <c r="I1283" s="30">
        <f t="shared" si="2124"/>
        <v>0</v>
      </c>
      <c r="J1283" s="30">
        <f t="shared" si="2124"/>
        <v>0</v>
      </c>
      <c r="K1283" s="30">
        <f t="shared" si="2124"/>
        <v>0</v>
      </c>
      <c r="L1283" s="30">
        <f t="shared" si="2124"/>
        <v>140.07756599999999</v>
      </c>
      <c r="M1283" s="30">
        <f t="shared" si="2124"/>
        <v>0</v>
      </c>
      <c r="N1283" s="30">
        <f t="shared" si="2124"/>
        <v>0</v>
      </c>
      <c r="O1283" s="30">
        <f t="shared" si="2124"/>
        <v>0</v>
      </c>
      <c r="P1283" s="30">
        <f t="shared" si="2124"/>
        <v>0</v>
      </c>
      <c r="Q1283" s="30">
        <f t="shared" si="2124"/>
        <v>0</v>
      </c>
      <c r="R1283" s="30">
        <f t="shared" si="2124"/>
        <v>0</v>
      </c>
      <c r="S1283" s="30">
        <f t="shared" si="2124"/>
        <v>0</v>
      </c>
      <c r="T1283" s="30">
        <f t="shared" si="2124"/>
        <v>0</v>
      </c>
      <c r="U1283" s="30">
        <f t="shared" si="2124"/>
        <v>0</v>
      </c>
      <c r="V1283" s="30">
        <f t="shared" si="2124"/>
        <v>0</v>
      </c>
      <c r="W1283" s="30">
        <f t="shared" si="2124"/>
        <v>0</v>
      </c>
      <c r="X1283" s="30">
        <f t="shared" si="2124"/>
        <v>0</v>
      </c>
      <c r="Y1283" s="30">
        <f t="shared" si="2124"/>
        <v>0</v>
      </c>
      <c r="Z1283" s="30">
        <f t="shared" si="2124"/>
        <v>0</v>
      </c>
      <c r="AA1283" s="30">
        <f t="shared" si="2124"/>
        <v>0</v>
      </c>
      <c r="AB1283" s="30">
        <f t="shared" si="2124"/>
        <v>0</v>
      </c>
      <c r="AC1283" s="67"/>
    </row>
    <row r="1284" spans="1:29">
      <c r="A1284" s="129" t="s">
        <v>584</v>
      </c>
      <c r="B1284" s="182">
        <v>75212</v>
      </c>
      <c r="C1284" s="211">
        <f>ROUND(B1284/12,2)</f>
        <v>6267.67</v>
      </c>
      <c r="D1284" s="130"/>
      <c r="E1284" s="130"/>
      <c r="F1284" s="130">
        <v>0.9698</v>
      </c>
      <c r="G1284" s="130"/>
      <c r="H1284" s="130"/>
      <c r="I1284" s="130"/>
      <c r="J1284" s="130"/>
      <c r="K1284" s="130"/>
      <c r="L1284" s="130">
        <v>3.0200000000000001E-2</v>
      </c>
      <c r="M1284" s="130"/>
      <c r="N1284" s="130"/>
      <c r="O1284" s="130"/>
      <c r="P1284" s="130"/>
      <c r="Q1284" s="130"/>
      <c r="R1284" s="130"/>
      <c r="S1284" s="130"/>
      <c r="T1284" s="130"/>
      <c r="U1284" s="130"/>
      <c r="V1284" s="130"/>
      <c r="W1284" s="130"/>
      <c r="X1284" s="130"/>
      <c r="Y1284" s="130"/>
      <c r="Z1284" s="131"/>
      <c r="AA1284" s="131"/>
      <c r="AB1284" s="131"/>
      <c r="AC1284" s="67"/>
    </row>
    <row r="1285" spans="1:29">
      <c r="A1285" s="90"/>
      <c r="B1285" s="17"/>
      <c r="C1285" s="242"/>
      <c r="D1285" s="30">
        <f t="shared" ref="D1285" si="2125">$C1284*D1284</f>
        <v>0</v>
      </c>
      <c r="E1285" s="30">
        <f t="shared" ref="E1285" si="2126">$C1284*E1284</f>
        <v>0</v>
      </c>
      <c r="F1285" s="30">
        <f t="shared" ref="F1285:AB1285" si="2127">$C1284*F1284</f>
        <v>6078.3863659999997</v>
      </c>
      <c r="G1285" s="30">
        <f t="shared" si="2127"/>
        <v>0</v>
      </c>
      <c r="H1285" s="30">
        <f t="shared" si="2127"/>
        <v>0</v>
      </c>
      <c r="I1285" s="30">
        <f t="shared" si="2127"/>
        <v>0</v>
      </c>
      <c r="J1285" s="30">
        <f t="shared" si="2127"/>
        <v>0</v>
      </c>
      <c r="K1285" s="30">
        <f t="shared" si="2127"/>
        <v>0</v>
      </c>
      <c r="L1285" s="30">
        <f t="shared" si="2127"/>
        <v>189.28363400000001</v>
      </c>
      <c r="M1285" s="30">
        <f t="shared" si="2127"/>
        <v>0</v>
      </c>
      <c r="N1285" s="30">
        <f t="shared" si="2127"/>
        <v>0</v>
      </c>
      <c r="O1285" s="30">
        <f t="shared" si="2127"/>
        <v>0</v>
      </c>
      <c r="P1285" s="30">
        <f t="shared" si="2127"/>
        <v>0</v>
      </c>
      <c r="Q1285" s="30">
        <f t="shared" si="2127"/>
        <v>0</v>
      </c>
      <c r="R1285" s="30">
        <f t="shared" si="2127"/>
        <v>0</v>
      </c>
      <c r="S1285" s="30">
        <f t="shared" si="2127"/>
        <v>0</v>
      </c>
      <c r="T1285" s="30">
        <f t="shared" si="2127"/>
        <v>0</v>
      </c>
      <c r="U1285" s="30">
        <f t="shared" si="2127"/>
        <v>0</v>
      </c>
      <c r="V1285" s="30">
        <f t="shared" si="2127"/>
        <v>0</v>
      </c>
      <c r="W1285" s="30">
        <f t="shared" si="2127"/>
        <v>0</v>
      </c>
      <c r="X1285" s="30">
        <f t="shared" si="2127"/>
        <v>0</v>
      </c>
      <c r="Y1285" s="30">
        <f t="shared" si="2127"/>
        <v>0</v>
      </c>
      <c r="Z1285" s="30">
        <f t="shared" si="2127"/>
        <v>0</v>
      </c>
      <c r="AA1285" s="30">
        <f t="shared" si="2127"/>
        <v>0</v>
      </c>
      <c r="AB1285" s="30">
        <f t="shared" si="2127"/>
        <v>0</v>
      </c>
      <c r="AC1285" s="67"/>
    </row>
    <row r="1286" spans="1:29">
      <c r="A1286" s="129" t="s">
        <v>585</v>
      </c>
      <c r="B1286" s="182">
        <v>14022374</v>
      </c>
      <c r="C1286" s="211">
        <f>ROUND(B1286/12,2)</f>
        <v>1168531.17</v>
      </c>
      <c r="D1286" s="130"/>
      <c r="E1286" s="130"/>
      <c r="F1286" s="174">
        <v>0.6321</v>
      </c>
      <c r="G1286" s="130"/>
      <c r="H1286" s="130"/>
      <c r="I1286" s="130"/>
      <c r="J1286" s="130"/>
      <c r="K1286" s="130"/>
      <c r="L1286" s="174">
        <v>0.3679</v>
      </c>
      <c r="M1286" s="130"/>
      <c r="N1286" s="130"/>
      <c r="O1286" s="130"/>
      <c r="P1286" s="130"/>
      <c r="Q1286" s="130"/>
      <c r="R1286" s="130"/>
      <c r="S1286" s="130"/>
      <c r="T1286" s="130"/>
      <c r="U1286" s="130"/>
      <c r="V1286" s="130"/>
      <c r="W1286" s="130"/>
      <c r="X1286" s="130"/>
      <c r="Y1286" s="130"/>
      <c r="Z1286" s="131"/>
      <c r="AA1286" s="131"/>
      <c r="AB1286" s="131"/>
      <c r="AC1286" s="67"/>
    </row>
    <row r="1287" spans="1:29">
      <c r="A1287" s="90"/>
      <c r="B1287" s="17"/>
      <c r="C1287" s="242"/>
      <c r="D1287" s="30">
        <f t="shared" ref="D1287" si="2128">$C1286*D1286</f>
        <v>0</v>
      </c>
      <c r="E1287" s="30">
        <f t="shared" ref="E1287" si="2129">$C1286*E1286</f>
        <v>0</v>
      </c>
      <c r="F1287" s="30">
        <f t="shared" ref="F1287:AB1287" si="2130">$C1286*F1286</f>
        <v>738628.55255699996</v>
      </c>
      <c r="G1287" s="30">
        <f t="shared" si="2130"/>
        <v>0</v>
      </c>
      <c r="H1287" s="30">
        <f t="shared" si="2130"/>
        <v>0</v>
      </c>
      <c r="I1287" s="30">
        <f t="shared" si="2130"/>
        <v>0</v>
      </c>
      <c r="J1287" s="30">
        <f t="shared" si="2130"/>
        <v>0</v>
      </c>
      <c r="K1287" s="30">
        <f t="shared" si="2130"/>
        <v>0</v>
      </c>
      <c r="L1287" s="30">
        <f t="shared" si="2130"/>
        <v>429902.61744299997</v>
      </c>
      <c r="M1287" s="30">
        <f t="shared" si="2130"/>
        <v>0</v>
      </c>
      <c r="N1287" s="30">
        <f t="shared" si="2130"/>
        <v>0</v>
      </c>
      <c r="O1287" s="30">
        <f t="shared" si="2130"/>
        <v>0</v>
      </c>
      <c r="P1287" s="30">
        <f t="shared" si="2130"/>
        <v>0</v>
      </c>
      <c r="Q1287" s="30">
        <f t="shared" si="2130"/>
        <v>0</v>
      </c>
      <c r="R1287" s="30">
        <f t="shared" si="2130"/>
        <v>0</v>
      </c>
      <c r="S1287" s="30">
        <f t="shared" si="2130"/>
        <v>0</v>
      </c>
      <c r="T1287" s="30">
        <f t="shared" si="2130"/>
        <v>0</v>
      </c>
      <c r="U1287" s="30">
        <f t="shared" si="2130"/>
        <v>0</v>
      </c>
      <c r="V1287" s="30">
        <f t="shared" si="2130"/>
        <v>0</v>
      </c>
      <c r="W1287" s="30">
        <f t="shared" si="2130"/>
        <v>0</v>
      </c>
      <c r="X1287" s="30">
        <f t="shared" si="2130"/>
        <v>0</v>
      </c>
      <c r="Y1287" s="30">
        <f t="shared" si="2130"/>
        <v>0</v>
      </c>
      <c r="Z1287" s="30">
        <f t="shared" si="2130"/>
        <v>0</v>
      </c>
      <c r="AA1287" s="30">
        <f t="shared" si="2130"/>
        <v>0</v>
      </c>
      <c r="AB1287" s="30">
        <f t="shared" si="2130"/>
        <v>0</v>
      </c>
      <c r="AC1287" s="67"/>
    </row>
    <row r="1288" spans="1:29">
      <c r="A1288" s="129" t="s">
        <v>586</v>
      </c>
      <c r="B1288" s="182">
        <v>105656</v>
      </c>
      <c r="C1288" s="211">
        <f>ROUND(B1288/12,2)</f>
        <v>8804.67</v>
      </c>
      <c r="D1288" s="130"/>
      <c r="E1288" s="130"/>
      <c r="F1288" s="174">
        <v>0.22819999999999999</v>
      </c>
      <c r="G1288" s="130"/>
      <c r="H1288" s="130"/>
      <c r="I1288" s="130"/>
      <c r="J1288" s="130"/>
      <c r="K1288" s="130"/>
      <c r="L1288" s="174">
        <v>0.77180000000000004</v>
      </c>
      <c r="M1288" s="130"/>
      <c r="N1288" s="130"/>
      <c r="O1288" s="130"/>
      <c r="P1288" s="130"/>
      <c r="Q1288" s="130"/>
      <c r="R1288" s="130"/>
      <c r="S1288" s="130"/>
      <c r="T1288" s="130"/>
      <c r="U1288" s="130"/>
      <c r="V1288" s="130"/>
      <c r="W1288" s="130"/>
      <c r="X1288" s="130"/>
      <c r="Y1288" s="130"/>
      <c r="Z1288" s="131"/>
      <c r="AA1288" s="131"/>
      <c r="AB1288" s="131"/>
      <c r="AC1288" s="67"/>
    </row>
    <row r="1289" spans="1:29">
      <c r="A1289" s="90"/>
      <c r="B1289" s="17"/>
      <c r="C1289" s="242"/>
      <c r="D1289" s="30">
        <f t="shared" ref="D1289" si="2131">$C1288*D1288</f>
        <v>0</v>
      </c>
      <c r="E1289" s="30">
        <f t="shared" ref="E1289" si="2132">$C1288*E1288</f>
        <v>0</v>
      </c>
      <c r="F1289" s="30">
        <f t="shared" ref="F1289:AB1289" si="2133">$C1288*F1288</f>
        <v>2009.225694</v>
      </c>
      <c r="G1289" s="30">
        <f t="shared" si="2133"/>
        <v>0</v>
      </c>
      <c r="H1289" s="30">
        <f t="shared" si="2133"/>
        <v>0</v>
      </c>
      <c r="I1289" s="30">
        <f t="shared" si="2133"/>
        <v>0</v>
      </c>
      <c r="J1289" s="30">
        <f t="shared" si="2133"/>
        <v>0</v>
      </c>
      <c r="K1289" s="30">
        <f t="shared" si="2133"/>
        <v>0</v>
      </c>
      <c r="L1289" s="30">
        <f t="shared" si="2133"/>
        <v>6795.4443060000003</v>
      </c>
      <c r="M1289" s="30">
        <f t="shared" si="2133"/>
        <v>0</v>
      </c>
      <c r="N1289" s="30">
        <f t="shared" si="2133"/>
        <v>0</v>
      </c>
      <c r="O1289" s="30">
        <f t="shared" si="2133"/>
        <v>0</v>
      </c>
      <c r="P1289" s="30">
        <f t="shared" si="2133"/>
        <v>0</v>
      </c>
      <c r="Q1289" s="30">
        <f t="shared" si="2133"/>
        <v>0</v>
      </c>
      <c r="R1289" s="30">
        <f t="shared" si="2133"/>
        <v>0</v>
      </c>
      <c r="S1289" s="30">
        <f t="shared" si="2133"/>
        <v>0</v>
      </c>
      <c r="T1289" s="30">
        <f t="shared" si="2133"/>
        <v>0</v>
      </c>
      <c r="U1289" s="30">
        <f t="shared" si="2133"/>
        <v>0</v>
      </c>
      <c r="V1289" s="30">
        <f t="shared" si="2133"/>
        <v>0</v>
      </c>
      <c r="W1289" s="30">
        <f t="shared" si="2133"/>
        <v>0</v>
      </c>
      <c r="X1289" s="30">
        <f t="shared" si="2133"/>
        <v>0</v>
      </c>
      <c r="Y1289" s="30">
        <f t="shared" si="2133"/>
        <v>0</v>
      </c>
      <c r="Z1289" s="30">
        <f t="shared" si="2133"/>
        <v>0</v>
      </c>
      <c r="AA1289" s="30">
        <f t="shared" si="2133"/>
        <v>0</v>
      </c>
      <c r="AB1289" s="30">
        <f t="shared" si="2133"/>
        <v>0</v>
      </c>
      <c r="AC1289" s="67"/>
    </row>
    <row r="1290" spans="1:29">
      <c r="A1290" s="129" t="s">
        <v>587</v>
      </c>
      <c r="B1290" s="182">
        <v>115520</v>
      </c>
      <c r="C1290" s="211">
        <f>ROUND(B1290/12,2)</f>
        <v>9626.67</v>
      </c>
      <c r="D1290" s="130"/>
      <c r="E1290" s="130"/>
      <c r="F1290" s="174">
        <v>0.22819999999999999</v>
      </c>
      <c r="G1290" s="130"/>
      <c r="H1290" s="130"/>
      <c r="I1290" s="130"/>
      <c r="J1290" s="130"/>
      <c r="K1290" s="130"/>
      <c r="L1290" s="174">
        <v>0.77180000000000004</v>
      </c>
      <c r="M1290" s="130"/>
      <c r="N1290" s="130"/>
      <c r="O1290" s="130"/>
      <c r="P1290" s="130"/>
      <c r="Q1290" s="130"/>
      <c r="R1290" s="130"/>
      <c r="S1290" s="130"/>
      <c r="T1290" s="130"/>
      <c r="U1290" s="130"/>
      <c r="V1290" s="130"/>
      <c r="W1290" s="130"/>
      <c r="X1290" s="130"/>
      <c r="Y1290" s="130"/>
      <c r="Z1290" s="131"/>
      <c r="AA1290" s="131"/>
      <c r="AB1290" s="131"/>
      <c r="AC1290" s="67"/>
    </row>
    <row r="1291" spans="1:29">
      <c r="A1291" s="90"/>
      <c r="B1291" s="17"/>
      <c r="C1291" s="242"/>
      <c r="D1291" s="30">
        <f t="shared" ref="D1291" si="2134">$C1290*D1290</f>
        <v>0</v>
      </c>
      <c r="E1291" s="30">
        <f t="shared" ref="E1291" si="2135">$C1290*E1290</f>
        <v>0</v>
      </c>
      <c r="F1291" s="30">
        <f t="shared" ref="F1291:AB1291" si="2136">$C1290*F1290</f>
        <v>2196.806094</v>
      </c>
      <c r="G1291" s="30">
        <f t="shared" si="2136"/>
        <v>0</v>
      </c>
      <c r="H1291" s="30">
        <f t="shared" si="2136"/>
        <v>0</v>
      </c>
      <c r="I1291" s="30">
        <f t="shared" si="2136"/>
        <v>0</v>
      </c>
      <c r="J1291" s="30">
        <f t="shared" si="2136"/>
        <v>0</v>
      </c>
      <c r="K1291" s="30">
        <f t="shared" si="2136"/>
        <v>0</v>
      </c>
      <c r="L1291" s="30">
        <f t="shared" si="2136"/>
        <v>7429.8639060000005</v>
      </c>
      <c r="M1291" s="30">
        <f t="shared" si="2136"/>
        <v>0</v>
      </c>
      <c r="N1291" s="30">
        <f t="shared" si="2136"/>
        <v>0</v>
      </c>
      <c r="O1291" s="30">
        <f t="shared" si="2136"/>
        <v>0</v>
      </c>
      <c r="P1291" s="30">
        <f t="shared" si="2136"/>
        <v>0</v>
      </c>
      <c r="Q1291" s="30">
        <f t="shared" si="2136"/>
        <v>0</v>
      </c>
      <c r="R1291" s="30">
        <f t="shared" si="2136"/>
        <v>0</v>
      </c>
      <c r="S1291" s="30">
        <f t="shared" si="2136"/>
        <v>0</v>
      </c>
      <c r="T1291" s="30">
        <f t="shared" si="2136"/>
        <v>0</v>
      </c>
      <c r="U1291" s="30">
        <f t="shared" si="2136"/>
        <v>0</v>
      </c>
      <c r="V1291" s="30">
        <f t="shared" si="2136"/>
        <v>0</v>
      </c>
      <c r="W1291" s="30">
        <f t="shared" si="2136"/>
        <v>0</v>
      </c>
      <c r="X1291" s="30">
        <f t="shared" si="2136"/>
        <v>0</v>
      </c>
      <c r="Y1291" s="30">
        <f t="shared" si="2136"/>
        <v>0</v>
      </c>
      <c r="Z1291" s="30">
        <f t="shared" si="2136"/>
        <v>0</v>
      </c>
      <c r="AA1291" s="30">
        <f t="shared" si="2136"/>
        <v>0</v>
      </c>
      <c r="AB1291" s="30">
        <f t="shared" si="2136"/>
        <v>0</v>
      </c>
      <c r="AC1291" s="67"/>
    </row>
    <row r="1292" spans="1:29">
      <c r="A1292" s="129" t="s">
        <v>608</v>
      </c>
      <c r="B1292" s="182">
        <v>0</v>
      </c>
      <c r="C1292" s="211">
        <f>ROUND(B1292/12,2)</f>
        <v>0</v>
      </c>
      <c r="D1292" s="130"/>
      <c r="E1292" s="130">
        <v>6.4600000000000005E-2</v>
      </c>
      <c r="F1292" s="130">
        <v>8.7400000000000005E-2</v>
      </c>
      <c r="G1292" s="130"/>
      <c r="H1292" s="130">
        <v>0.19739999999999999</v>
      </c>
      <c r="I1292" s="130">
        <v>2.1600000000000001E-2</v>
      </c>
      <c r="J1292" s="130">
        <v>5.8999999999999999E-3</v>
      </c>
      <c r="K1292" s="130">
        <v>1.0200000000000001E-2</v>
      </c>
      <c r="L1292" s="130">
        <v>1E-4</v>
      </c>
      <c r="M1292" s="130"/>
      <c r="N1292" s="130">
        <v>0.39950000000000002</v>
      </c>
      <c r="O1292" s="130">
        <v>4.4999999999999997E-3</v>
      </c>
      <c r="P1292" s="130"/>
      <c r="Q1292" s="130"/>
      <c r="R1292" s="130"/>
      <c r="S1292" s="130"/>
      <c r="T1292" s="130"/>
      <c r="U1292" s="130"/>
      <c r="V1292" s="130">
        <v>0.20880000000000001</v>
      </c>
      <c r="W1292" s="130"/>
      <c r="X1292" s="130"/>
      <c r="Y1292" s="130"/>
      <c r="Z1292" s="131"/>
      <c r="AA1292" s="131"/>
      <c r="AB1292" s="131"/>
      <c r="AC1292" s="67"/>
    </row>
    <row r="1293" spans="1:29">
      <c r="A1293" s="90"/>
      <c r="B1293" s="17"/>
      <c r="C1293" s="242"/>
      <c r="D1293" s="30">
        <f t="shared" ref="D1293" si="2137">$C1292*D1292</f>
        <v>0</v>
      </c>
      <c r="E1293" s="30">
        <f t="shared" ref="E1293:AB1293" si="2138">$C1292*E1292</f>
        <v>0</v>
      </c>
      <c r="F1293" s="30">
        <f t="shared" si="2138"/>
        <v>0</v>
      </c>
      <c r="G1293" s="30">
        <f t="shared" si="2138"/>
        <v>0</v>
      </c>
      <c r="H1293" s="30">
        <f t="shared" si="2138"/>
        <v>0</v>
      </c>
      <c r="I1293" s="30">
        <f t="shared" si="2138"/>
        <v>0</v>
      </c>
      <c r="J1293" s="30">
        <f t="shared" si="2138"/>
        <v>0</v>
      </c>
      <c r="K1293" s="30">
        <f t="shared" si="2138"/>
        <v>0</v>
      </c>
      <c r="L1293" s="30">
        <f t="shared" si="2138"/>
        <v>0</v>
      </c>
      <c r="M1293" s="30">
        <f t="shared" si="2138"/>
        <v>0</v>
      </c>
      <c r="N1293" s="30">
        <f t="shared" si="2138"/>
        <v>0</v>
      </c>
      <c r="O1293" s="30">
        <f t="shared" si="2138"/>
        <v>0</v>
      </c>
      <c r="P1293" s="30">
        <f t="shared" si="2138"/>
        <v>0</v>
      </c>
      <c r="Q1293" s="30">
        <f t="shared" si="2138"/>
        <v>0</v>
      </c>
      <c r="R1293" s="30">
        <f t="shared" si="2138"/>
        <v>0</v>
      </c>
      <c r="S1293" s="30">
        <f t="shared" si="2138"/>
        <v>0</v>
      </c>
      <c r="T1293" s="30">
        <f t="shared" si="2138"/>
        <v>0</v>
      </c>
      <c r="U1293" s="30">
        <f t="shared" si="2138"/>
        <v>0</v>
      </c>
      <c r="V1293" s="30">
        <f t="shared" si="2138"/>
        <v>0</v>
      </c>
      <c r="W1293" s="30">
        <f t="shared" si="2138"/>
        <v>0</v>
      </c>
      <c r="X1293" s="30">
        <f t="shared" si="2138"/>
        <v>0</v>
      </c>
      <c r="Y1293" s="30">
        <f t="shared" si="2138"/>
        <v>0</v>
      </c>
      <c r="Z1293" s="30">
        <f t="shared" si="2138"/>
        <v>0</v>
      </c>
      <c r="AA1293" s="30">
        <f t="shared" si="2138"/>
        <v>0</v>
      </c>
      <c r="AB1293" s="30">
        <f t="shared" si="2138"/>
        <v>0</v>
      </c>
      <c r="AC1293" s="67"/>
    </row>
    <row r="1294" spans="1:29">
      <c r="A1294" s="129" t="s">
        <v>609</v>
      </c>
      <c r="B1294" s="182">
        <v>0</v>
      </c>
      <c r="C1294" s="211">
        <f>ROUND(B1294/12,2)</f>
        <v>0</v>
      </c>
      <c r="D1294" s="130"/>
      <c r="E1294" s="130">
        <v>6.4600000000000005E-2</v>
      </c>
      <c r="F1294" s="130">
        <v>8.7400000000000005E-2</v>
      </c>
      <c r="G1294" s="130"/>
      <c r="H1294" s="130">
        <v>0.19739999999999999</v>
      </c>
      <c r="I1294" s="130">
        <v>2.1600000000000001E-2</v>
      </c>
      <c r="J1294" s="130">
        <v>5.8999999999999999E-3</v>
      </c>
      <c r="K1294" s="130">
        <v>1.0200000000000001E-2</v>
      </c>
      <c r="L1294" s="130">
        <v>1E-4</v>
      </c>
      <c r="M1294" s="130"/>
      <c r="N1294" s="130">
        <v>0.39950000000000002</v>
      </c>
      <c r="O1294" s="130">
        <v>4.4999999999999997E-3</v>
      </c>
      <c r="P1294" s="130"/>
      <c r="Q1294" s="130"/>
      <c r="R1294" s="130"/>
      <c r="S1294" s="130"/>
      <c r="T1294" s="130"/>
      <c r="U1294" s="130"/>
      <c r="V1294" s="130">
        <v>0.20880000000000001</v>
      </c>
      <c r="W1294" s="130"/>
      <c r="X1294" s="130"/>
      <c r="Y1294" s="130"/>
      <c r="Z1294" s="131"/>
      <c r="AA1294" s="131"/>
      <c r="AB1294" s="131"/>
      <c r="AC1294" s="67"/>
    </row>
    <row r="1295" spans="1:29">
      <c r="A1295" s="90"/>
      <c r="B1295" s="17"/>
      <c r="C1295" s="242"/>
      <c r="D1295" s="30">
        <f t="shared" ref="D1295" si="2139">$C1294*D1294</f>
        <v>0</v>
      </c>
      <c r="E1295" s="30">
        <f t="shared" ref="E1295:AB1295" si="2140">$C1294*E1294</f>
        <v>0</v>
      </c>
      <c r="F1295" s="30">
        <f t="shared" si="2140"/>
        <v>0</v>
      </c>
      <c r="G1295" s="30">
        <f t="shared" si="2140"/>
        <v>0</v>
      </c>
      <c r="H1295" s="30">
        <f t="shared" si="2140"/>
        <v>0</v>
      </c>
      <c r="I1295" s="30">
        <f t="shared" si="2140"/>
        <v>0</v>
      </c>
      <c r="J1295" s="30">
        <f t="shared" si="2140"/>
        <v>0</v>
      </c>
      <c r="K1295" s="30">
        <f t="shared" si="2140"/>
        <v>0</v>
      </c>
      <c r="L1295" s="30">
        <f t="shared" si="2140"/>
        <v>0</v>
      </c>
      <c r="M1295" s="30">
        <f t="shared" si="2140"/>
        <v>0</v>
      </c>
      <c r="N1295" s="30">
        <f t="shared" si="2140"/>
        <v>0</v>
      </c>
      <c r="O1295" s="30">
        <f t="shared" si="2140"/>
        <v>0</v>
      </c>
      <c r="P1295" s="30">
        <f t="shared" si="2140"/>
        <v>0</v>
      </c>
      <c r="Q1295" s="30">
        <f t="shared" si="2140"/>
        <v>0</v>
      </c>
      <c r="R1295" s="30">
        <f t="shared" si="2140"/>
        <v>0</v>
      </c>
      <c r="S1295" s="30">
        <f t="shared" si="2140"/>
        <v>0</v>
      </c>
      <c r="T1295" s="30">
        <f t="shared" si="2140"/>
        <v>0</v>
      </c>
      <c r="U1295" s="30">
        <f t="shared" si="2140"/>
        <v>0</v>
      </c>
      <c r="V1295" s="30">
        <f t="shared" si="2140"/>
        <v>0</v>
      </c>
      <c r="W1295" s="30">
        <f t="shared" si="2140"/>
        <v>0</v>
      </c>
      <c r="X1295" s="30">
        <f t="shared" si="2140"/>
        <v>0</v>
      </c>
      <c r="Y1295" s="30">
        <f t="shared" si="2140"/>
        <v>0</v>
      </c>
      <c r="Z1295" s="30">
        <f t="shared" si="2140"/>
        <v>0</v>
      </c>
      <c r="AA1295" s="30">
        <f t="shared" si="2140"/>
        <v>0</v>
      </c>
      <c r="AB1295" s="30">
        <f t="shared" si="2140"/>
        <v>0</v>
      </c>
      <c r="AC1295" s="67"/>
    </row>
    <row r="1296" spans="1:29">
      <c r="A1296" s="129" t="s">
        <v>610</v>
      </c>
      <c r="B1296" s="182">
        <v>2580198</v>
      </c>
      <c r="C1296" s="211">
        <f>ROUND(B1296/12,2)</f>
        <v>215016.5</v>
      </c>
      <c r="D1296" s="130"/>
      <c r="E1296" s="130"/>
      <c r="F1296" s="174">
        <v>0.3715</v>
      </c>
      <c r="G1296" s="130"/>
      <c r="H1296" s="130"/>
      <c r="I1296" s="130"/>
      <c r="J1296" s="130"/>
      <c r="K1296" s="130"/>
      <c r="L1296" s="174">
        <v>0.62849999999999995</v>
      </c>
      <c r="M1296" s="130"/>
      <c r="N1296" s="130"/>
      <c r="O1296" s="130"/>
      <c r="P1296" s="130"/>
      <c r="Q1296" s="130"/>
      <c r="R1296" s="130"/>
      <c r="S1296" s="130"/>
      <c r="T1296" s="130"/>
      <c r="U1296" s="130"/>
      <c r="V1296" s="130"/>
      <c r="W1296" s="130"/>
      <c r="X1296" s="130"/>
      <c r="Y1296" s="130"/>
      <c r="Z1296" s="131"/>
      <c r="AA1296" s="131"/>
      <c r="AB1296" s="131"/>
      <c r="AC1296" s="67"/>
    </row>
    <row r="1297" spans="1:29">
      <c r="A1297" s="90"/>
      <c r="B1297" s="17"/>
      <c r="C1297" s="261"/>
      <c r="D1297" s="30">
        <f t="shared" ref="D1297" si="2141">$C1296*D1296</f>
        <v>0</v>
      </c>
      <c r="E1297" s="30">
        <f t="shared" ref="E1297:AB1297" si="2142">$C1296*E1296</f>
        <v>0</v>
      </c>
      <c r="F1297" s="30">
        <f t="shared" si="2142"/>
        <v>79878.629749999993</v>
      </c>
      <c r="G1297" s="30">
        <f t="shared" si="2142"/>
        <v>0</v>
      </c>
      <c r="H1297" s="30">
        <f t="shared" si="2142"/>
        <v>0</v>
      </c>
      <c r="I1297" s="30">
        <f t="shared" si="2142"/>
        <v>0</v>
      </c>
      <c r="J1297" s="30">
        <f t="shared" si="2142"/>
        <v>0</v>
      </c>
      <c r="K1297" s="30">
        <f t="shared" si="2142"/>
        <v>0</v>
      </c>
      <c r="L1297" s="30">
        <f t="shared" si="2142"/>
        <v>135137.87024999998</v>
      </c>
      <c r="M1297" s="30">
        <f t="shared" si="2142"/>
        <v>0</v>
      </c>
      <c r="N1297" s="30">
        <f t="shared" si="2142"/>
        <v>0</v>
      </c>
      <c r="O1297" s="30">
        <f t="shared" si="2142"/>
        <v>0</v>
      </c>
      <c r="P1297" s="30">
        <f t="shared" si="2142"/>
        <v>0</v>
      </c>
      <c r="Q1297" s="30">
        <f t="shared" si="2142"/>
        <v>0</v>
      </c>
      <c r="R1297" s="30">
        <f t="shared" si="2142"/>
        <v>0</v>
      </c>
      <c r="S1297" s="30">
        <f t="shared" si="2142"/>
        <v>0</v>
      </c>
      <c r="T1297" s="30">
        <f t="shared" si="2142"/>
        <v>0</v>
      </c>
      <c r="U1297" s="30">
        <f t="shared" si="2142"/>
        <v>0</v>
      </c>
      <c r="V1297" s="30">
        <f t="shared" si="2142"/>
        <v>0</v>
      </c>
      <c r="W1297" s="30">
        <f t="shared" si="2142"/>
        <v>0</v>
      </c>
      <c r="X1297" s="30">
        <f t="shared" si="2142"/>
        <v>0</v>
      </c>
      <c r="Y1297" s="30">
        <f t="shared" si="2142"/>
        <v>0</v>
      </c>
      <c r="Z1297" s="30">
        <f t="shared" si="2142"/>
        <v>0</v>
      </c>
      <c r="AA1297" s="30">
        <f t="shared" si="2142"/>
        <v>0</v>
      </c>
      <c r="AB1297" s="30">
        <f t="shared" si="2142"/>
        <v>0</v>
      </c>
      <c r="AC1297" s="67"/>
    </row>
    <row r="1298" spans="1:29">
      <c r="A1298" s="50" t="s">
        <v>50</v>
      </c>
      <c r="B1298" s="33">
        <f>SUM(B1256:B1296)</f>
        <v>20418289</v>
      </c>
      <c r="C1298" s="126">
        <f>SUM(C1256:C1296)</f>
        <v>1701524.1099999999</v>
      </c>
      <c r="D1298" s="126">
        <f>D1257+D1259+D1261+D1263+D1265+D1267+D1269+D1271+D1273+D1275+D1277+D1279+D1281+D1283+D1285+D1287+D1289+D1291+D1293+D1295+D1297</f>
        <v>2009.8673990000002</v>
      </c>
      <c r="E1298" s="126">
        <f>E1257+E1259+E1261+E1263+E1265+E1267+E1269+E1271+E1273+E1275+E1277+E1279+E1281+E1283+E1285+E1287+E1289+E1291+E1293+E1295+E1297</f>
        <v>39974.113277999997</v>
      </c>
      <c r="F1298" s="126">
        <f>F1257+F1259+F1261+F1263+F1265+F1267+F1269+F1271+F1273+F1275+F1277+F1279+F1281+F1283+F1285+F1287+F1289+F1291+F1293+F1295+F1297</f>
        <v>876002.38335099991</v>
      </c>
      <c r="G1298" s="126">
        <f t="shared" ref="G1298" si="2143">G1257+G1259+G1261+G1263+G1265+G1267+G1269+G1271+G1273+G1275+G1277+G1279+G1281+G1283+G1285+G1287+G1289+G1291+G1293+G1295+G1297</f>
        <v>7968.9436760000008</v>
      </c>
      <c r="H1298" s="126">
        <f t="shared" ref="H1298:AB1298" si="2144">H1257+H1259+H1261+H1263+H1265+H1267+H1269+H1271+H1273+H1275+H1277+H1279+H1281+H1283+H1285+H1287+H1289+H1291+H1293+H1295+H1297</f>
        <v>22601.725651000004</v>
      </c>
      <c r="I1298" s="126">
        <f t="shared" si="2144"/>
        <v>13182.913433</v>
      </c>
      <c r="J1298" s="126">
        <f t="shared" si="2144"/>
        <v>2159.3742940000002</v>
      </c>
      <c r="K1298" s="126">
        <f t="shared" si="2144"/>
        <v>3314.3521850000006</v>
      </c>
      <c r="L1298" s="126">
        <f t="shared" si="2144"/>
        <v>581334.05901800003</v>
      </c>
      <c r="M1298" s="126">
        <f t="shared" si="2144"/>
        <v>3118.5309079999997</v>
      </c>
      <c r="N1298" s="126">
        <f t="shared" si="2144"/>
        <v>81337.109866000013</v>
      </c>
      <c r="O1298" s="126">
        <f t="shared" si="2144"/>
        <v>1898.5738890000002</v>
      </c>
      <c r="P1298" s="126">
        <f t="shared" si="2144"/>
        <v>0</v>
      </c>
      <c r="Q1298" s="126">
        <f t="shared" si="2144"/>
        <v>4759.8658130000003</v>
      </c>
      <c r="R1298" s="126">
        <f t="shared" si="2144"/>
        <v>3819.2961429999996</v>
      </c>
      <c r="S1298" s="126">
        <f t="shared" si="2144"/>
        <v>502.386528</v>
      </c>
      <c r="T1298" s="126">
        <f t="shared" si="2144"/>
        <v>5309.1811800000005</v>
      </c>
      <c r="U1298" s="126">
        <f t="shared" si="2144"/>
        <v>1750.7263500000001</v>
      </c>
      <c r="V1298" s="126">
        <f t="shared" si="2144"/>
        <v>38237.374448999995</v>
      </c>
      <c r="W1298" s="126">
        <f t="shared" si="2144"/>
        <v>5626.5197479999997</v>
      </c>
      <c r="X1298" s="126">
        <f t="shared" si="2144"/>
        <v>6282.5310630000004</v>
      </c>
      <c r="Y1298" s="126">
        <f t="shared" si="2144"/>
        <v>255.627242</v>
      </c>
      <c r="Z1298" s="126">
        <f t="shared" si="2144"/>
        <v>0</v>
      </c>
      <c r="AA1298" s="126">
        <f t="shared" si="2144"/>
        <v>78.654536000000007</v>
      </c>
      <c r="AB1298" s="126">
        <f t="shared" si="2144"/>
        <v>0</v>
      </c>
      <c r="AC1298" s="67"/>
    </row>
    <row r="1299" spans="1:29">
      <c r="A1299" s="54"/>
      <c r="B1299" s="7"/>
      <c r="C1299" s="84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67"/>
    </row>
    <row r="1300" spans="1:29">
      <c r="A1300" s="163" t="s">
        <v>642</v>
      </c>
      <c r="B1300" s="161"/>
      <c r="C1300" s="255"/>
      <c r="D1300" s="162"/>
      <c r="E1300" s="162"/>
      <c r="F1300" s="162"/>
      <c r="G1300" s="16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67"/>
    </row>
    <row r="1301" spans="1:29">
      <c r="A1301" s="54"/>
      <c r="B1301" s="7"/>
      <c r="C1301" s="84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C1301" s="67"/>
    </row>
    <row r="1302" spans="1:29">
      <c r="A1302" s="107" t="s">
        <v>235</v>
      </c>
      <c r="B1302" s="108" t="s">
        <v>237</v>
      </c>
      <c r="C1302" s="256"/>
      <c r="D1302" s="109"/>
      <c r="I1302" s="48"/>
      <c r="AC1302" s="67"/>
    </row>
    <row r="1303" spans="1:29">
      <c r="A1303" s="92" t="s">
        <v>236</v>
      </c>
      <c r="B1303" s="78" t="s">
        <v>238</v>
      </c>
      <c r="C1303" s="257"/>
      <c r="D1303" s="57"/>
      <c r="I1303" s="48"/>
      <c r="AC1303" s="67"/>
    </row>
    <row r="1304" spans="1:29">
      <c r="A1304" s="93" t="s">
        <v>386</v>
      </c>
      <c r="B1304" s="79" t="s">
        <v>510</v>
      </c>
      <c r="C1304" s="258"/>
      <c r="D1304" s="58"/>
      <c r="F1304" s="48"/>
      <c r="AC1304" s="67"/>
    </row>
    <row r="1305" spans="1:29">
      <c r="AC1305" s="67"/>
    </row>
    <row r="1306" spans="1:29">
      <c r="AC1306" s="67"/>
    </row>
    <row r="1307" spans="1:29">
      <c r="AC1307" s="67"/>
    </row>
    <row r="1308" spans="1:29">
      <c r="AC1308" s="67"/>
    </row>
    <row r="1309" spans="1:29">
      <c r="AC1309" s="67"/>
    </row>
    <row r="1310" spans="1:29">
      <c r="A1310" s="94"/>
      <c r="B1310" s="52"/>
      <c r="C1310" s="260"/>
      <c r="D1310" s="49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C1310" s="67"/>
    </row>
    <row r="1311" spans="1:29">
      <c r="AC1311" s="67"/>
    </row>
    <row r="1312" spans="1:29">
      <c r="AC1312" s="67"/>
    </row>
    <row r="1313" spans="29:29">
      <c r="AC1313" s="67"/>
    </row>
    <row r="1314" spans="29:29">
      <c r="AC1314" s="67"/>
    </row>
    <row r="1315" spans="29:29">
      <c r="AC1315" s="67"/>
    </row>
    <row r="1316" spans="29:29">
      <c r="AC1316" s="67"/>
    </row>
    <row r="1348" spans="1:26">
      <c r="A1348" s="94"/>
      <c r="B1348" s="52"/>
      <c r="C1348" s="260"/>
      <c r="D1348" s="35"/>
      <c r="E1348" s="35"/>
      <c r="F1348" s="35"/>
      <c r="G1348" s="7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</row>
  </sheetData>
  <mergeCells count="25">
    <mergeCell ref="D467:Y467"/>
    <mergeCell ref="D667:Y667"/>
    <mergeCell ref="D717:Y717"/>
    <mergeCell ref="D869:Y869"/>
    <mergeCell ref="D1005:Y1005"/>
    <mergeCell ref="D899:Y899"/>
    <mergeCell ref="D923:Y923"/>
    <mergeCell ref="D971:Y971"/>
    <mergeCell ref="D991:Y991"/>
    <mergeCell ref="A1:Y1"/>
    <mergeCell ref="D4:Y4"/>
    <mergeCell ref="D166:Y166"/>
    <mergeCell ref="D182:Y182"/>
    <mergeCell ref="D216:Y216"/>
    <mergeCell ref="D1252:Y1252"/>
    <mergeCell ref="D1242:Y1242"/>
    <mergeCell ref="D1203:Y1203"/>
    <mergeCell ref="D1183:Y1183"/>
    <mergeCell ref="D1021:Y1021"/>
    <mergeCell ref="D1089:Y1089"/>
    <mergeCell ref="D1160:Y1160"/>
    <mergeCell ref="D1159:Y1159"/>
    <mergeCell ref="D1193:Y1193"/>
    <mergeCell ref="D1226:Y1226"/>
    <mergeCell ref="D1216:Y12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B4" sqref="B4"/>
    </sheetView>
  </sheetViews>
  <sheetFormatPr defaultRowHeight="13.2"/>
  <cols>
    <col min="1" max="1" width="35.44140625" bestFit="1" customWidth="1"/>
    <col min="2" max="2" width="16.109375" bestFit="1" customWidth="1"/>
    <col min="3" max="4" width="15" bestFit="1" customWidth="1"/>
    <col min="5" max="6" width="14" bestFit="1" customWidth="1"/>
    <col min="7" max="7" width="15" bestFit="1" customWidth="1"/>
    <col min="8" max="8" width="14.88671875" customWidth="1"/>
    <col min="9" max="9" width="16" bestFit="1" customWidth="1"/>
    <col min="10" max="10" width="17.109375" customWidth="1"/>
    <col min="11" max="11" width="14" bestFit="1" customWidth="1"/>
    <col min="12" max="12" width="15" bestFit="1" customWidth="1"/>
    <col min="13" max="13" width="12.44140625" bestFit="1" customWidth="1"/>
    <col min="14" max="14" width="14" bestFit="1" customWidth="1"/>
    <col min="15" max="15" width="15.44140625" customWidth="1"/>
    <col min="16" max="19" width="14" bestFit="1" customWidth="1"/>
    <col min="20" max="20" width="15" bestFit="1" customWidth="1"/>
    <col min="21" max="22" width="15.109375" customWidth="1"/>
    <col min="23" max="23" width="14" customWidth="1"/>
  </cols>
  <sheetData>
    <row r="1" spans="1:23">
      <c r="A1" s="151" t="s">
        <v>486</v>
      </c>
      <c r="B1" s="69" t="s">
        <v>10</v>
      </c>
      <c r="C1" s="69" t="s">
        <v>11</v>
      </c>
      <c r="D1" s="69" t="s">
        <v>12</v>
      </c>
      <c r="E1" s="69" t="s">
        <v>13</v>
      </c>
      <c r="F1" s="69" t="s">
        <v>14</v>
      </c>
      <c r="G1" s="69" t="s">
        <v>15</v>
      </c>
      <c r="H1" s="69" t="s">
        <v>16</v>
      </c>
      <c r="I1" s="69" t="s">
        <v>17</v>
      </c>
      <c r="J1" s="69" t="s">
        <v>18</v>
      </c>
      <c r="K1" s="69" t="s">
        <v>19</v>
      </c>
      <c r="L1" s="69" t="s">
        <v>20</v>
      </c>
      <c r="M1" s="69" t="s">
        <v>175</v>
      </c>
      <c r="N1" s="69" t="s">
        <v>22</v>
      </c>
      <c r="O1" s="69" t="s">
        <v>23</v>
      </c>
      <c r="P1" s="69" t="s">
        <v>25</v>
      </c>
      <c r="Q1" s="69" t="s">
        <v>26</v>
      </c>
      <c r="R1" s="69" t="s">
        <v>27</v>
      </c>
      <c r="S1" s="69" t="s">
        <v>28</v>
      </c>
      <c r="T1" s="69" t="s">
        <v>29</v>
      </c>
      <c r="U1" s="69" t="s">
        <v>30</v>
      </c>
      <c r="V1" s="69" t="s">
        <v>493</v>
      </c>
      <c r="W1" s="110"/>
    </row>
    <row r="2" spans="1:23">
      <c r="A2" s="169" t="s">
        <v>625</v>
      </c>
      <c r="B2" s="112">
        <v>2614</v>
      </c>
      <c r="C2" s="111">
        <v>21717.1</v>
      </c>
      <c r="D2" s="112">
        <v>9154.2999999999993</v>
      </c>
      <c r="E2" s="111">
        <v>12771.1</v>
      </c>
      <c r="F2" s="112">
        <v>6520</v>
      </c>
      <c r="G2" s="112">
        <v>21262.3</v>
      </c>
      <c r="H2" s="111">
        <v>3361.6</v>
      </c>
      <c r="I2" s="112">
        <v>5166.1000000000004</v>
      </c>
      <c r="J2" s="111">
        <v>2714.7</v>
      </c>
      <c r="K2" s="112">
        <v>4125.3</v>
      </c>
      <c r="L2" s="111">
        <v>21156.3</v>
      </c>
      <c r="M2" s="111">
        <v>2993.5</v>
      </c>
      <c r="N2" s="111">
        <v>6122.9</v>
      </c>
      <c r="O2" s="111">
        <v>3021.3</v>
      </c>
      <c r="P2" s="111">
        <v>8582.6</v>
      </c>
      <c r="Q2" s="112">
        <v>2830.3</v>
      </c>
      <c r="R2" s="112">
        <v>5833.8</v>
      </c>
      <c r="S2" s="112">
        <v>7488.6</v>
      </c>
      <c r="T2" s="111">
        <v>10147</v>
      </c>
      <c r="U2" s="111">
        <v>407.4</v>
      </c>
      <c r="V2" s="112">
        <v>121</v>
      </c>
    </row>
    <row r="4" spans="1:23">
      <c r="A4" s="56" t="s">
        <v>485</v>
      </c>
      <c r="B4" s="71">
        <f>SUM('January 2023'!D162+'January 2023'!D178+'January 2023'!D212+'January 2023'!D460+'January 2023'!D663+'January 2023'!D713+'January 2023'!D865+'January 2023'!D895+'January 2023'!D919+'January 2023'!D967+'January 2023'!D987+'January 2023'!D1001+'January 2023'!D1017+'January 2023'!D1085+'January 2023'!D1155+'January 2023'!D1179+'January 2023'!D1189+'January 2023'!D1199+'January 2023'!D1212+'January 2023'!D1222+'January 2023'!D1238+'January 2023'!D1248+'January 2023'!D1298)</f>
        <v>2763321.6872165012</v>
      </c>
      <c r="C4" s="71">
        <f>SUM('January 2023'!E162+'January 2023'!E178+'January 2023'!E212+'January 2023'!E460+'January 2023'!E663+'January 2023'!E713+'January 2023'!E865+'January 2023'!E895+'January 2023'!E919+'January 2023'!E967+'January 2023'!E987+'January 2023'!E1001+'January 2023'!E1017+'January 2023'!E1085+'January 2023'!E1155+'January 2023'!E1179+'January 2023'!E1189+'January 2023'!E1199+'January 2023'!E1212+'January 2023'!E1222+'January 2023'!E1238+'January 2023'!E1248+'January 2023'!E1298)</f>
        <v>15923112.421356002</v>
      </c>
      <c r="D4" s="71">
        <f>SUM('January 2023'!F162+'January 2023'!F178+'January 2023'!F212+'January 2023'!F460+'January 2023'!F663+'January 2023'!F713+'January 2023'!F865+'January 2023'!F895+'January 2023'!F919+'January 2023'!F967+'January 2023'!F987+'January 2023'!F1001+'January 2023'!F1017+'January 2023'!F1085+'January 2023'!F1155+'January 2023'!F1179+'January 2023'!F1189+'January 2023'!F1199+'January 2023'!F1212+'January 2023'!F1222+'January 2023'!F1238+'January 2023'!F1248+'January 2023'!F1298)</f>
        <v>13180837.946903661</v>
      </c>
      <c r="E4" s="71">
        <f>SUM('January 2023'!G162+'January 2023'!G178+'January 2023'!G212+'January 2023'!G460+'January 2023'!G663+'January 2023'!G713+'January 2023'!G865+'January 2023'!G895+'January 2023'!G919+'January 2023'!G967+'January 2023'!G987+'January 2023'!G1001+'January 2023'!G1017+'January 2023'!G1085+'January 2023'!G1155+'January 2023'!G1179+'January 2023'!G1189+'January 2023'!G1199+'January 2023'!G1212+'January 2023'!G1222+'January 2023'!G1238+'January 2023'!G1248+'January 2023'!G1298)</f>
        <v>5776305.8438315</v>
      </c>
      <c r="F4" s="71">
        <f>SUM('January 2023'!H162+'January 2023'!H178+'January 2023'!H212+'January 2023'!H460+'January 2023'!H663+'January 2023'!H713+'January 2023'!H865+'January 2023'!H895+'January 2023'!H919+'January 2023'!H967+'January 2023'!H987+'January 2023'!H1001+'January 2023'!H1017+'January 2023'!H1085+'January 2023'!H1155+'January 2023'!H1179+'January 2023'!H1189+'January 2023'!H1199+'January 2023'!H1212+'January 2023'!H1222+'January 2023'!H1238+'January 2023'!H1248+'January 2023'!H1298)</f>
        <v>6000706.0872288318</v>
      </c>
      <c r="G4" s="71">
        <f>SUM('January 2023'!I162+'January 2023'!I178+'January 2023'!I212+'January 2023'!I460+'January 2023'!I663+'January 2023'!I713+'January 2023'!I865+'January 2023'!I895+'January 2023'!I919+'January 2023'!I967+'January 2023'!I987+'January 2023'!I1001+'January 2023'!I1017+'January 2023'!I1085+'January 2023'!I1155+'January 2023'!I1179+'January 2023'!I1189+'January 2023'!I1199+'January 2023'!I1212+'January 2023'!I1222+'January 2023'!I1238+'January 2023'!I1248+'January 2023'!I1298)</f>
        <v>6348309.6998084998</v>
      </c>
      <c r="H4" s="71">
        <f>SUM('January 2023'!J162+'January 2023'!J178+'January 2023'!J212+'January 2023'!J460+'January 2023'!J663+'January 2023'!J713+'January 2023'!J865+'January 2023'!J895+'January 2023'!J919+'January 2023'!J967+'January 2023'!J987+'January 2023'!J1001+'January 2023'!J1017+'January 2023'!J1085+'January 2023'!J1155+'January 2023'!J1179+'January 2023'!J1189+'January 2023'!J1199+'January 2023'!J1212+'January 2023'!J1222+'January 2023'!J1238+'January 2023'!J1248+'January 2023'!J1298)</f>
        <v>1390607.3003793333</v>
      </c>
      <c r="I4" s="71">
        <f>SUM('January 2023'!K162+'January 2023'!K178+'January 2023'!K212+'January 2023'!K460+'January 2023'!K663+'January 2023'!K713+'January 2023'!K865+'January 2023'!K895+'January 2023'!K919+'January 2023'!K967+'January 2023'!K987+'January 2023'!K1001+'January 2023'!K1017+'January 2023'!K1085+'January 2023'!K1155+'January 2023'!K1179+'January 2023'!K1189+'January 2023'!K1199+'January 2023'!K1212+'January 2023'!K1222+'January 2023'!K1238+'January 2023'!K1248+'January 2023'!K1298)</f>
        <v>1081276.9569318329</v>
      </c>
      <c r="J4" s="71">
        <f>SUM('January 2023'!L162+'January 2023'!L178+'January 2023'!L212+'January 2023'!L460+'January 2023'!L663+'January 2023'!L713+'January 2023'!L865+'January 2023'!L895+'January 2023'!L919+'January 2023'!L967+'January 2023'!L987+'January 2023'!L1001+'January 2023'!L1017+'January 2023'!L1085+'January 2023'!L1155+'January 2023'!L1179+'January 2023'!L1189+'January 2023'!L1199+'January 2023'!L1212+'January 2023'!L1222+'January 2023'!L1238+'January 2023'!L1248+'January 2023'!L1298)</f>
        <v>3682562.3824733328</v>
      </c>
      <c r="K4" s="71">
        <f>SUM('January 2023'!M162+'January 2023'!M178+'January 2023'!M212+'January 2023'!M460+'January 2023'!M663+'January 2023'!M713+'January 2023'!M865+'January 2023'!M895+'January 2023'!M919+'January 2023'!M967+'January 2023'!M987+'January 2023'!M1001+'January 2023'!M1017+'January 2023'!M1085+'January 2023'!M1155+'January 2023'!M1179+'January 2023'!M1189+'January 2023'!M1199+'January 2023'!M1212+'January 2023'!M1222+'January 2023'!M1238+'January 2023'!M1248+'January 2023'!M1298)</f>
        <v>1736381.4369619999</v>
      </c>
      <c r="L4" s="71">
        <f>SUM('January 2023'!N162+'January 2023'!N178+'January 2023'!N212+'January 2023'!N460+'January 2023'!N663+'January 2023'!N713+'January 2023'!N865+'January 2023'!N895+'January 2023'!N919+'January 2023'!N967+'January 2023'!N987+'January 2023'!N1001+'January 2023'!N1017+'January 2023'!N1085+'January 2023'!N1155+'January 2023'!N1179+'January 2023'!N1189+'January 2023'!N1199+'January 2023'!N1212+'January 2023'!N1222+'January 2023'!N1238+'January 2023'!N1248+'January 2023'!N1298)</f>
        <v>23012414.532337993</v>
      </c>
      <c r="M4" s="71">
        <f>SUM('January 2023'!O162+'January 2023'!O178+'January 2023'!O212+'January 2023'!O460+'January 2023'!O663+'January 2023'!O713+'January 2023'!O865+'January 2023'!O895+'January 2023'!O919+'January 2023'!O967+'January 2023'!O987+'January 2023'!O1001+'January 2023'!O1017+'January 2023'!O1085+'January 2023'!O1155+'January 2023'!O1179+'January 2023'!O1189+'January 2023'!O1199+'January 2023'!O1212+'January 2023'!O1222+'January 2023'!O1238+'January 2023'!O1248+'January 2023'!O1298)</f>
        <v>994414.68167949992</v>
      </c>
      <c r="N4" s="71">
        <f>SUM('January 2023'!Q162,'January 2023'!Q178,'January 2023'!Q212,'January 2023'!Q460,'January 2023'!Q663,'January 2023'!Q713,'January 2023'!Q865,'January 2023'!Q895,'January 2023'!Q919,'January 2023'!Q967,'January 2023'!Q987,'January 2023'!Q1001,'January 2023'!Q1017,'January 2023'!Q1085,'January 2023'!Q1155,'January 2023'!Q1179,'January 2023'!Q1189,'January 2023'!Q1199,'January 2023'!Q1212,'January 2023'!Q1222,'January 2023'!Q1238,'January 2023'!Q1248,'January 2023'!Q1298)</f>
        <v>7074441.6078164997</v>
      </c>
      <c r="O4" s="71">
        <f>SUM('January 2023'!R162,'January 2023'!R178,'January 2023'!R212,'January 2023'!R460,'January 2023'!R663,'January 2023'!R713,'January 2023'!R865,'January 2023'!R895,'January 2023'!R919,'January 2023'!R967,'January 2023'!R987,'January 2023'!R1001,'January 2023'!R1017,'January 2023'!R1085,'January 2023'!R1155,'January 2023'!R1179,'January 2023'!R1189,'January 2023'!R1199,'January 2023'!R1212,'January 2023'!R1222,'January 2023'!R1238,'January 2023'!R1248,'January 2023'!R1298)</f>
        <v>1016157.6834400002</v>
      </c>
      <c r="P4" s="71">
        <f>SUM('January 2023'!T162+'January 2023'!T178+'January 2023'!T212+'January 2023'!T460+'January 2023'!T663+'January 2023'!T713+'January 2023'!T865+'January 2023'!T895+'January 2023'!T919+'January 2023'!T967+'January 2023'!T987+'January 2023'!T1001+'January 2023'!T1017+'January 2023'!T1085+'January 2023'!T1155+'January 2023'!T1179+'January 2023'!T1189+'January 2023'!T1199+'January 2023'!T1212+'January 2023'!T1222+'January 2023'!T1238+'January 2023'!T1248+'January 2023'!T1298)</f>
        <v>8340544.2162446678</v>
      </c>
      <c r="Q4" s="71">
        <f>SUM('January 2023'!U162+'January 2023'!U178+'January 2023'!U212+'January 2023'!U460+'January 2023'!U663+'January 2023'!U713+'January 2023'!U865+'January 2023'!U895+'January 2023'!U919+'January 2023'!U967+'January 2023'!U987+'January 2023'!U1001+'January 2023'!U1017+'January 2023'!U1085+'January 2023'!U1155+'January 2023'!U1179+'January 2023'!U1189+'January 2023'!U1199+'January 2023'!U1212+'January 2023'!U1222+'January 2023'!U1238+'January 2023'!U1248+'January 2023'!U1298)</f>
        <v>4877691.4054306671</v>
      </c>
      <c r="R4" s="71">
        <f>SUM('January 2023'!V162+'January 2023'!V178+'January 2023'!V212+'January 2023'!V460+'January 2023'!V663+'January 2023'!V713+'January 2023'!V865+'January 2023'!V895+'January 2023'!V919+'January 2023'!V967+'January 2023'!V987+'January 2023'!V1001+'January 2023'!V1017+'January 2023'!V1085+'January 2023'!V1155+'January 2023'!V1179+'January 2023'!V1189+'January 2023'!V1199+'January 2023'!V1212+'January 2023'!V1222+'January 2023'!V1238+'January 2023'!V1248+'January 2023'!V1298)</f>
        <v>6736054.2609761655</v>
      </c>
      <c r="S4" s="71">
        <f>SUM('January 2023'!W162+'January 2023'!W178+'January 2023'!W212+'January 2023'!W460+'January 2023'!W663+'January 2023'!W713+'January 2023'!W865+'January 2023'!W895+'January 2023'!W919+'January 2023'!W967+'January 2023'!W987+'January 2023'!W1001+'January 2023'!W1017+'January 2023'!W1085+'January 2023'!W1155+'January 2023'!W1179+'January 2023'!W1189+'January 2023'!W1199+'January 2023'!W1212+'January 2023'!W1222+'January 2023'!W1238+'January 2023'!W1248+'January 2023'!W1298)</f>
        <v>3254908.926062</v>
      </c>
      <c r="T4" s="71">
        <f>SUM('January 2023'!X162+'January 2023'!X178+'January 2023'!X212+'January 2023'!X460+'January 2023'!X663+'January 2023'!X713+'January 2023'!X865+'January 2023'!X895+'January 2023'!X919+'January 2023'!X967+'January 2023'!X987+'January 2023'!X1001+'January 2023'!X1017+'January 2023'!X1085+'January 2023'!X1155+'January 2023'!X1179+'January 2023'!X1189+'January 2023'!X1199+'January 2023'!X1212+'January 2023'!X1222+'January 2023'!X1238+'January 2023'!X1248+'January 2023'!X1298)</f>
        <v>31806536.662473995</v>
      </c>
      <c r="U4" s="71">
        <f>SUM('January 2023'!Y162+'January 2023'!Y178+'January 2023'!Y212+'January 2023'!Y460+'January 2023'!Y663+'January 2023'!Y713+'January 2023'!Y865+'January 2023'!Y895+'January 2023'!Y919+'January 2023'!Y967+'January 2023'!Y987+'January 2023'!Y1001+'January 2023'!Y1017+'January 2023'!Y1085+'January 2023'!Y1155+'January 2023'!Y1179+'January 2023'!Y1189+'January 2023'!Y1199+'January 2023'!Y1212+'January 2023'!Y1222+'January 2023'!Y1238+'January 2023'!Y1248+'January 2023'!Y1298)</f>
        <v>1258244.8664964994</v>
      </c>
      <c r="V4" s="71">
        <f>SUM('January 2023'!AA162+'January 2023'!AA178+'January 2023'!AA212+'January 2023'!AA460+'January 2023'!AA663+'January 2023'!AA713+'January 2023'!AA865+'January 2023'!AA895+'January 2023'!AA919+'January 2023'!AA967+'January 2023'!AA987+'January 2023'!AA1001+'January 2023'!AA1017+'January 2023'!AA1085+'January 2023'!AA1155+'January 2023'!AA1179+'January 2023'!AA1189+'January 2023'!AA1199+'January 2023'!AA1212+'January 2023'!AA1222+'January 2023'!AA1238+'January 2023'!AA1248+'January 2023'!AA1298)</f>
        <v>34785.241702666666</v>
      </c>
    </row>
    <row r="5" spans="1:23">
      <c r="A5" s="56" t="s">
        <v>487</v>
      </c>
      <c r="B5" s="71">
        <f>B4/B2</f>
        <v>1057.1238283154175</v>
      </c>
      <c r="C5" s="71">
        <f t="shared" ref="C5" si="0">C4/C2</f>
        <v>733.20620254803828</v>
      </c>
      <c r="D5" s="71">
        <f t="shared" ref="D5" si="1">D4/D2</f>
        <v>1439.8520855667459</v>
      </c>
      <c r="E5" s="71">
        <f t="shared" ref="E5:V5" si="2">E4/E2</f>
        <v>452.29509156075045</v>
      </c>
      <c r="F5" s="71">
        <f>F4/F2</f>
        <v>920.3536943602503</v>
      </c>
      <c r="G5" s="71">
        <f t="shared" si="2"/>
        <v>298.57116585733905</v>
      </c>
      <c r="H5" s="71">
        <f t="shared" si="2"/>
        <v>413.67423262117245</v>
      </c>
      <c r="I5" s="71">
        <f t="shared" si="2"/>
        <v>209.30236676251579</v>
      </c>
      <c r="J5" s="71">
        <f t="shared" si="2"/>
        <v>1356.526460556722</v>
      </c>
      <c r="K5" s="71">
        <f t="shared" si="2"/>
        <v>420.91034275373909</v>
      </c>
      <c r="L5" s="71">
        <f t="shared" si="2"/>
        <v>1087.7334189975561</v>
      </c>
      <c r="M5" s="71">
        <f t="shared" si="2"/>
        <v>332.19130839468846</v>
      </c>
      <c r="N5" s="71">
        <f t="shared" si="2"/>
        <v>1155.4070142933087</v>
      </c>
      <c r="O5" s="71">
        <f t="shared" si="2"/>
        <v>336.33127575546956</v>
      </c>
      <c r="P5" s="71">
        <f t="shared" si="2"/>
        <v>971.79691658060119</v>
      </c>
      <c r="Q5" s="71">
        <f t="shared" si="2"/>
        <v>1723.383176847213</v>
      </c>
      <c r="R5" s="71">
        <f t="shared" si="2"/>
        <v>1154.6597862415861</v>
      </c>
      <c r="S5" s="71">
        <f t="shared" si="2"/>
        <v>434.64852256256171</v>
      </c>
      <c r="T5" s="71">
        <f t="shared" si="2"/>
        <v>3134.5754077534243</v>
      </c>
      <c r="U5" s="71">
        <f t="shared" si="2"/>
        <v>3088.4753718618053</v>
      </c>
      <c r="V5" s="71">
        <f t="shared" si="2"/>
        <v>287.48133638567492</v>
      </c>
    </row>
    <row r="6" spans="1:23">
      <c r="A6" s="56" t="s">
        <v>483</v>
      </c>
      <c r="B6" s="71">
        <f t="shared" ref="B6" si="3">B5*12</f>
        <v>12685.48593978501</v>
      </c>
      <c r="C6" s="71">
        <f t="shared" ref="C6" si="4">C5*12</f>
        <v>8798.4744305764598</v>
      </c>
      <c r="D6" s="71">
        <f t="shared" ref="D6:V6" si="5">D5*12</f>
        <v>17278.225026800952</v>
      </c>
      <c r="E6" s="71">
        <f t="shared" si="5"/>
        <v>5427.5410987290052</v>
      </c>
      <c r="F6" s="71">
        <f t="shared" si="5"/>
        <v>11044.244332323004</v>
      </c>
      <c r="G6" s="71">
        <f t="shared" si="5"/>
        <v>3582.8539902880684</v>
      </c>
      <c r="H6" s="71">
        <f t="shared" si="5"/>
        <v>4964.0907914540694</v>
      </c>
      <c r="I6" s="71">
        <f t="shared" si="5"/>
        <v>2511.6284011501893</v>
      </c>
      <c r="J6" s="71">
        <f t="shared" si="5"/>
        <v>16278.317526680665</v>
      </c>
      <c r="K6" s="71">
        <f t="shared" si="5"/>
        <v>5050.924113044869</v>
      </c>
      <c r="L6" s="71">
        <f t="shared" si="5"/>
        <v>13052.801027970672</v>
      </c>
      <c r="M6" s="71">
        <f t="shared" si="5"/>
        <v>3986.2957007362616</v>
      </c>
      <c r="N6" s="71">
        <f t="shared" si="5"/>
        <v>13864.884171519705</v>
      </c>
      <c r="O6" s="71">
        <f t="shared" si="5"/>
        <v>4035.975309065635</v>
      </c>
      <c r="P6" s="71">
        <f t="shared" si="5"/>
        <v>11661.562998967214</v>
      </c>
      <c r="Q6" s="71">
        <f t="shared" si="5"/>
        <v>20680.598122166557</v>
      </c>
      <c r="R6" s="71">
        <f t="shared" si="5"/>
        <v>13855.917434899033</v>
      </c>
      <c r="S6" s="71">
        <f t="shared" si="5"/>
        <v>5215.7822707507403</v>
      </c>
      <c r="T6" s="71">
        <f t="shared" si="5"/>
        <v>37614.904893041094</v>
      </c>
      <c r="U6" s="71">
        <f t="shared" si="5"/>
        <v>37061.704462341666</v>
      </c>
      <c r="V6" s="71">
        <f t="shared" si="5"/>
        <v>3449.7760366280991</v>
      </c>
    </row>
    <row r="9" spans="1:23">
      <c r="A9" s="56" t="s">
        <v>484</v>
      </c>
      <c r="B9" s="73">
        <f>'January 2023'!C895</f>
        <v>908107.09000000008</v>
      </c>
      <c r="C9" s="72">
        <v>0</v>
      </c>
      <c r="D9" s="72">
        <v>0</v>
      </c>
      <c r="E9" s="72">
        <v>0</v>
      </c>
      <c r="F9" s="73">
        <f>'January 2023'!C212</f>
        <v>3882427.5000000009</v>
      </c>
      <c r="G9" s="73">
        <f>'January 2023'!C1001</f>
        <v>2400709.66</v>
      </c>
      <c r="H9" s="72">
        <v>0</v>
      </c>
      <c r="I9" s="72">
        <v>0</v>
      </c>
      <c r="J9" s="73">
        <f>'January 2023'!C987</f>
        <v>2519311.9900000002</v>
      </c>
      <c r="K9" s="73">
        <f>'January 2023'!C919</f>
        <v>353728.16000000003</v>
      </c>
      <c r="L9" s="73">
        <f>'January 2023'!C461</f>
        <v>31721453.650000025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3">
        <f>'January 2023'!C967</f>
        <v>3005306.7800000003</v>
      </c>
      <c r="S9" s="72">
        <v>0</v>
      </c>
      <c r="T9" s="73">
        <f>'January 2023'!C663</f>
        <v>45386679.899999991</v>
      </c>
      <c r="U9" s="72">
        <v>0</v>
      </c>
      <c r="V9" s="72">
        <v>0</v>
      </c>
    </row>
    <row r="10" spans="1:23">
      <c r="A10" s="56" t="s">
        <v>487</v>
      </c>
      <c r="B10" s="73">
        <f>B9/B2</f>
        <v>347.40133511859221</v>
      </c>
      <c r="C10" s="72">
        <v>0</v>
      </c>
      <c r="D10" s="72">
        <v>0</v>
      </c>
      <c r="E10" s="72">
        <v>0</v>
      </c>
      <c r="F10" s="73">
        <f>F9/F2</f>
        <v>595.46434049079767</v>
      </c>
      <c r="G10" s="73">
        <f>G9/G2</f>
        <v>112.90921772338835</v>
      </c>
      <c r="H10" s="72">
        <v>0</v>
      </c>
      <c r="I10" s="72">
        <v>0</v>
      </c>
      <c r="J10" s="73">
        <f>J9/J2</f>
        <v>928.02592920028007</v>
      </c>
      <c r="K10" s="73">
        <f>K9/K2</f>
        <v>85.74604513611132</v>
      </c>
      <c r="L10" s="73">
        <f>L9/L2</f>
        <v>1499.3856983499018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3">
        <f>R9/R2</f>
        <v>515.15423566114714</v>
      </c>
      <c r="S10" s="72">
        <v>0</v>
      </c>
      <c r="T10" s="73">
        <f>T9/T2</f>
        <v>4472.9161229920164</v>
      </c>
      <c r="U10" s="72">
        <v>0</v>
      </c>
      <c r="V10" s="72">
        <v>0</v>
      </c>
    </row>
    <row r="11" spans="1:23">
      <c r="A11" s="56" t="s">
        <v>483</v>
      </c>
      <c r="B11" s="73">
        <f>B10*12</f>
        <v>4168.8160214231066</v>
      </c>
      <c r="C11" s="72">
        <v>0</v>
      </c>
      <c r="D11" s="72">
        <v>0</v>
      </c>
      <c r="E11" s="72">
        <v>0</v>
      </c>
      <c r="F11" s="73">
        <f>F10*12</f>
        <v>7145.572085889572</v>
      </c>
      <c r="G11" s="73">
        <f>G10*12</f>
        <v>1354.9106126806603</v>
      </c>
      <c r="H11" s="72">
        <v>0</v>
      </c>
      <c r="I11" s="72">
        <v>0</v>
      </c>
      <c r="J11" s="73">
        <f>J10*12</f>
        <v>11136.31115040336</v>
      </c>
      <c r="K11" s="73">
        <f>K10*12</f>
        <v>1028.9525416333358</v>
      </c>
      <c r="L11" s="73">
        <f>L10*12</f>
        <v>17992.628380198821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3">
        <f>R10*12</f>
        <v>6181.8508279337657</v>
      </c>
      <c r="S11" s="72">
        <v>0</v>
      </c>
      <c r="T11" s="73">
        <f>T10*12</f>
        <v>53674.993475904193</v>
      </c>
      <c r="U11" s="72">
        <v>0</v>
      </c>
      <c r="V11" s="72">
        <v>0</v>
      </c>
    </row>
    <row r="13" spans="1:23">
      <c r="A13" s="56" t="s">
        <v>488</v>
      </c>
      <c r="L13" s="71"/>
      <c r="M13" s="71"/>
    </row>
    <row r="14" spans="1:23">
      <c r="A14" s="56"/>
      <c r="L14" s="71"/>
      <c r="M14" s="71"/>
    </row>
    <row r="15" spans="1:23">
      <c r="L15" s="71"/>
      <c r="M15" s="71"/>
    </row>
    <row r="16" spans="1:23">
      <c r="A16" s="70"/>
      <c r="B16" s="72"/>
      <c r="C16" s="72"/>
      <c r="L16" s="71"/>
      <c r="M16" s="71"/>
    </row>
    <row r="29" spans="1:13">
      <c r="A29" s="69"/>
      <c r="B29" s="72"/>
      <c r="C29" s="72"/>
      <c r="L29" s="71"/>
      <c r="M29" s="71"/>
    </row>
    <row r="30" spans="1:13">
      <c r="A30" s="69"/>
      <c r="B30" s="72"/>
      <c r="C30" s="72"/>
      <c r="L30" s="71"/>
      <c r="M30" s="71"/>
    </row>
    <row r="31" spans="1:13">
      <c r="A31" s="69"/>
      <c r="B31" s="72"/>
      <c r="C31" s="72"/>
      <c r="L31" s="71"/>
      <c r="M31" s="71"/>
    </row>
    <row r="32" spans="1:13">
      <c r="A32" s="69"/>
      <c r="B32" s="72"/>
      <c r="C32" s="72"/>
      <c r="L32" s="71"/>
      <c r="M32" s="71"/>
    </row>
    <row r="33" spans="1:13">
      <c r="A33" s="69"/>
      <c r="B33" s="72"/>
      <c r="C33" s="72"/>
      <c r="L33" s="71"/>
      <c r="M33" s="71"/>
    </row>
    <row r="34" spans="1:13">
      <c r="A34" s="69"/>
      <c r="B34" s="72"/>
      <c r="C34" s="72"/>
      <c r="L34" s="71"/>
      <c r="M34" s="71"/>
    </row>
    <row r="35" spans="1:13">
      <c r="A35" s="69"/>
      <c r="B35" s="72"/>
      <c r="C35" s="72"/>
      <c r="L35" s="71"/>
      <c r="M35" s="71"/>
    </row>
    <row r="36" spans="1:13">
      <c r="A36" s="69"/>
      <c r="B36" s="72"/>
      <c r="C36" s="72"/>
      <c r="L36" s="71"/>
      <c r="M36" s="71"/>
    </row>
    <row r="37" spans="1:13">
      <c r="A37" s="69"/>
      <c r="B37" s="72"/>
      <c r="C37" s="72"/>
      <c r="L37" s="71"/>
      <c r="M37" s="71"/>
    </row>
    <row r="38" spans="1:13">
      <c r="A38" s="69"/>
      <c r="B38" s="72"/>
      <c r="C38" s="72"/>
    </row>
    <row r="39" spans="1:13">
      <c r="A39" s="69"/>
      <c r="B39" s="72"/>
      <c r="C39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2023</vt:lpstr>
      <vt:lpstr>TEC_Rates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2023-01-31T18:50:16Z</dcterms:modified>
  <cp:category/>
</cp:coreProperties>
</file>