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firstSheet="2" activeTab="6"/>
  </bookViews>
  <sheets>
    <sheet name="CT Heat Rate Curves" sheetId="1" r:id="rId1"/>
    <sheet name="CT Heat Input" sheetId="2" r:id="rId2"/>
    <sheet name="CT" sheetId="3" r:id="rId3"/>
    <sheet name="CC PF Heat Rate Curves" sheetId="4" r:id="rId4"/>
    <sheet name="CC PF Heat Input" sheetId="5" r:id="rId5"/>
    <sheet name="CC 2 on 1 PF" sheetId="6" r:id="rId6"/>
    <sheet name="CC Maint History" sheetId="7" r:id="rId7"/>
  </sheets>
  <definedNames/>
  <calcPr fullCalcOnLoad="1"/>
</workbook>
</file>

<file path=xl/sharedStrings.xml><?xml version="1.0" encoding="utf-8"?>
<sst xmlns="http://schemas.openxmlformats.org/spreadsheetml/2006/main" count="216" uniqueCount="115">
  <si>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</si>
  <si>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</si>
  <si>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</si>
  <si>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</si>
  <si>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</si>
  <si>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</si>
  <si>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</si>
  <si>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</si>
  <si>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</si>
  <si>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</si>
  <si>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</si>
  <si>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</si>
  <si>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</si>
  <si>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</si>
  <si>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</si>
  <si>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</si>
  <si>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</si>
  <si>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</si>
  <si>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</si>
  <si>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</si>
  <si>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</si>
  <si>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</si>
  <si>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</si>
  <si>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</si>
  <si>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</si>
  <si>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</si>
  <si>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</si>
  <si>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</si>
  <si>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</si>
  <si>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</si>
  <si>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</si>
  <si>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</si>
  <si>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</si>
  <si>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</si>
  <si>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</si>
  <si>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</si>
  <si>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</si>
  <si>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</si>
  <si>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</si>
  <si>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</si>
  <si>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</si>
  <si>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</si>
  <si>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</si>
  <si>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</si>
  <si>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Major Inspections</t>
  </si>
  <si>
    <t>Year</t>
  </si>
  <si>
    <t>Escalation Factors</t>
  </si>
  <si>
    <t>Annual Cost without</t>
  </si>
  <si>
    <t>Annual Cost with</t>
  </si>
  <si>
    <t>2 on 1 Combined Cycle 20 Year Maintenance History</t>
  </si>
  <si>
    <t>Escalated with</t>
  </si>
  <si>
    <t>Escalated without</t>
  </si>
  <si>
    <t>Cyclic Starting Factor</t>
  </si>
  <si>
    <t>Cyclic Peaking Factor</t>
  </si>
  <si>
    <t>2 on 1 Combined Cycle Equivalent Service Hours</t>
  </si>
  <si>
    <t>Number of Starts</t>
  </si>
  <si>
    <t>Total Operating Hours</t>
  </si>
  <si>
    <t>Number of Hours above Base Load</t>
  </si>
  <si>
    <t>$</t>
  </si>
  <si>
    <t>/hour</t>
  </si>
  <si>
    <t>2 on 1 Combined Cycle Start Cost</t>
  </si>
  <si>
    <t>2 on 1 Combined Cycle Equivalent Maintenance Cost</t>
  </si>
  <si>
    <t>Start Fuel</t>
  </si>
  <si>
    <t>/mmBtu</t>
  </si>
  <si>
    <t>/MWh</t>
  </si>
  <si>
    <t>CT Overhauls</t>
  </si>
  <si>
    <t>ST Overhauls</t>
  </si>
  <si>
    <t>Start Additional Labor Cost</t>
  </si>
  <si>
    <t>Net Generation during Start Period</t>
  </si>
  <si>
    <t>MWh</t>
  </si>
  <si>
    <t>Station Service</t>
  </si>
  <si>
    <t>mmBtu</t>
  </si>
  <si>
    <t>2 on 1 Combined Cycle Cost Schedule</t>
  </si>
  <si>
    <t>Performance Factor</t>
  </si>
  <si>
    <t>Operating CT</t>
  </si>
  <si>
    <t>CTs</t>
  </si>
  <si>
    <t>Mode</t>
  </si>
  <si>
    <t>with</t>
  </si>
  <si>
    <t>without</t>
  </si>
  <si>
    <t>With</t>
  </si>
  <si>
    <t>Without</t>
  </si>
  <si>
    <t>Before 6/1/2015</t>
  </si>
  <si>
    <t>After 6/1/2015</t>
  </si>
  <si>
    <t>Average Yearly Total Maintenance Cost (with OH)</t>
  </si>
  <si>
    <t>Average Yearly Total Maintenance Cost (without OH)</t>
  </si>
  <si>
    <t>Equivalent Service Hours (with CF)</t>
  </si>
  <si>
    <t>Operating Hours (without CF)</t>
  </si>
  <si>
    <t>Equivalent Hourly Maintenance Cost (with OH &amp; CF)</t>
  </si>
  <si>
    <t>Equivalent Hourly Maintenance Cost (without OH &amp; CF)</t>
  </si>
  <si>
    <t>Equivalent Hourly Maintenance Cost (without OH &amp; with CF)</t>
  </si>
  <si>
    <t>Start Cost (with OH &amp; CF)</t>
  </si>
  <si>
    <t>Start Cost (without OH &amp; CF)</t>
  </si>
  <si>
    <t>Start Cost (without OH &amp; with CF)</t>
  </si>
  <si>
    <t>Start Maintenance Adder (with OH &amp; CF)</t>
  </si>
  <si>
    <t>Start Maintenance Adder (without OH &amp; CF)</t>
  </si>
  <si>
    <t>Start Maintenance Adder (without OH &amp; with CF)</t>
  </si>
  <si>
    <t>OH &amp; CF</t>
  </si>
  <si>
    <t>without OH</t>
  </si>
  <si>
    <t>with CF</t>
  </si>
  <si>
    <t>Actual Cost of Unit                    $</t>
  </si>
  <si>
    <t>Station Service Rate                  $</t>
  </si>
  <si>
    <t>Total Fuel Related Costs            $</t>
  </si>
  <si>
    <t xml:space="preserve">        Incremental Cost</t>
  </si>
  <si>
    <t>No Load =   $</t>
  </si>
  <si>
    <t>/hr</t>
  </si>
  <si>
    <t>Total Annual Maintenance Cost Recovered</t>
  </si>
  <si>
    <t>Recovered</t>
  </si>
  <si>
    <t>Through</t>
  </si>
  <si>
    <t>Starts</t>
  </si>
  <si>
    <t>Base Hours</t>
  </si>
  <si>
    <t>Peak Hours</t>
  </si>
  <si>
    <t>Totals</t>
  </si>
  <si>
    <t>Maintenance Cost Recovered ( with OH &amp; CF)</t>
  </si>
  <si>
    <t>Maintenance Cost Recovered ( without OH &amp; CF)</t>
  </si>
  <si>
    <t>Maintenance Cost Recovered ( without OH &amp; with CF)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</si>
</sst>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3" fillId="0" borderId="0" xfId="0" applyNumberFormat="1" applyFont="1" applyAlignment="1">
      <alignment/>
    </xf>
    <xf numFmtId="0" fontId="0" fillId="0" borderId="0" xfId="0" applyAlignment="1" quotePrefix="1">
      <alignment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69" fontId="53" fillId="0" borderId="0" xfId="42" applyNumberFormat="1" applyFont="1" applyAlignment="1">
      <alignment/>
    </xf>
    <xf numFmtId="0" fontId="53" fillId="0" borderId="0" xfId="0" applyFont="1" applyAlignment="1">
      <alignment horizontal="right"/>
    </xf>
    <xf numFmtId="43" fontId="53" fillId="0" borderId="0" xfId="0" applyNumberFormat="1" applyFont="1" applyAlignment="1">
      <alignment/>
    </xf>
    <xf numFmtId="0" fontId="53" fillId="0" borderId="0" xfId="0" applyFont="1" applyAlignment="1" quotePrefix="1">
      <alignment/>
    </xf>
    <xf numFmtId="0" fontId="0" fillId="0" borderId="0" xfId="0" applyAlignment="1">
      <alignment horizontal="right"/>
    </xf>
    <xf numFmtId="16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3924635"/>
        <c:axId val="35321716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3924635"/>
        <c:axId val="35321716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13.347087771428571</c:v>
                </c:pt>
                <c:pt idx="1">
                  <c:v>13.347087771428571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25.076251200000023</c:v>
                </c:pt>
                <c:pt idx="1">
                  <c:v>25.076251200000023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51.84311519999992</c:v>
                </c:pt>
                <c:pt idx="1">
                  <c:v>51.84311519999992</c:v>
                </c:pt>
              </c:numCache>
            </c:numRef>
          </c:yVal>
          <c:smooth val="1"/>
        </c:ser>
        <c:axId val="49459989"/>
        <c:axId val="42486718"/>
      </c:scatter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321716"/>
        <c:crosses val="autoZero"/>
        <c:auto val="1"/>
        <c:lblOffset val="100"/>
        <c:noMultiLvlLbl val="0"/>
      </c:catAx>
      <c:valAx>
        <c:axId val="353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24635"/>
        <c:crosses val="autoZero"/>
        <c:crossBetween val="between"/>
        <c:dispUnits/>
      </c:valAx>
      <c:valAx>
        <c:axId val="49459989"/>
        <c:scaling>
          <c:orientation val="minMax"/>
        </c:scaling>
        <c:axPos val="b"/>
        <c:delete val="1"/>
        <c:majorTickMark val="out"/>
        <c:minorTickMark val="none"/>
        <c:tickLblPos val="none"/>
        <c:crossAx val="42486718"/>
        <c:crosses val="max"/>
        <c:crossBetween val="midCat"/>
        <c:dispUnits/>
      </c:valAx>
      <c:valAx>
        <c:axId val="42486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45998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46836143"/>
        <c:axId val="18872104"/>
      </c:scatterChart>
      <c:val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872104"/>
        <c:crosses val="autoZero"/>
        <c:crossBetween val="midCat"/>
        <c:dispUnits/>
      </c:valAx>
      <c:valAx>
        <c:axId val="18872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8361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35631209"/>
        <c:axId val="52245426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446787"/>
        <c:axId val="4021084"/>
      </c:scatterChart>
      <c:val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245426"/>
        <c:crosses val="autoZero"/>
        <c:crossBetween val="midCat"/>
        <c:dispUnits/>
      </c:valAx>
      <c:valAx>
        <c:axId val="5224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631209"/>
        <c:crosses val="autoZero"/>
        <c:crossBetween val="midCat"/>
        <c:dispUnits/>
      </c:valAx>
      <c:valAx>
        <c:axId val="446787"/>
        <c:scaling>
          <c:orientation val="minMax"/>
        </c:scaling>
        <c:axPos val="b"/>
        <c:delete val="1"/>
        <c:majorTickMark val="out"/>
        <c:minorTickMark val="none"/>
        <c:tickLblPos val="none"/>
        <c:crossAx val="4021084"/>
        <c:crosses val="max"/>
        <c:crossBetween val="midCat"/>
        <c:dispUnits/>
      </c:valAx>
      <c:valAx>
        <c:axId val="4021084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678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36189757"/>
        <c:axId val="57272358"/>
      </c:scatterChart>
      <c:valAx>
        <c:axId val="3618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272358"/>
        <c:crosses val="autoZero"/>
        <c:crossBetween val="midCat"/>
        <c:dispUnits/>
      </c:valAx>
      <c:valAx>
        <c:axId val="5727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1897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0.4105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0.75875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0.11175</cdr:x>
      <cdr:y>0.28425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1809750"/>
          <a:ext cx="3228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0.6205</cdr:y>
    </cdr:from>
    <cdr:to>
      <cdr:x>0.6625</cdr:x>
      <cdr:y>0.6625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71750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0.7165</cdr:y>
    </cdr:from>
    <cdr:to>
      <cdr:x>0.623</cdr:x>
      <cdr:y>0.7725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</cdr:x>
      <cdr:y>0.2155</cdr:y>
    </cdr:from>
    <cdr:to>
      <cdr:x>0.436</cdr:x>
      <cdr:y>0.27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71600"/>
          <a:ext cx="2914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0.57775</cdr:y>
    </cdr:from>
    <cdr:to>
      <cdr:x>0.34425</cdr:x>
      <cdr:y>0.6325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76650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0.5425</cdr:y>
    </cdr:from>
    <cdr:to>
      <cdr:x>0.5915</cdr:x>
      <cdr:y>0.589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480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</cdr:x>
      <cdr:y>0.2725</cdr:y>
    </cdr:from>
    <cdr:to>
      <cdr:x>0.72525</cdr:x>
      <cdr:y>0.32525</cdr:y>
    </cdr:to>
    <cdr:sp>
      <cdr:nvSpPr>
        <cdr:cNvPr id="6" name="TextBox 6"/>
        <cdr:cNvSpPr txBox="1">
          <a:spLocks noChangeArrowheads="1"/>
        </cdr:cNvSpPr>
      </cdr:nvSpPr>
      <cdr:spPr>
        <a:xfrm>
          <a:off x="5191125" y="1733550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0.803</cdr:x>
      <cdr:y>0.22675</cdr:y>
    </cdr:from>
    <cdr:to>
      <cdr:x>0.943</cdr:x>
      <cdr:y>0.265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4382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2.8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0.0498</v>
      </c>
      <c r="H24" s="4" t="s">
        <v>19</v>
      </c>
      <c r="I24" s="2">
        <v>1.02</v>
      </c>
    </row>
    <row r="26" spans="1:11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1651.42488</v>
      </c>
      <c r="K26" s="9" t="s">
        <v>23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36.93887177142857</v>
      </c>
      <c r="F31" s="17">
        <f>E31*A31</f>
        <v>2585.721024</v>
      </c>
      <c r="H31" s="17">
        <f>(B31-B30)*1000/(A31-A30)</f>
        <v>4298.2</v>
      </c>
      <c r="J31" s="16">
        <f>(F31-J26)/(A31-A30)</f>
        <v>13.347087771428571</v>
      </c>
      <c r="K31" s="18">
        <f>J31</f>
        <v>13.347087771428571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34.30273386666667</v>
      </c>
      <c r="F32" s="17">
        <f>E32*A32</f>
        <v>3087.2460480000004</v>
      </c>
      <c r="H32" s="17">
        <f>(B32-B31)*1000/(A32-A31)</f>
        <v>8780.2</v>
      </c>
      <c r="J32" s="16">
        <f>(F32-F31)/(A32-A31)</f>
        <v>25.076251200000023</v>
      </c>
      <c r="K32" s="18">
        <f>J32</f>
        <v>25.076251200000023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36.056771999999995</v>
      </c>
      <c r="F33" s="17">
        <f>E33*A33</f>
        <v>3605.6771999999996</v>
      </c>
      <c r="H33" s="17">
        <f>(B33-B32)*1000/(A33-A32)</f>
        <v>10274.199999999973</v>
      </c>
      <c r="J33" s="16">
        <f>(F33-F32)/(A33-A32)</f>
        <v>51.84311519999992</v>
      </c>
      <c r="K33" s="18">
        <f>J33</f>
        <v>51.84311519999992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39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40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41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42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43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12</v>
      </c>
      <c r="B22">
        <v>171.56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6.2856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0.003</v>
      </c>
      <c r="H24" s="4" t="s">
        <v>19</v>
      </c>
      <c r="I24" s="2">
        <v>1.02</v>
      </c>
    </row>
    <row r="26" spans="1:10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699.9648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1.28125" style="0" customWidth="1"/>
    <col min="3" max="3" width="11.00390625" style="0" customWidth="1"/>
    <col min="4" max="4" width="12.8515625" style="0" bestFit="1" customWidth="1"/>
    <col min="5" max="5" width="11.00390625" style="0" customWidth="1"/>
    <col min="6" max="6" width="10.00390625" style="0" customWidth="1"/>
    <col min="7" max="7" width="9.8515625" style="0" customWidth="1"/>
    <col min="8" max="8" width="11.00390625" style="0" customWidth="1"/>
    <col min="12" max="12" width="10.57421875" style="0" customWidth="1"/>
  </cols>
  <sheetData>
    <row r="1" ht="18">
      <c r="A1" s="12" t="s">
        <v>49</v>
      </c>
    </row>
    <row r="3" spans="1:22" ht="12.75">
      <c r="A3" t="s">
        <v>45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2" ht="12.75">
      <c r="A4" t="s">
        <v>46</v>
      </c>
      <c r="B4">
        <v>659</v>
      </c>
      <c r="C4">
        <v>631</v>
      </c>
      <c r="D4">
        <v>604</v>
      </c>
      <c r="E4">
        <v>578</v>
      </c>
      <c r="F4">
        <v>596</v>
      </c>
      <c r="G4">
        <v>546</v>
      </c>
      <c r="H4">
        <v>515</v>
      </c>
      <c r="I4">
        <v>493</v>
      </c>
      <c r="J4">
        <v>465</v>
      </c>
      <c r="K4">
        <v>441</v>
      </c>
      <c r="L4">
        <v>438</v>
      </c>
      <c r="M4">
        <v>425</v>
      </c>
      <c r="N4">
        <v>415</v>
      </c>
      <c r="O4">
        <v>389</v>
      </c>
      <c r="P4">
        <v>383</v>
      </c>
      <c r="Q4">
        <v>375</v>
      </c>
      <c r="R4">
        <v>363</v>
      </c>
      <c r="S4">
        <v>358</v>
      </c>
      <c r="T4">
        <v>346</v>
      </c>
      <c r="U4">
        <v>334</v>
      </c>
      <c r="V4">
        <v>322</v>
      </c>
    </row>
    <row r="5" spans="1:22" ht="12.75">
      <c r="A5" t="s">
        <v>17</v>
      </c>
      <c r="B5" s="1"/>
      <c r="C5" s="20">
        <f aca="true" t="shared" si="0" ref="C5:T5">D5*1.03</f>
        <v>1753506.053077101</v>
      </c>
      <c r="D5" s="20">
        <f t="shared" si="0"/>
        <v>1702433.0612399038</v>
      </c>
      <c r="E5" s="20">
        <f t="shared" si="0"/>
        <v>1652847.6322717513</v>
      </c>
      <c r="F5" s="20">
        <f t="shared" si="0"/>
        <v>1604706.4390987877</v>
      </c>
      <c r="G5" s="20">
        <f t="shared" si="0"/>
        <v>1557967.4166007647</v>
      </c>
      <c r="H5" s="20">
        <f t="shared" si="0"/>
        <v>1512589.7248551114</v>
      </c>
      <c r="I5" s="20">
        <f t="shared" si="0"/>
        <v>1468533.7134515645</v>
      </c>
      <c r="J5" s="20">
        <f t="shared" si="0"/>
        <v>1425760.8868461791</v>
      </c>
      <c r="K5" s="20">
        <f t="shared" si="0"/>
        <v>1384233.8707244457</v>
      </c>
      <c r="L5" s="20">
        <f t="shared" si="0"/>
        <v>1343916.379344122</v>
      </c>
      <c r="M5" s="20">
        <f t="shared" si="0"/>
        <v>1304773.1838292447</v>
      </c>
      <c r="N5" s="20">
        <f t="shared" si="0"/>
        <v>1266770.0813876162</v>
      </c>
      <c r="O5" s="20">
        <f t="shared" si="0"/>
        <v>1229873.86542487</v>
      </c>
      <c r="P5" s="20">
        <f t="shared" si="0"/>
        <v>1194052.296529</v>
      </c>
      <c r="Q5" s="20">
        <f t="shared" si="0"/>
        <v>1159274.0743</v>
      </c>
      <c r="R5" s="20">
        <f t="shared" si="0"/>
        <v>1125508.81</v>
      </c>
      <c r="S5" s="20">
        <f t="shared" si="0"/>
        <v>1092727</v>
      </c>
      <c r="T5" s="20">
        <f t="shared" si="0"/>
        <v>1060900</v>
      </c>
      <c r="U5" s="20">
        <f>V5*1.03</f>
        <v>1030000</v>
      </c>
      <c r="V5" s="20">
        <v>1000000</v>
      </c>
    </row>
    <row r="6" spans="1:22" ht="12.75">
      <c r="A6" t="s">
        <v>65</v>
      </c>
      <c r="B6" s="1"/>
      <c r="C6" s="20"/>
      <c r="D6" s="20">
        <v>2300000</v>
      </c>
      <c r="E6" s="20">
        <v>2200000</v>
      </c>
      <c r="F6" s="20"/>
      <c r="G6" s="20"/>
      <c r="H6" s="20"/>
      <c r="I6" s="20"/>
      <c r="J6" s="20">
        <v>1900000</v>
      </c>
      <c r="K6" s="20">
        <v>1800000</v>
      </c>
      <c r="L6" s="20"/>
      <c r="M6" s="20"/>
      <c r="N6" s="20"/>
      <c r="O6" s="20"/>
      <c r="P6" s="20">
        <v>1600000</v>
      </c>
      <c r="Q6" s="20">
        <v>1500000</v>
      </c>
      <c r="R6" s="20"/>
      <c r="S6" s="20"/>
      <c r="T6" s="20"/>
      <c r="U6" s="20"/>
      <c r="V6" s="20"/>
    </row>
    <row r="7" spans="1:22" ht="12.75">
      <c r="A7" t="s">
        <v>66</v>
      </c>
      <c r="B7" s="1"/>
      <c r="C7" s="20"/>
      <c r="D7" s="20"/>
      <c r="E7" s="20"/>
      <c r="F7" s="20"/>
      <c r="G7" s="20"/>
      <c r="H7" s="20"/>
      <c r="I7" s="20"/>
      <c r="J7" s="20"/>
      <c r="K7" s="20"/>
      <c r="L7" s="20">
        <v>2000000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t="s">
        <v>44</v>
      </c>
      <c r="B8" s="1"/>
      <c r="C8" s="20"/>
      <c r="D8" s="20"/>
      <c r="E8" s="20"/>
      <c r="F8" s="20"/>
      <c r="G8" s="20">
        <v>550000</v>
      </c>
      <c r="H8" s="20">
        <v>500000</v>
      </c>
      <c r="I8" s="20"/>
      <c r="J8" s="20"/>
      <c r="K8" s="20"/>
      <c r="L8" s="20"/>
      <c r="M8" s="20">
        <v>450000</v>
      </c>
      <c r="N8" s="20">
        <v>400000</v>
      </c>
      <c r="O8" s="20"/>
      <c r="P8" s="20"/>
      <c r="Q8" s="20"/>
      <c r="R8" s="20"/>
      <c r="S8" s="20">
        <v>350000</v>
      </c>
      <c r="T8" s="20">
        <v>300000</v>
      </c>
      <c r="U8" s="20"/>
      <c r="V8" s="20"/>
    </row>
    <row r="9" spans="2:2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t="s">
        <v>48</v>
      </c>
      <c r="B10" s="1"/>
      <c r="C10" s="1">
        <f>SUM(C5:C8)</f>
        <v>1753506.053077101</v>
      </c>
      <c r="D10" s="1">
        <f aca="true" t="shared" si="1" ref="D10:U10">SUM(D5:D8)</f>
        <v>4002433.061239904</v>
      </c>
      <c r="E10" s="1">
        <f t="shared" si="1"/>
        <v>3852847.6322717513</v>
      </c>
      <c r="F10" s="1">
        <f t="shared" si="1"/>
        <v>1604706.4390987877</v>
      </c>
      <c r="G10" s="1">
        <f t="shared" si="1"/>
        <v>2107967.4166007647</v>
      </c>
      <c r="H10" s="1">
        <f t="shared" si="1"/>
        <v>2012589.7248551114</v>
      </c>
      <c r="I10" s="1">
        <f t="shared" si="1"/>
        <v>1468533.7134515645</v>
      </c>
      <c r="J10" s="1">
        <f t="shared" si="1"/>
        <v>3325760.886846179</v>
      </c>
      <c r="K10" s="1">
        <f t="shared" si="1"/>
        <v>3184233.8707244457</v>
      </c>
      <c r="L10" s="1">
        <f>SUM(L5:L8)</f>
        <v>3343916.379344122</v>
      </c>
      <c r="M10" s="1">
        <f t="shared" si="1"/>
        <v>1754773.1838292447</v>
      </c>
      <c r="N10" s="1">
        <f t="shared" si="1"/>
        <v>1666770.0813876162</v>
      </c>
      <c r="O10" s="1">
        <f t="shared" si="1"/>
        <v>1229873.86542487</v>
      </c>
      <c r="P10" s="1">
        <f t="shared" si="1"/>
        <v>2794052.2965289997</v>
      </c>
      <c r="Q10" s="1">
        <f t="shared" si="1"/>
        <v>2659274.0743</v>
      </c>
      <c r="R10" s="1">
        <f t="shared" si="1"/>
        <v>1125508.81</v>
      </c>
      <c r="S10" s="1">
        <f t="shared" si="1"/>
        <v>1442727</v>
      </c>
      <c r="T10" s="1">
        <f t="shared" si="1"/>
        <v>1360900</v>
      </c>
      <c r="U10" s="1">
        <f t="shared" si="1"/>
        <v>1030000</v>
      </c>
      <c r="V10" s="1">
        <f>SUM(V5:V8)</f>
        <v>1000000</v>
      </c>
    </row>
    <row r="11" spans="1:22" ht="12.75">
      <c r="A11" t="s">
        <v>47</v>
      </c>
      <c r="B11" s="1"/>
      <c r="C11" s="1">
        <f>C5</f>
        <v>1753506.053077101</v>
      </c>
      <c r="D11" s="1">
        <f aca="true" t="shared" si="2" ref="D11:V11">D5</f>
        <v>1702433.0612399038</v>
      </c>
      <c r="E11" s="1">
        <f t="shared" si="2"/>
        <v>1652847.6322717513</v>
      </c>
      <c r="F11" s="1">
        <f t="shared" si="2"/>
        <v>1604706.4390987877</v>
      </c>
      <c r="G11" s="1">
        <f t="shared" si="2"/>
        <v>1557967.4166007647</v>
      </c>
      <c r="H11" s="1">
        <f t="shared" si="2"/>
        <v>1512589.7248551114</v>
      </c>
      <c r="I11" s="1">
        <f t="shared" si="2"/>
        <v>1468533.7134515645</v>
      </c>
      <c r="J11" s="1">
        <f t="shared" si="2"/>
        <v>1425760.8868461791</v>
      </c>
      <c r="K11" s="1">
        <f t="shared" si="2"/>
        <v>1384233.8707244457</v>
      </c>
      <c r="L11" s="1">
        <f t="shared" si="2"/>
        <v>1343916.379344122</v>
      </c>
      <c r="M11" s="1">
        <f t="shared" si="2"/>
        <v>1304773.1838292447</v>
      </c>
      <c r="N11" s="1">
        <f t="shared" si="2"/>
        <v>1266770.0813876162</v>
      </c>
      <c r="O11" s="1">
        <f t="shared" si="2"/>
        <v>1229873.86542487</v>
      </c>
      <c r="P11" s="1">
        <f t="shared" si="2"/>
        <v>1194052.296529</v>
      </c>
      <c r="Q11" s="1">
        <f t="shared" si="2"/>
        <v>1159274.0743</v>
      </c>
      <c r="R11" s="1">
        <f t="shared" si="2"/>
        <v>1125508.81</v>
      </c>
      <c r="S11" s="1">
        <f t="shared" si="2"/>
        <v>1092727</v>
      </c>
      <c r="T11" s="1">
        <f t="shared" si="2"/>
        <v>1060900</v>
      </c>
      <c r="U11" s="1">
        <f t="shared" si="2"/>
        <v>1030000</v>
      </c>
      <c r="V11" s="1">
        <f t="shared" si="2"/>
        <v>1000000</v>
      </c>
    </row>
    <row r="13" spans="1:22" ht="12.75">
      <c r="A13" t="s">
        <v>50</v>
      </c>
      <c r="C13" s="1">
        <f>C10*$B$4/C4</f>
        <v>1831316.1473499362</v>
      </c>
      <c r="D13" s="1">
        <f>D10*$B$4/D4</f>
        <v>4366893.025425657</v>
      </c>
      <c r="E13" s="1">
        <f aca="true" t="shared" si="3" ref="E13:V13">E10*$B$4/E4</f>
        <v>4392779.566898069</v>
      </c>
      <c r="F13" s="1">
        <f t="shared" si="3"/>
        <v>1774331.4486008408</v>
      </c>
      <c r="G13" s="1">
        <f t="shared" si="3"/>
        <v>2544231.7354210694</v>
      </c>
      <c r="H13" s="1">
        <f t="shared" si="3"/>
        <v>2575333.2595718806</v>
      </c>
      <c r="I13" s="1">
        <f t="shared" si="3"/>
        <v>1963009.5682851542</v>
      </c>
      <c r="J13" s="1">
        <f t="shared" si="3"/>
        <v>4713282.633186306</v>
      </c>
      <c r="K13" s="1">
        <f t="shared" si="3"/>
        <v>4758299.593667596</v>
      </c>
      <c r="L13" s="1">
        <f t="shared" si="3"/>
        <v>5031143.593579398</v>
      </c>
      <c r="M13" s="1">
        <f t="shared" si="3"/>
        <v>2720930.6544552287</v>
      </c>
      <c r="N13" s="1">
        <f t="shared" si="3"/>
        <v>2646750.5629745517</v>
      </c>
      <c r="O13" s="1">
        <f t="shared" si="3"/>
        <v>2083513.8234318492</v>
      </c>
      <c r="P13" s="1">
        <f t="shared" si="3"/>
        <v>4807520.792200028</v>
      </c>
      <c r="Q13" s="1">
        <f t="shared" si="3"/>
        <v>4673230.973236534</v>
      </c>
      <c r="R13" s="1">
        <f t="shared" si="3"/>
        <v>2043279.079311295</v>
      </c>
      <c r="S13" s="1">
        <f t="shared" si="3"/>
        <v>2655746.0698324023</v>
      </c>
      <c r="T13" s="1">
        <f t="shared" si="3"/>
        <v>2592003.1791907516</v>
      </c>
      <c r="U13" s="1">
        <f t="shared" si="3"/>
        <v>2032245.508982036</v>
      </c>
      <c r="V13" s="1">
        <f t="shared" si="3"/>
        <v>2046583.850931677</v>
      </c>
    </row>
    <row r="14" spans="1:22" ht="12.75">
      <c r="A14" t="s">
        <v>51</v>
      </c>
      <c r="C14" s="1">
        <f>C11*$B$4/C4</f>
        <v>1831316.1473499362</v>
      </c>
      <c r="D14" s="1">
        <f aca="true" t="shared" si="4" ref="D14:V14">D11*$B$4/D4</f>
        <v>1857455.9393329415</v>
      </c>
      <c r="E14" s="1">
        <f t="shared" si="4"/>
        <v>1884475.0686281733</v>
      </c>
      <c r="F14" s="1">
        <f t="shared" si="4"/>
        <v>1774331.4486008408</v>
      </c>
      <c r="G14" s="1">
        <f t="shared" si="4"/>
        <v>1880403.8965932308</v>
      </c>
      <c r="H14" s="1">
        <f t="shared" si="4"/>
        <v>1935527.4343291621</v>
      </c>
      <c r="I14" s="1">
        <f t="shared" si="4"/>
        <v>1963009.5682851542</v>
      </c>
      <c r="J14" s="1">
        <f t="shared" si="4"/>
        <v>2020594.4611432948</v>
      </c>
      <c r="K14" s="1">
        <f t="shared" si="4"/>
        <v>2068503.6753002487</v>
      </c>
      <c r="L14" s="1">
        <f t="shared" si="4"/>
        <v>2022011.173488074</v>
      </c>
      <c r="M14" s="1">
        <f t="shared" si="4"/>
        <v>2023165.9485728757</v>
      </c>
      <c r="N14" s="1">
        <f t="shared" si="4"/>
        <v>2011569.8400829858</v>
      </c>
      <c r="O14" s="1">
        <f t="shared" si="4"/>
        <v>2083513.8234318492</v>
      </c>
      <c r="P14" s="1">
        <f t="shared" si="4"/>
        <v>2054518.1812339714</v>
      </c>
      <c r="Q14" s="1">
        <f t="shared" si="4"/>
        <v>2037230.973236533</v>
      </c>
      <c r="R14" s="1">
        <f t="shared" si="4"/>
        <v>2043279.079311295</v>
      </c>
      <c r="S14" s="1">
        <f t="shared" si="4"/>
        <v>2011472.3268156424</v>
      </c>
      <c r="T14" s="1">
        <f t="shared" si="4"/>
        <v>2020615.8959537572</v>
      </c>
      <c r="U14" s="1">
        <f t="shared" si="4"/>
        <v>2032245.508982036</v>
      </c>
      <c r="V14" s="1">
        <f t="shared" si="4"/>
        <v>2046583.850931677</v>
      </c>
    </row>
    <row r="17" spans="1:6" s="21" customFormat="1" ht="15">
      <c r="A17" s="21" t="s">
        <v>83</v>
      </c>
      <c r="D17" s="22">
        <f>AVERAGE(C13:V13)</f>
        <v>3112621.2533266125</v>
      </c>
      <c r="F17" s="21" t="s">
        <v>81</v>
      </c>
    </row>
    <row r="18" spans="1:6" s="21" customFormat="1" ht="15">
      <c r="A18" s="21" t="s">
        <v>84</v>
      </c>
      <c r="D18" s="22">
        <f>AVERAGE(C14:V14)</f>
        <v>1980091.2120801837</v>
      </c>
      <c r="F18" s="21" t="s">
        <v>82</v>
      </c>
    </row>
    <row r="22" ht="18">
      <c r="A22" s="12" t="s">
        <v>54</v>
      </c>
    </row>
    <row r="24" spans="1:9" ht="12.75">
      <c r="A24" t="s">
        <v>55</v>
      </c>
      <c r="D24" s="2">
        <v>200</v>
      </c>
      <c r="G24" t="s">
        <v>52</v>
      </c>
      <c r="I24" s="2">
        <v>10</v>
      </c>
    </row>
    <row r="25" spans="1:9" ht="12.75">
      <c r="A25" t="s">
        <v>56</v>
      </c>
      <c r="D25" s="2">
        <v>3200</v>
      </c>
      <c r="G25" t="s">
        <v>53</v>
      </c>
      <c r="I25" s="2">
        <v>3</v>
      </c>
    </row>
    <row r="26" spans="1:4" ht="12.75">
      <c r="A26" t="s">
        <v>57</v>
      </c>
      <c r="D26" s="2">
        <v>100</v>
      </c>
    </row>
    <row r="28" spans="1:6" s="21" customFormat="1" ht="15">
      <c r="A28" s="21" t="s">
        <v>85</v>
      </c>
      <c r="D28" s="23">
        <f>D24*I24+D25+D26*I25</f>
        <v>5500</v>
      </c>
      <c r="F28" s="21" t="s">
        <v>81</v>
      </c>
    </row>
    <row r="29" spans="1:6" s="21" customFormat="1" ht="15">
      <c r="A29" s="21" t="s">
        <v>86</v>
      </c>
      <c r="D29" s="23">
        <f>D25</f>
        <v>3200</v>
      </c>
      <c r="F29" s="21" t="s">
        <v>82</v>
      </c>
    </row>
    <row r="33" ht="18">
      <c r="A33" s="12" t="s">
        <v>61</v>
      </c>
    </row>
    <row r="35" spans="1:6" s="21" customFormat="1" ht="15">
      <c r="A35" s="21" t="s">
        <v>87</v>
      </c>
      <c r="D35" s="24" t="s">
        <v>58</v>
      </c>
      <c r="E35" s="25">
        <f>D17/D28</f>
        <v>565.931136968475</v>
      </c>
      <c r="F35" s="26" t="s">
        <v>59</v>
      </c>
    </row>
    <row r="36" spans="1:6" s="21" customFormat="1" ht="15">
      <c r="A36" s="21" t="s">
        <v>88</v>
      </c>
      <c r="D36" s="24" t="s">
        <v>58</v>
      </c>
      <c r="E36" s="25">
        <f>D18/D29</f>
        <v>618.7785037750574</v>
      </c>
      <c r="F36" s="26" t="s">
        <v>59</v>
      </c>
    </row>
    <row r="37" spans="1:6" ht="15">
      <c r="A37" s="21" t="s">
        <v>89</v>
      </c>
      <c r="D37" s="24" t="s">
        <v>58</v>
      </c>
      <c r="E37" s="25">
        <f>D18/D28</f>
        <v>360.0165840145788</v>
      </c>
      <c r="F37" s="26" t="s">
        <v>59</v>
      </c>
    </row>
    <row r="41" ht="18">
      <c r="A41" s="12" t="s">
        <v>60</v>
      </c>
    </row>
    <row r="43" spans="1:14" ht="12.75">
      <c r="A43" t="s">
        <v>62</v>
      </c>
      <c r="C43" s="29">
        <f>2*879.02+0.5*879.02</f>
        <v>2197.55</v>
      </c>
      <c r="D43" t="s">
        <v>71</v>
      </c>
      <c r="F43" t="s">
        <v>101</v>
      </c>
      <c r="I43" s="6">
        <f>2.8</f>
        <v>2.8</v>
      </c>
      <c r="J43" s="19" t="s">
        <v>63</v>
      </c>
      <c r="L43" t="s">
        <v>73</v>
      </c>
      <c r="N43" s="2">
        <v>1.02</v>
      </c>
    </row>
    <row r="44" spans="1:10" ht="12.75">
      <c r="A44" t="s">
        <v>70</v>
      </c>
      <c r="C44" s="2">
        <f>2*10</f>
        <v>20</v>
      </c>
      <c r="D44" t="s">
        <v>69</v>
      </c>
      <c r="F44" t="s">
        <v>100</v>
      </c>
      <c r="I44" s="2">
        <v>30.15</v>
      </c>
      <c r="J44" s="19" t="s">
        <v>64</v>
      </c>
    </row>
    <row r="45" spans="1:10" ht="12.75">
      <c r="A45" t="s">
        <v>68</v>
      </c>
      <c r="C45" s="2">
        <f>70*2+70*0.5+35*0.5</f>
        <v>192.5</v>
      </c>
      <c r="D45" t="s">
        <v>69</v>
      </c>
      <c r="F45" t="s">
        <v>99</v>
      </c>
      <c r="I45" s="2">
        <v>30.15</v>
      </c>
      <c r="J45" s="19" t="s">
        <v>64</v>
      </c>
    </row>
    <row r="46" spans="1:3" ht="12.75">
      <c r="A46" t="s">
        <v>93</v>
      </c>
      <c r="B46" s="27" t="s">
        <v>58</v>
      </c>
      <c r="C46" s="28">
        <f>I24*E35</f>
        <v>5659.31136968475</v>
      </c>
    </row>
    <row r="47" spans="1:3" ht="12.75">
      <c r="A47" t="s">
        <v>94</v>
      </c>
      <c r="B47" s="27" t="s">
        <v>58</v>
      </c>
      <c r="C47" s="28">
        <v>0</v>
      </c>
    </row>
    <row r="48" spans="1:3" ht="12.75">
      <c r="A48" t="s">
        <v>95</v>
      </c>
      <c r="B48" s="27" t="s">
        <v>58</v>
      </c>
      <c r="C48" s="28">
        <f>I24*E37</f>
        <v>3600.165840145788</v>
      </c>
    </row>
    <row r="49" spans="1:3" ht="12.75">
      <c r="A49" t="s">
        <v>67</v>
      </c>
      <c r="B49" s="27" t="s">
        <v>58</v>
      </c>
      <c r="C49" s="2">
        <v>0</v>
      </c>
    </row>
    <row r="51" spans="1:5" s="21" customFormat="1" ht="15">
      <c r="A51" s="21" t="s">
        <v>90</v>
      </c>
      <c r="D51" s="24" t="s">
        <v>58</v>
      </c>
      <c r="E51" s="23">
        <f>C43*I43*N43+C44*I44+C46+C49-C45*I45</f>
        <v>6734.6391696847495</v>
      </c>
    </row>
    <row r="52" spans="1:5" s="21" customFormat="1" ht="15">
      <c r="A52" s="21" t="s">
        <v>91</v>
      </c>
      <c r="D52" s="24" t="s">
        <v>58</v>
      </c>
      <c r="E52" s="23">
        <f>C43*I43*N43+C44*I44+C47+C49-C45*I45</f>
        <v>1075.3278</v>
      </c>
    </row>
    <row r="53" spans="1:5" ht="15">
      <c r="A53" s="21" t="s">
        <v>92</v>
      </c>
      <c r="D53" s="24" t="s">
        <v>58</v>
      </c>
      <c r="E53" s="23">
        <f>C43*I43*N43+C44*I44+C48+C49-C45*I45</f>
        <v>4675.493640145789</v>
      </c>
    </row>
    <row r="57" ht="18">
      <c r="A57" s="12" t="s">
        <v>72</v>
      </c>
    </row>
    <row r="59" spans="1:10" ht="12.75">
      <c r="A59" t="s">
        <v>12</v>
      </c>
      <c r="B59">
        <v>171.56</v>
      </c>
      <c r="C59" s="4" t="s">
        <v>13</v>
      </c>
      <c r="G59" s="5"/>
      <c r="H59" s="4"/>
      <c r="I59" s="6"/>
      <c r="J59" s="4"/>
    </row>
    <row r="60" spans="1:10" ht="12.75">
      <c r="A60" t="s">
        <v>16</v>
      </c>
      <c r="B60">
        <v>6.2856</v>
      </c>
      <c r="G60" s="7"/>
      <c r="H60" s="4"/>
      <c r="I60" s="6"/>
      <c r="J60" s="4"/>
    </row>
    <row r="61" spans="1:9" ht="12.75">
      <c r="A61" t="s">
        <v>18</v>
      </c>
      <c r="B61">
        <v>0.003</v>
      </c>
      <c r="H61" s="4"/>
      <c r="I61" s="2"/>
    </row>
    <row r="62" spans="6:8" ht="12.75">
      <c r="F62" s="3" t="s">
        <v>32</v>
      </c>
      <c r="G62" s="3" t="s">
        <v>32</v>
      </c>
      <c r="H62" s="3" t="s">
        <v>32</v>
      </c>
    </row>
    <row r="63" spans="2:10" ht="12.75">
      <c r="B63" s="31" t="s">
        <v>103</v>
      </c>
      <c r="C63" s="10">
        <f>B68*N43*I43</f>
        <v>999.5999999999999</v>
      </c>
      <c r="D63" s="19" t="s">
        <v>104</v>
      </c>
      <c r="F63" s="8" t="s">
        <v>33</v>
      </c>
      <c r="G63" s="8" t="s">
        <v>33</v>
      </c>
      <c r="H63" s="8" t="s">
        <v>33</v>
      </c>
      <c r="J63" s="30" t="s">
        <v>102</v>
      </c>
    </row>
    <row r="64" spans="1:12" ht="12.75">
      <c r="A64" s="8" t="s">
        <v>20</v>
      </c>
      <c r="B64" s="8"/>
      <c r="C64" s="8"/>
      <c r="D64" s="8" t="s">
        <v>74</v>
      </c>
      <c r="E64" s="8"/>
      <c r="F64" s="8" t="s">
        <v>77</v>
      </c>
      <c r="G64" s="8" t="s">
        <v>78</v>
      </c>
      <c r="H64" s="8" t="s">
        <v>97</v>
      </c>
      <c r="J64" s="8" t="s">
        <v>79</v>
      </c>
      <c r="K64" s="8" t="s">
        <v>80</v>
      </c>
      <c r="L64" s="8" t="s">
        <v>97</v>
      </c>
    </row>
    <row r="65" spans="1:12" ht="12.75">
      <c r="A65" s="8" t="s">
        <v>24</v>
      </c>
      <c r="B65" s="8" t="s">
        <v>0</v>
      </c>
      <c r="C65" s="8" t="s">
        <v>4</v>
      </c>
      <c r="D65" s="8" t="s">
        <v>75</v>
      </c>
      <c r="E65" s="8" t="s">
        <v>76</v>
      </c>
      <c r="F65" s="8" t="s">
        <v>96</v>
      </c>
      <c r="G65" s="8" t="s">
        <v>96</v>
      </c>
      <c r="H65" s="8" t="s">
        <v>98</v>
      </c>
      <c r="J65" s="8" t="s">
        <v>96</v>
      </c>
      <c r="K65" s="8" t="s">
        <v>96</v>
      </c>
      <c r="L65" s="8" t="s">
        <v>98</v>
      </c>
    </row>
    <row r="66" spans="1:12" ht="12.75">
      <c r="A66" s="8" t="s">
        <v>27</v>
      </c>
      <c r="B66" s="8" t="s">
        <v>28</v>
      </c>
      <c r="C66" s="8" t="s">
        <v>29</v>
      </c>
      <c r="D66" s="8"/>
      <c r="E66" s="8"/>
      <c r="F66" s="8" t="s">
        <v>34</v>
      </c>
      <c r="G66" s="8" t="s">
        <v>34</v>
      </c>
      <c r="H66" s="8" t="s">
        <v>34</v>
      </c>
      <c r="J66" s="8" t="s">
        <v>30</v>
      </c>
      <c r="K66" s="8" t="s">
        <v>30</v>
      </c>
      <c r="L66" s="8" t="s">
        <v>30</v>
      </c>
    </row>
    <row r="68" spans="1:8" ht="12.75">
      <c r="A68" s="14">
        <v>0</v>
      </c>
      <c r="B68" s="15">
        <v>350</v>
      </c>
      <c r="C68" s="14"/>
      <c r="D68" s="14"/>
      <c r="E68" s="14"/>
      <c r="F68" s="14"/>
      <c r="G68" s="14"/>
      <c r="H68" s="14"/>
    </row>
    <row r="69" spans="1:12" ht="12.75">
      <c r="A69" s="14">
        <v>105</v>
      </c>
      <c r="B69" s="16">
        <f>$B$61*A69*A69+$B$60*A69+$B$59</f>
        <v>864.623</v>
      </c>
      <c r="C69" s="17">
        <f>B69*1000/A69</f>
        <v>8234.504761904762</v>
      </c>
      <c r="D69" s="14">
        <v>1</v>
      </c>
      <c r="E69" s="14" t="s">
        <v>7</v>
      </c>
      <c r="F69" s="17">
        <f>IF(E69="Peak",B69*$I$43*$N$43+D69*(1+$I$25)*$E$35,B69*$I$43*$N$43+D69*$E$35)</f>
        <v>3035.294424968475</v>
      </c>
      <c r="G69" s="17">
        <f>B69*$I$43*$N$43+D69*$E$36</f>
        <v>3088.1417917750573</v>
      </c>
      <c r="H69" s="17">
        <f>IF(E69="Peak",B69*$I$43*$N$43+D69*(1+$I$25)*$E$37,B69*$I$43*$N$43+D69*$E$37)</f>
        <v>2829.3798720145787</v>
      </c>
      <c r="J69" s="16">
        <f>(F69-C63)/(A69-A68)</f>
        <v>19.387565952080717</v>
      </c>
      <c r="K69" s="16">
        <f>(G69-C63)/(A69-A68)</f>
        <v>19.8908742073815</v>
      </c>
      <c r="L69" s="16">
        <f>(H69-C63)/(A69-A68)</f>
        <v>17.426474971567416</v>
      </c>
    </row>
    <row r="70" spans="1:12" ht="12.75">
      <c r="A70" s="14">
        <v>135</v>
      </c>
      <c r="B70" s="16">
        <f>$B$61*A70*A70+$B$60*A70+$B$59</f>
        <v>1074.791</v>
      </c>
      <c r="C70" s="17">
        <f>B70*1000/A70</f>
        <v>7961.414814814815</v>
      </c>
      <c r="D70" s="14">
        <v>1</v>
      </c>
      <c r="E70" s="14" t="s">
        <v>8</v>
      </c>
      <c r="F70" s="17">
        <f>IF(E70="Peak",B70*$I$43*$N$43+D70*(1+$I$25)*$E$35,B70*$I$43*$N$43+D70*$E$35)</f>
        <v>3635.534232968475</v>
      </c>
      <c r="G70" s="17">
        <f>B70*$I$43*$N$43+D70*$E$36</f>
        <v>3688.381599775057</v>
      </c>
      <c r="H70" s="17">
        <f>IF(E70="Peak",B70*$I$43*$N$43+D70*(1+$I$25)*$E$37,B70*$I$43*$N$43+D70*$E$37)</f>
        <v>3429.6196800145785</v>
      </c>
      <c r="J70" s="16">
        <f>(F70-F69)/(A70-A69)</f>
        <v>20.007993599999995</v>
      </c>
      <c r="K70" s="16">
        <f>(G70-G69)/(A70-A69)</f>
        <v>20.007993599999995</v>
      </c>
      <c r="L70" s="16">
        <f>(H70-H69)/(A70-A69)</f>
        <v>20.007993599999995</v>
      </c>
    </row>
    <row r="71" spans="1:12" ht="12.75">
      <c r="A71" s="14">
        <v>270</v>
      </c>
      <c r="B71" s="16">
        <f>$B$61*A71*A71+$B$60*A71+$B$59</f>
        <v>2087.372</v>
      </c>
      <c r="C71" s="17">
        <f>B71*1000/A71</f>
        <v>7731.007407407406</v>
      </c>
      <c r="D71" s="14">
        <v>2</v>
      </c>
      <c r="E71" s="14" t="s">
        <v>8</v>
      </c>
      <c r="F71" s="17">
        <f>IF(E71="Peak",B71*$I$43*$N$43+D71*(1+$I$25)*$E$35,B71*$I$43*$N$43+D71*$E$35)</f>
        <v>7093.39670593695</v>
      </c>
      <c r="G71" s="17">
        <f>B71*$I$43*$N$43+D71*$E$36</f>
        <v>7199.091439550114</v>
      </c>
      <c r="H71" s="17">
        <f>IF(E71="Peak",B71*$I$43*$N$43+D71*(1+$I$25)*$E$37,B71*$I$43*$N$43+D71*$E$37)</f>
        <v>6681.567600029157</v>
      </c>
      <c r="J71" s="16">
        <f>(F71-F70)/(A71-A70)</f>
        <v>25.613796096062774</v>
      </c>
      <c r="K71" s="16">
        <f>(G71-G70)/(A71-A70)</f>
        <v>26.00525807240783</v>
      </c>
      <c r="L71" s="16">
        <f>(H71-H70)/(A71-A70)</f>
        <v>24.088503111219097</v>
      </c>
    </row>
    <row r="72" spans="1:12" ht="12.75">
      <c r="A72" s="14">
        <v>300</v>
      </c>
      <c r="B72" s="16">
        <f>$B$61*A72*A72+$B$60*A72+$B$59</f>
        <v>2327.24</v>
      </c>
      <c r="C72" s="17">
        <f>B72*1000/A72</f>
        <v>7757.466666666666</v>
      </c>
      <c r="D72" s="14">
        <v>2</v>
      </c>
      <c r="E72" s="14" t="s">
        <v>9</v>
      </c>
      <c r="F72" s="17">
        <f>IF(E72="Peak",B72*$I$43*$N$43+D72*(1+$I$25)*$E$35,B72*$I$43*$N$43+D72*$E$35)</f>
        <v>11174.046535747799</v>
      </c>
      <c r="G72" s="17">
        <f>B72*$I$43*$N$43+D72*$E$36</f>
        <v>7884.154447550114</v>
      </c>
      <c r="H72" s="17">
        <f>IF(E72="Peak",B72*$I$43*$N$43+D72*(1+$I$25)*$E$37,B72*$I$43*$N$43+D72*$E$37)</f>
        <v>9526.730112116631</v>
      </c>
      <c r="J72" s="16">
        <f>(F72-F71)/(A72-A71)</f>
        <v>136.02166099369498</v>
      </c>
      <c r="K72" s="16">
        <f>(G72-G71)/(A72-A71)</f>
        <v>22.8354336</v>
      </c>
      <c r="L72" s="16">
        <f>(H72-H71)/(A72-A71)</f>
        <v>94.8387504029158</v>
      </c>
    </row>
    <row r="76" ht="18">
      <c r="A76" s="12" t="s">
        <v>105</v>
      </c>
    </row>
    <row r="78" spans="3:7" ht="12.75">
      <c r="C78" s="32" t="s">
        <v>106</v>
      </c>
      <c r="D78" s="32" t="s">
        <v>106</v>
      </c>
      <c r="E78" s="32" t="s">
        <v>106</v>
      </c>
      <c r="F78" s="32"/>
      <c r="G78" s="32"/>
    </row>
    <row r="79" spans="3:7" ht="12.75">
      <c r="C79" s="32" t="s">
        <v>107</v>
      </c>
      <c r="D79" s="32" t="s">
        <v>107</v>
      </c>
      <c r="E79" s="32" t="s">
        <v>107</v>
      </c>
      <c r="F79" s="32"/>
      <c r="G79" s="32"/>
    </row>
    <row r="80" spans="3:7" ht="12.75">
      <c r="C80" s="32" t="s">
        <v>108</v>
      </c>
      <c r="D80" s="32" t="s">
        <v>109</v>
      </c>
      <c r="E80" s="32" t="s">
        <v>110</v>
      </c>
      <c r="F80" s="32"/>
      <c r="G80" s="32" t="s">
        <v>111</v>
      </c>
    </row>
    <row r="81" spans="3:7" ht="12.75">
      <c r="C81" s="32" t="s">
        <v>58</v>
      </c>
      <c r="D81" s="32" t="s">
        <v>58</v>
      </c>
      <c r="E81" s="32" t="s">
        <v>58</v>
      </c>
      <c r="F81" s="32"/>
      <c r="G81" s="32" t="s">
        <v>58</v>
      </c>
    </row>
    <row r="83" spans="1:7" ht="12.75">
      <c r="A83" s="3" t="s">
        <v>112</v>
      </c>
      <c r="C83" s="1">
        <f>$D$24*$I$24*E35</f>
        <v>1131862.2739369501</v>
      </c>
      <c r="D83" s="33">
        <f>$D$25*E35</f>
        <v>1810979.6382991201</v>
      </c>
      <c r="E83" s="33">
        <f>$D$26*$I$25*E35</f>
        <v>169779.3410905425</v>
      </c>
      <c r="G83" s="1">
        <f>SUM(C83:E83)</f>
        <v>3112621.2533266125</v>
      </c>
    </row>
    <row r="84" spans="1:7" ht="12.75">
      <c r="A84" s="3" t="s">
        <v>113</v>
      </c>
      <c r="C84" s="1">
        <v>0</v>
      </c>
      <c r="D84" s="33">
        <f>$D$25*E36</f>
        <v>1980091.2120801837</v>
      </c>
      <c r="E84" s="33">
        <v>0</v>
      </c>
      <c r="G84" s="1">
        <f>SUM(C84:E84)</f>
        <v>1980091.2120801837</v>
      </c>
    </row>
    <row r="85" spans="1:7" ht="12.75">
      <c r="A85" s="3" t="s">
        <v>114</v>
      </c>
      <c r="C85" s="1">
        <f>$D$24*$I$24*E37</f>
        <v>720033.1680291577</v>
      </c>
      <c r="D85" s="33">
        <f>$D$25*E37</f>
        <v>1152053.0688466523</v>
      </c>
      <c r="E85" s="33">
        <f>$D$26*$I$25*E37</f>
        <v>108004.97520437365</v>
      </c>
      <c r="G85" s="1">
        <f>SUM(C85:E85)</f>
        <v>1980091.2120801837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2013-03-05T14:15:19Z</dcterms:modified>
  <cp:category/>
  <cp:version/>
  <cp:contentType/>
  <cp:contentStatus/>
</cp:coreProperties>
</file>