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4940" windowHeight="9150" tabRatio="663" activeTab="0"/>
  </bookViews>
  <sheets>
    <sheet name="PJM Buy Bids-Sell Offers" sheetId="1" r:id="rId1"/>
    <sheet name="Non-Viable DR" sheetId="2" r:id="rId2"/>
    <sheet name="3rd IA Configuration" sheetId="3" r:id="rId3"/>
    <sheet name="3rd IA Parameters" sheetId="4" r:id="rId4"/>
    <sheet name="2nd IA Parameters" sheetId="5" r:id="rId5"/>
    <sheet name="1st IA Parameters" sheetId="6" r:id="rId6"/>
    <sheet name="BRA Parameters" sheetId="7" r:id="rId7"/>
    <sheet name="Updated Min Res Req'ments" sheetId="8" r:id="rId8"/>
    <sheet name="Credit Rate" sheetId="9" r:id="rId9"/>
  </sheets>
  <definedNames>
    <definedName name="_xlnm.Print_Area" localSheetId="5">'1st IA Parameters'!$A$1:$K$34</definedName>
    <definedName name="_xlnm.Print_Area" localSheetId="4">'2nd IA Parameters'!$A$1:$K$34</definedName>
    <definedName name="_xlnm.Print_Area" localSheetId="2">'3rd IA Configuration'!$A$1:$K$13</definedName>
    <definedName name="_xlnm.Print_Area" localSheetId="3">'3rd IA Parameters'!$A$1:$K$39</definedName>
    <definedName name="_xlnm.Print_Area" localSheetId="6">'BRA Parameters'!$A$1:$K$81</definedName>
    <definedName name="_xlnm.Print_Area" localSheetId="8">'Credit Rate'!$A$1:$K$13</definedName>
    <definedName name="_xlnm.Print_Area" localSheetId="1">'Non-Viable DR'!$A$1:$I$38</definedName>
    <definedName name="_xlnm.Print_Area" localSheetId="0">'PJM Buy Bids-Sell Offers'!$A$1:$P$21</definedName>
    <definedName name="_xlnm.Print_Area" localSheetId="7">'Updated Min Res Req''ments'!$A$1:$K$28</definedName>
  </definedNames>
  <calcPr fullCalcOnLoad="1"/>
</workbook>
</file>

<file path=xl/sharedStrings.xml><?xml version="1.0" encoding="utf-8"?>
<sst xmlns="http://schemas.openxmlformats.org/spreadsheetml/2006/main" count="782" uniqueCount="230">
  <si>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</si>
  <si>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</si>
  <si>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</si>
  <si>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</si>
  <si>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</si>
  <si>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</si>
  <si>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</si>
  <si>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</si>
  <si>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</si>
  <si>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</si>
  <si>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</si>
  <si>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</si>
  <si>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</si>
  <si>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</si>
  <si>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</si>
  <si>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</si>
  <si>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</si>
  <si>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</si>
  <si>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</si>
  <si>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</si>
  <si>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</si>
  <si>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</si>
  <si>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</si>
  <si>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</si>
  <si>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</si>
  <si>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</si>
  <si>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</si>
  <si>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</si>
  <si>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</si>
  <si>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</si>
  <si>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</si>
  <si>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</si>
  <si>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</si>
  <si>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</si>
  <si>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</si>
  <si>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</si>
  <si>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</si>
  <si>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</si>
  <si>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</si>
  <si>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</si>
  <si>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</si>
  <si>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Notes:</t>
  </si>
  <si>
    <t>Demand Resource (DR) Factor</t>
  </si>
  <si>
    <t>LDA</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</si>
  <si>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</si>
  <si>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</si>
  <si>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</si>
  <si>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</si>
  <si>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</si>
  <si>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</si>
  <si>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</si>
  <si>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</si>
  <si>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</si>
  <si>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</si>
  <si>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</si>
  <si>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LDA CETO/CETL Data; Zonal Peak Loads, Base Zonal FRR Scaling Factors, and Zonal Short-Term Resource Procurement Target.</t>
  </si>
  <si>
    <t>ATSI</t>
  </si>
  <si>
    <t>LOCATIONAL DELIVERABILITY AREA (LDA)</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</si>
  <si>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</si>
  <si>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</si>
  <si>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</si>
  <si>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</si>
  <si>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</si>
  <si>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</si>
  <si>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</si>
  <si>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</si>
  <si>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FRR Peak Load</t>
  </si>
  <si>
    <t>Peak Load Forecast adjusted for FRR</t>
  </si>
  <si>
    <t>Percent of Preliminary Forecast Peak Load</t>
  </si>
  <si>
    <t>Unforced Capacity, MW</t>
  </si>
  <si>
    <t>Minimum Annual Resource Requirement</t>
  </si>
  <si>
    <t>** Used to allocate Short-Term Resource Procurement Target to Zones.</t>
  </si>
  <si>
    <t>FRR Load Requirements:</t>
  </si>
  <si>
    <t>Min % Internal Resource Req'ment</t>
  </si>
  <si>
    <t>Min % Ext Summer Resource Req'ment</t>
  </si>
  <si>
    <t>Min % Annual Resource Req'ment</t>
  </si>
  <si>
    <t>Post-Clearing BRA Credit Rate (LMT), $/MW</t>
  </si>
  <si>
    <t>Post-Clearing BRA Credit Rate (ES), $/MW</t>
  </si>
  <si>
    <t>Post-Clearing BRA Credit Rate (ANL), $/MW</t>
  </si>
  <si>
    <t>DEOK</t>
  </si>
  <si>
    <t>Minimum Resource Requirements for RPM, MW</t>
  </si>
  <si>
    <t>Limiting conditions at the CETL for modeled LDAs:</t>
  </si>
  <si>
    <t>CETL (Changes shown in red)</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</si>
  <si>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</si>
  <si>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</si>
  <si>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</si>
  <si>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</si>
  <si>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</si>
  <si>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ATSI-CLEVELAND</t>
  </si>
  <si>
    <t>2012 Zonal W/N Coincident Peak Loads</t>
  </si>
  <si>
    <t>1. Load data: from 2013 Load Report.</t>
  </si>
  <si>
    <t>2016-2017 RPM Base Residual Auction Planning Parameters</t>
  </si>
  <si>
    <t>&gt; 1185</t>
  </si>
  <si>
    <t>&gt; 2427</t>
  </si>
  <si>
    <t>&gt; 2266</t>
  </si>
  <si>
    <t>&gt; 4370</t>
  </si>
  <si>
    <t>&gt; 1530</t>
  </si>
  <si>
    <t>&gt; 1104</t>
  </si>
  <si>
    <t>&gt; 1553</t>
  </si>
  <si>
    <t>&gt; 1150</t>
  </si>
  <si>
    <t>EKPC</t>
  </si>
  <si>
    <t>&gt; 667</t>
  </si>
  <si>
    <t>&gt; 1346</t>
  </si>
  <si>
    <t>&gt; 3289</t>
  </si>
  <si>
    <t>&gt; 1495</t>
  </si>
  <si>
    <t>&gt; 6831</t>
  </si>
  <si>
    <t>&gt; 1564</t>
  </si>
  <si>
    <t xml:space="preserve">  Voltage/Loss of Keeney - Rock Springs 500 kV</t>
  </si>
  <si>
    <t xml:space="preserve">  Thermal/Roseland - Cedar Grove 230 kV F</t>
  </si>
  <si>
    <t xml:space="preserve">  Thermal/Ashtabula 345/138 kV transformer</t>
  </si>
  <si>
    <t>ATSI-Cleveland</t>
  </si>
  <si>
    <t>&gt; 3795</t>
  </si>
  <si>
    <t>*</t>
  </si>
  <si>
    <t>2. Adjustments were made in the Zonal Peak Load Forecast of AEP, DEOK, and EKPC to account for EKPC integration.</t>
  </si>
  <si>
    <t xml:space="preserve">ATSI, DPL and PS Zonal peak loads and Short-Term Resource Procurement Targets include the corresponding sub-zonal values. </t>
  </si>
  <si>
    <t xml:space="preserve">  Violation/Limiting Facility</t>
  </si>
  <si>
    <t xml:space="preserve">MAAC  </t>
  </si>
  <si>
    <t xml:space="preserve">EMAAC  </t>
  </si>
  <si>
    <t xml:space="preserve">SWMAAC  </t>
  </si>
  <si>
    <t xml:space="preserve">PS  </t>
  </si>
  <si>
    <t xml:space="preserve">PSNORTH  </t>
  </si>
  <si>
    <t xml:space="preserve">DPLSOUTH  </t>
  </si>
  <si>
    <t xml:space="preserve">PEPCO  </t>
  </si>
  <si>
    <t xml:space="preserve">ATSI  </t>
  </si>
  <si>
    <t xml:space="preserve">ATSI-CLEVELAND  </t>
  </si>
  <si>
    <t>Customer-Funded ICTRs Awarded</t>
  </si>
  <si>
    <t>&gt; 5900</t>
  </si>
  <si>
    <t xml:space="preserve">  Thermal/Sandy Springs-High Ridge 230 kV</t>
  </si>
  <si>
    <t xml:space="preserve">  Thermal/Graceton - Bagley 230 kV</t>
  </si>
  <si>
    <t xml:space="preserve">  Thermal/Cedar Grove F - Clifton K 230 kV line</t>
  </si>
  <si>
    <t xml:space="preserve">  Thermal/Easton - Trappe Tap 69 kV</t>
  </si>
  <si>
    <t xml:space="preserve">  Thermal/Conastone - Northwest 230 kV</t>
  </si>
  <si>
    <t>3. See "Net CONE" worksheet for Net CONE calculations.</t>
  </si>
  <si>
    <t xml:space="preserve">Planning Parameters were updated on 4/16/2013 to reflect: (1) FRR Elections for which FRR Obligations were satisfied by the 4/13/2013 deadline; (2) increased CETL for SWMAAC, PEPCO and DPL SOUTH LDAs associated with customer-funded upgrades for which ICTR certifications were made by the 3/29/2013 deadline; and (3) 13 MW decrease in EKPC forecast load due to correction of historical load data used in original EKPC load forecast.  </t>
  </si>
  <si>
    <t xml:space="preserve">Updated on 4/30/2013 </t>
  </si>
  <si>
    <t>Limited DR Reliability Targets revised based on FERC approved alternate methodology (Filing 20121130-er13-486-000).</t>
  </si>
  <si>
    <t>734653-v6</t>
  </si>
  <si>
    <t>Point 1 x-axis (MW)</t>
  </si>
  <si>
    <t>Point 2 x-axis (MW)</t>
  </si>
  <si>
    <t>Point 3 x-axis (MW)</t>
  </si>
  <si>
    <t>Point 4 x-axis (MW)</t>
  </si>
  <si>
    <t>Total</t>
  </si>
  <si>
    <t>Limited DR</t>
  </si>
  <si>
    <t>Annual Resources</t>
  </si>
  <si>
    <t>Total Resources</t>
  </si>
  <si>
    <t>Rest of LDA</t>
  </si>
  <si>
    <t>DPLSOUTH</t>
  </si>
  <si>
    <t>PSNORTH</t>
  </si>
  <si>
    <t>Limited Resources</t>
  </si>
  <si>
    <t>BRA Limited Resource Clearing Price, $/MW-Day</t>
  </si>
  <si>
    <t>Extended Summer Resources</t>
  </si>
  <si>
    <t>BRA Ext Summer Resource Clearing Price, $/MW-Day</t>
  </si>
  <si>
    <t>BRA Annual Resource Clearing Price, $/MW-Day</t>
  </si>
  <si>
    <t>Change in Reliability Requirement *</t>
  </si>
  <si>
    <t>Short-Term Resource Procurement Target Applicable Share</t>
  </si>
  <si>
    <t>Change in CETL</t>
  </si>
  <si>
    <t>PJM Buy Bids &amp; Sell Offers</t>
  </si>
  <si>
    <t>Location</t>
  </si>
  <si>
    <t>Change in Reliability Requirement (MW)</t>
  </si>
  <si>
    <t>Short-Term Resource Procurement Target Applicable Share (MW)</t>
  </si>
  <si>
    <t>Uncleared PJM Buy Bids from Prior IA</t>
  </si>
  <si>
    <t>Additional Buy Bids *</t>
  </si>
  <si>
    <t>Capacity Type</t>
  </si>
  <si>
    <t>Point 1 y-axis ($/MW-Day)</t>
  </si>
  <si>
    <t>Point 2 y-axis ($/MW-Day)</t>
  </si>
  <si>
    <t>Point 3 y-axis ($/MW-Day)</t>
  </si>
  <si>
    <t>Point 4 y-axis ($/MW-Day)</t>
  </si>
  <si>
    <t>RTO (Rest of)</t>
  </si>
  <si>
    <t>Limited</t>
  </si>
  <si>
    <t xml:space="preserve"> --</t>
  </si>
  <si>
    <t>MAAC (Rest of)</t>
  </si>
  <si>
    <t>EMAAC (Rest of)</t>
  </si>
  <si>
    <t>Annual</t>
  </si>
  <si>
    <t>SWMAAC (Rest of)</t>
  </si>
  <si>
    <t>PS (Rest of)</t>
  </si>
  <si>
    <t>TOTAL</t>
  </si>
  <si>
    <t>1. Load data: from 2014 Load Report.</t>
  </si>
  <si>
    <t>2016-2017 RPM 1st IA Planning Parameters</t>
  </si>
  <si>
    <t>0.8*BRA STRPT</t>
  </si>
  <si>
    <t>ATSI-C</t>
  </si>
  <si>
    <t>ATSI (Rest of)</t>
  </si>
  <si>
    <t>Updated Peak Load Forecast</t>
  </si>
  <si>
    <t>Extended Summer Resources + Annual Resources</t>
  </si>
  <si>
    <t>2016-2017 RPM 2nd IA Planning Parameters</t>
  </si>
  <si>
    <t>1. Load data: from 2015 Load Report adjusted for Non-Zone Load..</t>
  </si>
  <si>
    <t>0.6*BRA STRPT</t>
  </si>
  <si>
    <t>Zone/Sub Zone</t>
  </si>
  <si>
    <t>PENELEC</t>
  </si>
  <si>
    <t>PPL</t>
  </si>
  <si>
    <t>Cumulative-Limited DR</t>
  </si>
  <si>
    <t>Total-Rest of LDA</t>
  </si>
  <si>
    <t>Total-Cumulative</t>
  </si>
  <si>
    <t>Annual DR</t>
  </si>
  <si>
    <t>Extended Summer DR</t>
  </si>
  <si>
    <t>Cumulative-Extended Summer DR</t>
  </si>
  <si>
    <t>Cumulative-Annual DR</t>
  </si>
  <si>
    <t>Updated Forecast Peak Load</t>
  </si>
  <si>
    <t>Updated FRR Obligation</t>
  </si>
  <si>
    <t>FRR Min Resource Req(% FRR Obligation)</t>
  </si>
  <si>
    <t>2016-2017 RPM 3rd IA Planning Parameters</t>
  </si>
  <si>
    <t>0*BRA STRPT</t>
  </si>
  <si>
    <t>2016-2017 Pre-Clearing 3rd IA Credit Rates</t>
  </si>
  <si>
    <t>2016-2017 Post-Clearing 3rd IA Credit Rates (to be posted after clearing the auction)</t>
  </si>
  <si>
    <t>Pre-Clearing 3rd IA Credit Rate (LMT), $/MW</t>
  </si>
  <si>
    <t>Pre-Clearing 3rd IA Credit Rate (ES), $/MW</t>
  </si>
  <si>
    <t>Pre-Clearing 3rd IA Credit Rate (ANL), $/MW</t>
  </si>
  <si>
    <t>2016/2017 Updated 3rd IA Minimum Resource Requirements</t>
  </si>
  <si>
    <t>2016-2017 3rd IA Configuration</t>
  </si>
  <si>
    <t xml:space="preserve">Configuration of 3rd IA for 2016/2017 Delivery Year </t>
  </si>
  <si>
    <t>2016/2017 3rd IA Non-Viable DR Commitments Related to DR Operational Resource Flexibility Transition Provision &amp; DR Legacy Direct Load Control Transition Provision.</t>
  </si>
  <si>
    <t xml:space="preserve">   * Additional Buy Bids to account for Non-Viable DR commitments related to DR Operational Resource Flexibility Transition Provision &amp; DR Legacy Direct Load Control Transition Provision.</t>
  </si>
  <si>
    <t>2nd IA Reliability Requirement</t>
  </si>
  <si>
    <t>Load data: from 2016 Load Report adjusted for Non-Zone Load..</t>
  </si>
  <si>
    <t>(a) Add EE Cleared in Prior Auctions</t>
  </si>
  <si>
    <t xml:space="preserve">(b) UCAP Approved in 3rd IA EE Plans (Not Available Yet) </t>
  </si>
  <si>
    <t>EE Adjustments to Reliability Requirement</t>
  </si>
  <si>
    <t>PJM Buy Bid (MW) ***</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</si>
  <si>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</si>
  <si>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Price Points for PJM Buy Bids and PJM Sell Offers ****</t>
  </si>
  <si>
    <t>Annual Resources (Including CP Resources)</t>
  </si>
  <si>
    <t>(c ) Add 28% of (a)+(b) to account for Replacement Capacity</t>
  </si>
  <si>
    <t>Reliability Requirement with Addbacks (a) + (c )</t>
  </si>
  <si>
    <t>3rd IA Reliability Requirement with EE Addbacks</t>
  </si>
  <si>
    <t>Excess Procured in Transitional Auction not Released **</t>
  </si>
  <si>
    <t>** Excess new capacity procured in 2016/2017 CP Transition Auction is not released.  Filed for FERC approval to release (Docket ER16-532-000). Order expected by 2/15/16.</t>
  </si>
  <si>
    <t>Capacity Import Limit Margin after 2nd IA *</t>
  </si>
  <si>
    <t>* Capacity Import Limit Margin indicates the capacity import capability remaining into the LDA.</t>
  </si>
  <si>
    <t>Total Previously Committed Capacity                         (Cleared in BRA, 1st IA, 2nd IA - Non-Viable DR)</t>
  </si>
  <si>
    <t xml:space="preserve">These parameters do not reflect the release of new capacity procured in the 16/17 CP Transition Auction. A second set of parameters that do release this new capacity are also posted. The release of this capacity is pending FERC review with FERC determination expected by 2/15/16.    </t>
  </si>
  <si>
    <t xml:space="preserve">   *** A PJM Sell Offer is indicated by a negative PJM Buy Bid.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</si>
</sst>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m/d/yy\ h:mm;@"/>
    <numFmt numFmtId="197" formatCode="m/d/yy\ hhmm;@"/>
    <numFmt numFmtId="198" formatCode="_(* #,##0.0000000_);_(* \(#,##0.0000000\);_(* &quot;-&quot;??_);_(@_)"/>
    <numFmt numFmtId="199" formatCode="0.0000000000000000"/>
    <numFmt numFmtId="200" formatCode="0.00000000000000000"/>
    <numFmt numFmtId="201" formatCode="0.000000000000000000000"/>
    <numFmt numFmtId="202" formatCode="0.000000000000000"/>
    <numFmt numFmtId="203" formatCode="0.00000000000000"/>
    <numFmt numFmtId="204" formatCode="0.0000000000000"/>
    <numFmt numFmtId="205" formatCode="0.000000000000"/>
    <numFmt numFmtId="206" formatCode="0.00000000000"/>
    <numFmt numFmtId="207" formatCode="0.0000000000"/>
    <numFmt numFmtId="208" formatCode="0.000000000"/>
    <numFmt numFmtId="209" formatCode="0.00000000"/>
    <numFmt numFmtId="210" formatCode="_(* #,##0.00000000_);_(* \(#,##0.00000000\);_(* &quot;-&quot;??_);_(@_)"/>
    <numFmt numFmtId="211" formatCode="_(* #,##0.000000000_);_(* \(#,##0.000000000\);_(* &quot;-&quot;??_);_(@_)"/>
    <numFmt numFmtId="212" formatCode="_(* #,##0.0000000000_);_(* \(#,##0.0000000000\);_(* &quot;-&quot;??_);_(@_)"/>
    <numFmt numFmtId="213" formatCode="0.00_);\(0.00\)"/>
    <numFmt numFmtId="214" formatCode="0.0_);\(0.0\)"/>
    <numFmt numFmtId="215" formatCode="0.0_);[Red]\(0.0\)"/>
  </numFmts>
  <fonts count="6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b/>
      <sz val="12"/>
      <color indexed="10"/>
      <name val="Arial"/>
      <family val="2"/>
    </font>
    <font>
      <sz val="12"/>
      <color indexed="56"/>
      <name val="Arial"/>
      <family val="2"/>
    </font>
    <font>
      <sz val="11"/>
      <color indexed="56"/>
      <name val="Calibri"/>
      <family val="2"/>
    </font>
    <font>
      <sz val="12"/>
      <color indexed="10"/>
      <name val="Arial"/>
      <family val="2"/>
    </font>
    <font>
      <sz val="12"/>
      <color indexed="8"/>
      <name val="Arial"/>
      <family val="2"/>
    </font>
    <font>
      <b/>
      <sz val="11"/>
      <color indexed="8"/>
      <name val="Calibri"/>
      <family val="2"/>
    </font>
    <font>
      <b/>
      <sz val="11"/>
      <color indexed="10"/>
      <name val="Calibri"/>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2"/>
      <color rgb="FFFF0000"/>
      <name val="Arial"/>
      <family val="2"/>
    </font>
    <font>
      <sz val="12"/>
      <color rgb="FF002060"/>
      <name val="Arial"/>
      <family val="2"/>
    </font>
    <font>
      <sz val="11"/>
      <color rgb="FF1F497D"/>
      <name val="Calibri"/>
      <family val="2"/>
    </font>
    <font>
      <sz val="12"/>
      <color rgb="FFFF0000"/>
      <name val="Arial"/>
      <family val="2"/>
    </font>
    <font>
      <sz val="12"/>
      <color theme="1"/>
      <name val="Arial"/>
      <family val="2"/>
    </font>
    <font>
      <b/>
      <sz val="11"/>
      <color theme="1"/>
      <name val="Calibri"/>
      <family val="2"/>
    </font>
    <font>
      <b/>
      <sz val="11"/>
      <color rgb="FFFF0000"/>
      <name val="Calibri"/>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medium"/>
      <top style="medium"/>
      <bottom style="hair"/>
    </border>
    <border>
      <left style="medium"/>
      <right style="hair"/>
      <top style="medium"/>
      <bottom>
        <color indexed="63"/>
      </bottom>
    </border>
    <border>
      <left style="hair"/>
      <right style="hair"/>
      <top style="medium"/>
      <bottom style="hair"/>
    </border>
    <border>
      <left style="hair"/>
      <right style="medium"/>
      <top style="medium"/>
      <bottom style="hair"/>
    </border>
    <border>
      <left>
        <color indexed="63"/>
      </left>
      <right style="medium"/>
      <top style="medium"/>
      <bottom style="hair"/>
    </border>
    <border>
      <left style="medium"/>
      <right>
        <color indexed="63"/>
      </right>
      <top>
        <color indexed="63"/>
      </top>
      <bottom style="hair"/>
    </border>
    <border>
      <left style="medium"/>
      <right style="hair"/>
      <top style="medium"/>
      <bottom style="hair"/>
    </border>
    <border>
      <left style="medium"/>
      <right style="hair"/>
      <top style="hair"/>
      <bottom style="hair"/>
    </border>
    <border>
      <left style="hair"/>
      <right style="medium"/>
      <top style="hair"/>
      <bottom style="hair"/>
    </border>
    <border>
      <left style="medium"/>
      <right>
        <color indexed="63"/>
      </right>
      <top style="hair"/>
      <bottom style="hair"/>
    </border>
    <border>
      <left style="hair"/>
      <right style="hair"/>
      <top style="hair"/>
      <bottom style="hair"/>
    </border>
    <border>
      <left>
        <color indexed="63"/>
      </left>
      <right style="medium"/>
      <top style="hair"/>
      <bottom style="hair"/>
    </border>
    <border>
      <left style="medium"/>
      <right style="medium"/>
      <top style="hair"/>
      <bottom style="hair"/>
    </border>
    <border>
      <left style="medium"/>
      <right style="hair"/>
      <top>
        <color indexed="63"/>
      </top>
      <bottom style="hair"/>
    </border>
    <border>
      <left style="hair"/>
      <right style="medium"/>
      <top style="hair"/>
      <bottom>
        <color indexed="63"/>
      </botto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style="medium"/>
      <right style="hair"/>
      <top style="hair"/>
      <bottom>
        <color indexed="63"/>
      </bottom>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
      <top style="hair"/>
      <bottom style="medium"/>
    </border>
    <border>
      <left style="medium"/>
      <right>
        <color indexed="63"/>
      </right>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5">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1"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0" fontId="54" fillId="0" borderId="0" xfId="0" applyFont="1" applyAlignment="1">
      <alignment/>
    </xf>
    <xf numFmtId="182" fontId="7" fillId="0" borderId="10" xfId="42" applyNumberFormat="1" applyFont="1" applyBorder="1" applyAlignment="1">
      <alignment horizontal="center" vertical="center" wrapText="1"/>
    </xf>
    <xf numFmtId="182" fontId="2" fillId="0" borderId="0" xfId="0" applyNumberFormat="1" applyFont="1" applyFill="1" applyBorder="1" applyAlignment="1">
      <alignment horizontal="right"/>
    </xf>
    <xf numFmtId="172" fontId="7" fillId="0" borderId="10" xfId="0" applyNumberFormat="1" applyFont="1" applyBorder="1" applyAlignment="1">
      <alignment horizontal="center" vertical="center" wrapText="1"/>
    </xf>
    <xf numFmtId="175" fontId="7" fillId="0" borderId="10" xfId="61" applyNumberFormat="1" applyFont="1" applyBorder="1" applyAlignment="1">
      <alignment horizontal="center" vertical="center"/>
    </xf>
    <xf numFmtId="172" fontId="7" fillId="0" borderId="10" xfId="61" applyNumberFormat="1" applyFont="1" applyBorder="1" applyAlignment="1">
      <alignment horizontal="center" vertical="center"/>
    </xf>
    <xf numFmtId="171" fontId="7" fillId="0" borderId="10" xfId="61"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0" fontId="7" fillId="0" borderId="10" xfId="0" applyFont="1" applyBorder="1" applyAlignment="1">
      <alignment horizontal="center" vertical="center" wrapText="1"/>
    </xf>
    <xf numFmtId="174" fontId="7" fillId="0" borderId="10" xfId="61" applyNumberFormat="1" applyFont="1" applyFill="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1"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left" vertical="center" wrapText="1"/>
    </xf>
    <xf numFmtId="1" fontId="7" fillId="0" borderId="13" xfId="0" applyNumberFormat="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7" fillId="0" borderId="13" xfId="0" applyFont="1" applyFill="1" applyBorder="1" applyAlignment="1">
      <alignment/>
    </xf>
    <xf numFmtId="0" fontId="6" fillId="0" borderId="10" xfId="0" applyFont="1" applyBorder="1" applyAlignment="1">
      <alignment vertical="center"/>
    </xf>
    <xf numFmtId="0" fontId="2" fillId="0" borderId="14" xfId="0" applyFont="1" applyBorder="1" applyAlignment="1">
      <alignment horizontal="center" vertical="center" wrapText="1"/>
    </xf>
    <xf numFmtId="173" fontId="6" fillId="0" borderId="10" xfId="0" applyNumberFormat="1" applyFont="1" applyBorder="1" applyAlignment="1">
      <alignment horizontal="center" vertical="center"/>
    </xf>
    <xf numFmtId="176" fontId="55"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5" xfId="0" applyFont="1" applyFill="1" applyBorder="1" applyAlignment="1">
      <alignment/>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0" fillId="0" borderId="10" xfId="0" applyBorder="1" applyAlignment="1">
      <alignment/>
    </xf>
    <xf numFmtId="0" fontId="0" fillId="0" borderId="10" xfId="0" applyBorder="1" applyAlignment="1">
      <alignment wrapText="1"/>
    </xf>
    <xf numFmtId="0" fontId="6" fillId="0" borderId="10" xfId="0" applyFont="1" applyBorder="1" applyAlignment="1">
      <alignment horizontal="right" wrapText="1"/>
    </xf>
    <xf numFmtId="3" fontId="7" fillId="0" borderId="10" xfId="0" applyNumberFormat="1" applyFont="1" applyFill="1" applyBorder="1" applyAlignment="1">
      <alignment horizontal="center" vertical="center"/>
    </xf>
    <xf numFmtId="0" fontId="7" fillId="0" borderId="16" xfId="0" applyFont="1" applyBorder="1" applyAlignment="1">
      <alignment horizontal="left" vertical="center"/>
    </xf>
    <xf numFmtId="0" fontId="7" fillId="0" borderId="16"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82" fontId="6" fillId="0" borderId="10" xfId="0" applyNumberFormat="1" applyFont="1" applyFill="1" applyBorder="1" applyAlignment="1">
      <alignment horizontal="right" vertical="center"/>
    </xf>
    <xf numFmtId="171" fontId="6" fillId="0" borderId="10" xfId="61" applyNumberFormat="1" applyFont="1" applyFill="1" applyBorder="1" applyAlignment="1">
      <alignment horizontal="right" vertical="center"/>
    </xf>
    <xf numFmtId="0" fontId="7" fillId="0" borderId="10" xfId="0" applyFont="1" applyFill="1" applyBorder="1" applyAlignment="1">
      <alignment horizontal="left" vertical="center"/>
    </xf>
    <xf numFmtId="191" fontId="56" fillId="0" borderId="10" xfId="0" applyNumberFormat="1" applyFont="1" applyFill="1" applyBorder="1" applyAlignment="1">
      <alignment horizontal="right" vertical="center"/>
    </xf>
    <xf numFmtId="0" fontId="7" fillId="0" borderId="17" xfId="0" applyFont="1" applyBorder="1" applyAlignment="1">
      <alignment horizontal="left" vertical="center" wrapText="1"/>
    </xf>
    <xf numFmtId="174" fontId="7" fillId="0" borderId="10" xfId="61" applyNumberFormat="1" applyFont="1" applyBorder="1" applyAlignment="1">
      <alignment horizontal="right" vertical="center"/>
    </xf>
    <xf numFmtId="173" fontId="7" fillId="0" borderId="10" xfId="45" applyNumberFormat="1" applyFont="1" applyBorder="1" applyAlignment="1">
      <alignment horizontal="center" vertical="center" wrapText="1"/>
    </xf>
    <xf numFmtId="0" fontId="5" fillId="0" borderId="18" xfId="0" applyFont="1" applyBorder="1" applyAlignment="1">
      <alignment horizontal="center" vertical="center"/>
    </xf>
    <xf numFmtId="9" fontId="7" fillId="0" borderId="10" xfId="61" applyFont="1" applyBorder="1" applyAlignment="1">
      <alignment horizontal="center" vertical="center"/>
    </xf>
    <xf numFmtId="9" fontId="7" fillId="0" borderId="10" xfId="61"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7" fillId="0" borderId="10" xfId="61" applyNumberFormat="1" applyFont="1" applyBorder="1" applyAlignment="1">
      <alignment horizontal="center" vertical="center"/>
    </xf>
    <xf numFmtId="0" fontId="57" fillId="0" borderId="0" xfId="0" applyFont="1" applyAlignment="1">
      <alignment/>
    </xf>
    <xf numFmtId="182" fontId="7" fillId="0" borderId="10" xfId="42" applyNumberFormat="1" applyFont="1" applyBorder="1" applyAlignment="1">
      <alignment vertical="center" wrapText="1"/>
    </xf>
    <xf numFmtId="172" fontId="6" fillId="0" borderId="10" xfId="0" applyNumberFormat="1" applyFont="1" applyFill="1" applyBorder="1" applyAlignment="1">
      <alignment horizontal="right" vertical="center"/>
    </xf>
    <xf numFmtId="0" fontId="58" fillId="0" borderId="19" xfId="0" applyFont="1" applyFill="1" applyBorder="1" applyAlignment="1">
      <alignment/>
    </xf>
    <xf numFmtId="171" fontId="7" fillId="0" borderId="10" xfId="61" applyNumberFormat="1" applyFont="1" applyBorder="1" applyAlignment="1">
      <alignment vertical="center" wrapText="1"/>
    </xf>
    <xf numFmtId="171" fontId="7" fillId="0" borderId="16" xfId="61" applyNumberFormat="1" applyFont="1" applyBorder="1" applyAlignment="1">
      <alignment vertical="center" wrapText="1"/>
    </xf>
    <xf numFmtId="172" fontId="7" fillId="0" borderId="10" xfId="42" applyNumberFormat="1" applyFont="1" applyBorder="1" applyAlignment="1">
      <alignment vertical="center" wrapText="1"/>
    </xf>
    <xf numFmtId="0" fontId="53" fillId="0" borderId="0" xfId="0" applyFont="1" applyAlignment="1">
      <alignment/>
    </xf>
    <xf numFmtId="193" fontId="0" fillId="0" borderId="0" xfId="0" applyNumberFormat="1" applyFont="1" applyAlignment="1">
      <alignment/>
    </xf>
    <xf numFmtId="174" fontId="7" fillId="0" borderId="20" xfId="61" applyNumberFormat="1" applyFont="1" applyFill="1" applyBorder="1" applyAlignment="1">
      <alignment horizontal="right" vertical="center"/>
    </xf>
    <xf numFmtId="1" fontId="6" fillId="0" borderId="13" xfId="0" applyNumberFormat="1" applyFont="1" applyBorder="1" applyAlignment="1">
      <alignment horizontal="left" vertical="center" wrapText="1"/>
    </xf>
    <xf numFmtId="0" fontId="5" fillId="0" borderId="12" xfId="0" applyFont="1" applyBorder="1" applyAlignment="1">
      <alignment horizontal="left"/>
    </xf>
    <xf numFmtId="0" fontId="5" fillId="0" borderId="12" xfId="0" applyFont="1" applyBorder="1" applyAlignment="1">
      <alignment horizontal="center"/>
    </xf>
    <xf numFmtId="0" fontId="6" fillId="0" borderId="10" xfId="0" applyFont="1" applyFill="1" applyBorder="1" applyAlignment="1">
      <alignment vertical="center"/>
    </xf>
    <xf numFmtId="208" fontId="7" fillId="0" borderId="0" xfId="0" applyNumberFormat="1" applyFont="1" applyBorder="1" applyAlignment="1">
      <alignment/>
    </xf>
    <xf numFmtId="0" fontId="2" fillId="0" borderId="10" xfId="0" applyFont="1" applyBorder="1" applyAlignment="1">
      <alignment horizontal="center" vertical="center" wrapText="1"/>
    </xf>
    <xf numFmtId="0" fontId="0" fillId="0" borderId="13" xfId="0" applyFont="1" applyBorder="1" applyAlignment="1">
      <alignment/>
    </xf>
    <xf numFmtId="0" fontId="7" fillId="0" borderId="12" xfId="0" applyFont="1" applyBorder="1" applyAlignment="1">
      <alignment horizontal="left" vertical="center"/>
    </xf>
    <xf numFmtId="176" fontId="55" fillId="0" borderId="12" xfId="0" applyNumberFormat="1" applyFont="1" applyBorder="1" applyAlignment="1">
      <alignment horizontal="center" vertical="center"/>
    </xf>
    <xf numFmtId="0" fontId="7" fillId="0" borderId="10" xfId="0" applyFont="1" applyBorder="1" applyAlignment="1">
      <alignment horizontal="left" vertical="center" wrapText="1"/>
    </xf>
    <xf numFmtId="173" fontId="59" fillId="0" borderId="10" xfId="45" applyNumberFormat="1" applyFont="1" applyBorder="1" applyAlignment="1">
      <alignment horizontal="center" vertical="center" wrapText="1"/>
    </xf>
    <xf numFmtId="44" fontId="59" fillId="0" borderId="10" xfId="45" applyFont="1" applyBorder="1" applyAlignment="1">
      <alignment horizontal="center" vertical="center" wrapText="1"/>
    </xf>
    <xf numFmtId="0" fontId="6" fillId="0" borderId="0" xfId="0" applyFont="1" applyBorder="1" applyAlignment="1">
      <alignment horizontal="left"/>
    </xf>
    <xf numFmtId="14" fontId="6" fillId="0" borderId="0" xfId="0" applyNumberFormat="1" applyFont="1" applyBorder="1" applyAlignment="1">
      <alignment horizontal="left"/>
    </xf>
    <xf numFmtId="0" fontId="7" fillId="0" borderId="0" xfId="0" applyFont="1" applyAlignment="1">
      <alignment/>
    </xf>
    <xf numFmtId="0" fontId="7" fillId="0" borderId="0" xfId="0" applyFont="1" applyFill="1" applyBorder="1" applyAlignment="1">
      <alignment horizontal="left" vertical="center"/>
    </xf>
    <xf numFmtId="176" fontId="55"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0" fontId="7" fillId="0" borderId="0" xfId="0" applyFont="1" applyAlignment="1">
      <alignment horizontal="center"/>
    </xf>
    <xf numFmtId="174" fontId="7" fillId="0" borderId="0" xfId="0" applyNumberFormat="1" applyFont="1" applyAlignment="1">
      <alignment horizontal="center"/>
    </xf>
    <xf numFmtId="0" fontId="7" fillId="0" borderId="0" xfId="0" applyFont="1" applyFill="1" applyBorder="1" applyAlignment="1">
      <alignment/>
    </xf>
    <xf numFmtId="0" fontId="5" fillId="0" borderId="0" xfId="0" applyFont="1" applyFill="1" applyBorder="1" applyAlignment="1">
      <alignment horizontal="left" vertical="center"/>
    </xf>
    <xf numFmtId="14" fontId="55" fillId="0" borderId="0" xfId="0" applyNumberFormat="1" applyFont="1" applyAlignment="1">
      <alignment horizontal="left"/>
    </xf>
    <xf numFmtId="0" fontId="5" fillId="0" borderId="21" xfId="0" applyFont="1" applyBorder="1" applyAlignment="1">
      <alignment horizontal="center"/>
    </xf>
    <xf numFmtId="0" fontId="6" fillId="0" borderId="18" xfId="0" applyFont="1" applyBorder="1" applyAlignment="1">
      <alignment horizontal="right" wrapText="1"/>
    </xf>
    <xf numFmtId="0" fontId="6" fillId="0" borderId="22" xfId="0" applyFont="1" applyBorder="1" applyAlignment="1">
      <alignment horizontal="center" vertical="center" wrapText="1"/>
    </xf>
    <xf numFmtId="174" fontId="6" fillId="0" borderId="23" xfId="0" applyNumberFormat="1" applyFont="1" applyBorder="1" applyAlignment="1">
      <alignment horizontal="center" vertical="center" wrapText="1"/>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wrapText="1"/>
    </xf>
    <xf numFmtId="0" fontId="6" fillId="0" borderId="24" xfId="0" applyFont="1" applyBorder="1" applyAlignment="1">
      <alignment horizontal="center" wrapText="1"/>
    </xf>
    <xf numFmtId="4" fontId="7" fillId="0" borderId="26" xfId="0" applyNumberFormat="1" applyFont="1" applyBorder="1" applyAlignment="1">
      <alignment horizontal="right"/>
    </xf>
    <xf numFmtId="174" fontId="7" fillId="0" borderId="27" xfId="0" applyNumberFormat="1" applyFont="1" applyBorder="1" applyAlignment="1">
      <alignment horizontal="center" wrapText="1"/>
    </xf>
    <xf numFmtId="174" fontId="7" fillId="0" borderId="28" xfId="0" applyNumberFormat="1" applyFont="1" applyFill="1" applyBorder="1" applyAlignment="1">
      <alignment horizontal="center"/>
    </xf>
    <xf numFmtId="174" fontId="7" fillId="0" borderId="29" xfId="0" applyNumberFormat="1" applyFont="1" applyFill="1" applyBorder="1" applyAlignment="1">
      <alignment horizontal="center"/>
    </xf>
    <xf numFmtId="174" fontId="7" fillId="0" borderId="30" xfId="0" applyNumberFormat="1" applyFont="1" applyFill="1" applyBorder="1" applyAlignment="1">
      <alignment horizontal="center"/>
    </xf>
    <xf numFmtId="174" fontId="6" fillId="0" borderId="26" xfId="0" applyNumberFormat="1" applyFont="1" applyFill="1" applyBorder="1" applyAlignment="1">
      <alignment horizontal="center"/>
    </xf>
    <xf numFmtId="174" fontId="6" fillId="0" borderId="31" xfId="0" applyNumberFormat="1" applyFont="1" applyFill="1" applyBorder="1" applyAlignment="1">
      <alignment horizontal="center"/>
    </xf>
    <xf numFmtId="172" fontId="6" fillId="0" borderId="32" xfId="0" applyNumberFormat="1" applyFont="1" applyBorder="1" applyAlignment="1">
      <alignment horizontal="center"/>
    </xf>
    <xf numFmtId="173" fontId="6" fillId="0" borderId="29" xfId="0" applyNumberFormat="1" applyFont="1" applyBorder="1" applyAlignment="1">
      <alignment horizontal="center"/>
    </xf>
    <xf numFmtId="172" fontId="6" fillId="0" borderId="33" xfId="0" applyNumberFormat="1" applyFont="1" applyBorder="1" applyAlignment="1">
      <alignment horizontal="center"/>
    </xf>
    <xf numFmtId="173" fontId="6" fillId="0" borderId="34" xfId="0" applyNumberFormat="1" applyFont="1" applyBorder="1" applyAlignment="1">
      <alignment horizontal="center"/>
    </xf>
    <xf numFmtId="4" fontId="7" fillId="0" borderId="35" xfId="0" applyNumberFormat="1" applyFont="1" applyBorder="1" applyAlignment="1">
      <alignment horizontal="right"/>
    </xf>
    <xf numFmtId="174" fontId="7" fillId="0" borderId="35" xfId="0" applyNumberFormat="1" applyFont="1" applyBorder="1" applyAlignment="1">
      <alignment horizontal="center" wrapText="1"/>
    </xf>
    <xf numFmtId="174" fontId="7" fillId="0" borderId="36" xfId="0" applyNumberFormat="1" applyFont="1" applyFill="1" applyBorder="1" applyAlignment="1">
      <alignment horizontal="center"/>
    </xf>
    <xf numFmtId="174" fontId="7" fillId="0" borderId="34" xfId="0" applyNumberFormat="1" applyFont="1" applyFill="1" applyBorder="1" applyAlignment="1">
      <alignment horizontal="center"/>
    </xf>
    <xf numFmtId="174" fontId="7" fillId="0" borderId="37" xfId="0" applyNumberFormat="1" applyFont="1" applyFill="1" applyBorder="1" applyAlignment="1">
      <alignment horizontal="center"/>
    </xf>
    <xf numFmtId="174" fontId="6" fillId="0" borderId="38" xfId="0" applyNumberFormat="1" applyFont="1" applyFill="1" applyBorder="1" applyAlignment="1">
      <alignment horizontal="center"/>
    </xf>
    <xf numFmtId="174" fontId="6" fillId="0" borderId="35" xfId="0" applyNumberFormat="1" applyFont="1" applyFill="1" applyBorder="1" applyAlignment="1">
      <alignment horizontal="center"/>
    </xf>
    <xf numFmtId="174" fontId="7" fillId="0" borderId="19" xfId="0" applyNumberFormat="1" applyFont="1" applyBorder="1" applyAlignment="1">
      <alignment horizontal="center" wrapText="1"/>
    </xf>
    <xf numFmtId="4" fontId="7" fillId="0" borderId="38" xfId="0" applyNumberFormat="1" applyFont="1" applyBorder="1" applyAlignment="1">
      <alignment horizontal="right"/>
    </xf>
    <xf numFmtId="174" fontId="7" fillId="0" borderId="39" xfId="0" applyNumberFormat="1" applyFont="1" applyBorder="1" applyAlignment="1">
      <alignment horizontal="center" wrapText="1"/>
    </xf>
    <xf numFmtId="173" fontId="6" fillId="0" borderId="40" xfId="0" applyNumberFormat="1" applyFont="1" applyBorder="1" applyAlignment="1">
      <alignment horizontal="center"/>
    </xf>
    <xf numFmtId="4" fontId="7" fillId="0" borderId="41" xfId="0" applyNumberFormat="1" applyFont="1" applyBorder="1" applyAlignment="1">
      <alignment horizontal="right"/>
    </xf>
    <xf numFmtId="174" fontId="7" fillId="0" borderId="42" xfId="0" applyNumberFormat="1" applyFont="1" applyBorder="1" applyAlignment="1">
      <alignment horizontal="center" wrapText="1"/>
    </xf>
    <xf numFmtId="174" fontId="7" fillId="0" borderId="43" xfId="0" applyNumberFormat="1" applyFont="1" applyFill="1" applyBorder="1" applyAlignment="1">
      <alignment horizontal="center"/>
    </xf>
    <xf numFmtId="174" fontId="7" fillId="0" borderId="40" xfId="0" applyNumberFormat="1" applyFont="1" applyFill="1" applyBorder="1" applyAlignment="1">
      <alignment horizontal="center"/>
    </xf>
    <xf numFmtId="172" fontId="6" fillId="0" borderId="44" xfId="0" applyNumberFormat="1" applyFont="1" applyBorder="1" applyAlignment="1">
      <alignment horizontal="center"/>
    </xf>
    <xf numFmtId="4" fontId="7" fillId="0" borderId="45" xfId="0" applyNumberFormat="1" applyFont="1" applyBorder="1" applyAlignment="1">
      <alignment horizontal="right"/>
    </xf>
    <xf numFmtId="174" fontId="7" fillId="0" borderId="46" xfId="61" applyNumberFormat="1" applyFont="1" applyBorder="1" applyAlignment="1">
      <alignment horizontal="center"/>
    </xf>
    <xf numFmtId="174" fontId="7" fillId="0" borderId="47" xfId="0" applyNumberFormat="1" applyFont="1" applyFill="1" applyBorder="1" applyAlignment="1">
      <alignment horizontal="center"/>
    </xf>
    <xf numFmtId="174" fontId="7" fillId="0" borderId="48" xfId="0" applyNumberFormat="1" applyFont="1" applyFill="1" applyBorder="1" applyAlignment="1">
      <alignment horizontal="center"/>
    </xf>
    <xf numFmtId="174" fontId="7" fillId="0" borderId="49" xfId="0" applyNumberFormat="1" applyFont="1" applyFill="1" applyBorder="1" applyAlignment="1">
      <alignment horizontal="center"/>
    </xf>
    <xf numFmtId="174" fontId="6" fillId="0" borderId="45" xfId="0" applyNumberFormat="1" applyFont="1" applyFill="1" applyBorder="1" applyAlignment="1">
      <alignment horizontal="center"/>
    </xf>
    <xf numFmtId="174" fontId="6" fillId="0" borderId="50" xfId="0" applyNumberFormat="1" applyFont="1" applyFill="1" applyBorder="1" applyAlignment="1">
      <alignment horizontal="center"/>
    </xf>
    <xf numFmtId="172" fontId="6" fillId="0" borderId="46" xfId="0" applyNumberFormat="1" applyFont="1" applyBorder="1" applyAlignment="1">
      <alignment horizontal="center"/>
    </xf>
    <xf numFmtId="173" fontId="6" fillId="0" borderId="48" xfId="0" applyNumberFormat="1" applyFont="1" applyBorder="1" applyAlignment="1">
      <alignment horizontal="center"/>
    </xf>
    <xf numFmtId="4" fontId="6" fillId="0" borderId="0" xfId="0" applyNumberFormat="1" applyFont="1" applyBorder="1" applyAlignment="1">
      <alignment horizontal="right"/>
    </xf>
    <xf numFmtId="174" fontId="6" fillId="0" borderId="0" xfId="61" applyNumberFormat="1" applyFont="1" applyBorder="1" applyAlignment="1">
      <alignment horizontal="center"/>
    </xf>
    <xf numFmtId="174" fontId="6" fillId="0" borderId="0" xfId="0" applyNumberFormat="1" applyFont="1" applyBorder="1" applyAlignment="1">
      <alignment horizontal="center"/>
    </xf>
    <xf numFmtId="1" fontId="7" fillId="0" borderId="10" xfId="0" applyNumberFormat="1" applyFont="1" applyBorder="1" applyAlignment="1">
      <alignment horizontal="left"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10" xfId="0" applyFont="1" applyFill="1" applyBorder="1" applyAlignment="1">
      <alignment/>
    </xf>
    <xf numFmtId="173" fontId="59" fillId="0" borderId="0" xfId="45" applyNumberFormat="1" applyFont="1" applyFill="1" applyBorder="1" applyAlignment="1">
      <alignment horizontal="center" vertical="center" wrapText="1"/>
    </xf>
    <xf numFmtId="182" fontId="7" fillId="0" borderId="10" xfId="42" applyNumberFormat="1" applyFont="1" applyBorder="1" applyAlignment="1">
      <alignment horizontal="right" vertical="center"/>
    </xf>
    <xf numFmtId="14" fontId="55" fillId="0" borderId="0" xfId="0" applyNumberFormat="1" applyFont="1" applyAlignment="1">
      <alignment horizontal="center"/>
    </xf>
    <xf numFmtId="0" fontId="7" fillId="0" borderId="12" xfId="0" applyFont="1" applyBorder="1" applyAlignment="1">
      <alignment horizontal="right" vertical="center"/>
    </xf>
    <xf numFmtId="0" fontId="0" fillId="0" borderId="15" xfId="0" applyFont="1" applyBorder="1" applyAlignment="1">
      <alignment/>
    </xf>
    <xf numFmtId="172" fontId="7" fillId="0" borderId="10" xfId="42" applyNumberFormat="1" applyFont="1" applyBorder="1" applyAlignment="1">
      <alignment horizontal="right" vertical="center"/>
    </xf>
    <xf numFmtId="4" fontId="6" fillId="0" borderId="0" xfId="0" applyNumberFormat="1" applyFont="1" applyFill="1" applyBorder="1" applyAlignment="1">
      <alignment horizontal="left"/>
    </xf>
    <xf numFmtId="4" fontId="7" fillId="0" borderId="0" xfId="0" applyNumberFormat="1" applyFont="1" applyFill="1" applyBorder="1" applyAlignment="1">
      <alignment horizontal="left"/>
    </xf>
    <xf numFmtId="0" fontId="60" fillId="0" borderId="51" xfId="0" applyFont="1" applyBorder="1" applyAlignment="1">
      <alignment vertical="center" wrapText="1"/>
    </xf>
    <xf numFmtId="0" fontId="60" fillId="0" borderId="52" xfId="0" applyFont="1" applyBorder="1" applyAlignment="1">
      <alignment horizontal="center" vertical="center" wrapText="1"/>
    </xf>
    <xf numFmtId="0" fontId="60" fillId="0" borderId="53" xfId="0" applyFont="1" applyBorder="1" applyAlignment="1">
      <alignment horizontal="center" vertical="center"/>
    </xf>
    <xf numFmtId="0" fontId="60" fillId="0" borderId="0" xfId="0" applyFont="1" applyBorder="1" applyAlignment="1">
      <alignment/>
    </xf>
    <xf numFmtId="0" fontId="60" fillId="0" borderId="0" xfId="0" applyFont="1" applyBorder="1" applyAlignment="1">
      <alignment wrapText="1"/>
    </xf>
    <xf numFmtId="0" fontId="60" fillId="0" borderId="0" xfId="0" applyFont="1" applyBorder="1" applyAlignment="1">
      <alignment vertical="center" wrapText="1"/>
    </xf>
    <xf numFmtId="0" fontId="36" fillId="0" borderId="13" xfId="0" applyFont="1" applyBorder="1" applyAlignment="1">
      <alignment vertical="center" wrapText="1"/>
    </xf>
    <xf numFmtId="172" fontId="0" fillId="0" borderId="10" xfId="0" applyNumberFormat="1" applyFont="1" applyBorder="1" applyAlignment="1">
      <alignment horizontal="center"/>
    </xf>
    <xf numFmtId="172" fontId="41" fillId="0" borderId="54" xfId="0" applyNumberFormat="1" applyFont="1" applyBorder="1" applyAlignment="1">
      <alignment horizontal="center" vertical="center"/>
    </xf>
    <xf numFmtId="0" fontId="0" fillId="0" borderId="13" xfId="0" applyFont="1" applyBorder="1" applyAlignment="1">
      <alignment/>
    </xf>
    <xf numFmtId="0" fontId="0" fillId="0" borderId="0" xfId="0" applyFont="1" applyBorder="1" applyAlignment="1">
      <alignment/>
    </xf>
    <xf numFmtId="0" fontId="60" fillId="0" borderId="55" xfId="0" applyFont="1" applyBorder="1" applyAlignment="1">
      <alignment/>
    </xf>
    <xf numFmtId="172" fontId="60" fillId="0" borderId="56" xfId="0" applyNumberFormat="1" applyFont="1" applyBorder="1" applyAlignment="1">
      <alignment horizontal="center"/>
    </xf>
    <xf numFmtId="172" fontId="60" fillId="0" borderId="57" xfId="0" applyNumberFormat="1" applyFont="1" applyBorder="1" applyAlignment="1">
      <alignment horizontal="center"/>
    </xf>
    <xf numFmtId="187" fontId="60" fillId="0" borderId="0" xfId="0" applyNumberFormat="1" applyFont="1" applyBorder="1" applyAlignment="1">
      <alignment/>
    </xf>
    <xf numFmtId="0" fontId="0" fillId="0" borderId="0" xfId="0" applyFont="1" applyAlignment="1">
      <alignment/>
    </xf>
    <xf numFmtId="0" fontId="60" fillId="0" borderId="51" xfId="0" applyFont="1" applyFill="1" applyBorder="1" applyAlignment="1">
      <alignment horizontal="left" vertical="center"/>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13" xfId="0" applyFont="1" applyFill="1" applyBorder="1" applyAlignment="1">
      <alignment horizontal="left" wrapText="1"/>
    </xf>
    <xf numFmtId="172" fontId="0" fillId="0" borderId="10" xfId="0" applyNumberFormat="1" applyBorder="1" applyAlignment="1">
      <alignment horizontal="center"/>
    </xf>
    <xf numFmtId="172" fontId="0" fillId="0" borderId="54" xfId="0" applyNumberFormat="1" applyBorder="1" applyAlignment="1">
      <alignment horizontal="center"/>
    </xf>
    <xf numFmtId="0" fontId="60" fillId="0" borderId="55" xfId="0" applyFont="1" applyFill="1" applyBorder="1" applyAlignment="1">
      <alignment horizontal="left" wrapText="1"/>
    </xf>
    <xf numFmtId="172" fontId="0" fillId="0" borderId="56" xfId="0" applyNumberFormat="1" applyBorder="1" applyAlignment="1">
      <alignment horizontal="center"/>
    </xf>
    <xf numFmtId="172" fontId="0" fillId="0" borderId="57" xfId="0" applyNumberFormat="1" applyBorder="1" applyAlignment="1">
      <alignment horizontal="center"/>
    </xf>
    <xf numFmtId="0" fontId="60" fillId="0" borderId="15" xfId="0" applyFont="1" applyFill="1" applyBorder="1" applyAlignment="1">
      <alignment horizontal="left" wrapText="1"/>
    </xf>
    <xf numFmtId="172" fontId="0" fillId="0" borderId="16" xfId="0" applyNumberFormat="1" applyBorder="1" applyAlignment="1">
      <alignment horizontal="center"/>
    </xf>
    <xf numFmtId="0" fontId="60" fillId="0" borderId="0" xfId="0" applyFont="1" applyBorder="1" applyAlignment="1">
      <alignment horizontal="center" vertical="center"/>
    </xf>
    <xf numFmtId="172" fontId="41" fillId="0" borderId="0" xfId="0" applyNumberFormat="1" applyFont="1" applyBorder="1" applyAlignment="1">
      <alignment horizontal="center" vertical="center"/>
    </xf>
    <xf numFmtId="172" fontId="60" fillId="0" borderId="0" xfId="0" applyNumberFormat="1" applyFont="1" applyBorder="1" applyAlignment="1">
      <alignment horizontal="center"/>
    </xf>
    <xf numFmtId="0" fontId="60" fillId="0" borderId="58" xfId="0" applyFont="1" applyBorder="1" applyAlignment="1">
      <alignment horizontal="center" vertical="center"/>
    </xf>
    <xf numFmtId="171" fontId="7" fillId="0" borderId="10" xfId="61" applyNumberFormat="1" applyFont="1" applyBorder="1" applyAlignment="1">
      <alignment horizontal="right" vertical="center" wrapText="1"/>
    </xf>
    <xf numFmtId="0" fontId="7" fillId="0" borderId="13" xfId="0" applyFont="1" applyBorder="1" applyAlignment="1">
      <alignment horizontal="left" vertical="center"/>
    </xf>
    <xf numFmtId="0" fontId="7" fillId="0" borderId="13" xfId="0" applyFont="1" applyFill="1" applyBorder="1" applyAlignment="1">
      <alignment vertical="center"/>
    </xf>
    <xf numFmtId="1" fontId="6" fillId="0" borderId="13" xfId="0" applyNumberFormat="1" applyFont="1" applyBorder="1" applyAlignment="1">
      <alignment horizontal="right" vertical="center" wrapText="1"/>
    </xf>
    <xf numFmtId="0" fontId="6" fillId="0" borderId="13" xfId="0" applyFont="1" applyBorder="1" applyAlignment="1">
      <alignment horizontal="right" vertical="center" wrapText="1"/>
    </xf>
    <xf numFmtId="0" fontId="6" fillId="0" borderId="13" xfId="0" applyFont="1" applyBorder="1" applyAlignment="1">
      <alignment horizontal="right" vertical="center"/>
    </xf>
    <xf numFmtId="174" fontId="58" fillId="0" borderId="0" xfId="0" applyNumberFormat="1" applyFont="1" applyBorder="1" applyAlignment="1">
      <alignment horizontal="center" vertical="top"/>
    </xf>
    <xf numFmtId="4" fontId="58" fillId="0" borderId="0" xfId="0" applyNumberFormat="1" applyFont="1" applyFill="1" applyBorder="1" applyAlignment="1">
      <alignment horizontal="left" vertical="top"/>
    </xf>
    <xf numFmtId="174" fontId="7" fillId="0" borderId="59" xfId="0" applyNumberFormat="1" applyFont="1" applyFill="1" applyBorder="1" applyAlignment="1">
      <alignment horizontal="center"/>
    </xf>
    <xf numFmtId="174" fontId="7" fillId="0" borderId="10" xfId="0" applyNumberFormat="1" applyFont="1" applyFill="1" applyBorder="1" applyAlignment="1">
      <alignment horizontal="center" vertical="center"/>
    </xf>
    <xf numFmtId="174" fontId="55" fillId="0" borderId="0" xfId="61" applyNumberFormat="1" applyFont="1" applyBorder="1" applyAlignment="1">
      <alignment horizontal="center"/>
    </xf>
    <xf numFmtId="171" fontId="55"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174" fontId="7" fillId="0" borderId="10" xfId="0" applyNumberFormat="1" applyFont="1" applyFill="1" applyBorder="1" applyAlignment="1">
      <alignment horizontal="right" vertical="center" wrapText="1"/>
    </xf>
    <xf numFmtId="174" fontId="7" fillId="0" borderId="10" xfId="61" applyNumberFormat="1" applyFont="1" applyFill="1" applyBorder="1" applyAlignment="1">
      <alignment horizontal="right" vertical="center"/>
    </xf>
    <xf numFmtId="1" fontId="7" fillId="0" borderId="13" xfId="0" applyNumberFormat="1" applyFont="1" applyBorder="1" applyAlignment="1">
      <alignment horizontal="right" vertical="center" wrapText="1"/>
    </xf>
    <xf numFmtId="174" fontId="55" fillId="0" borderId="0" xfId="0" applyNumberFormat="1" applyFont="1" applyBorder="1" applyAlignment="1" quotePrefix="1">
      <alignment horizontal="center"/>
    </xf>
    <xf numFmtId="0" fontId="61" fillId="0" borderId="0" xfId="0" applyFont="1" applyBorder="1" applyAlignment="1">
      <alignment wrapText="1"/>
    </xf>
    <xf numFmtId="1" fontId="6"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left" vertical="center" wrapText="1"/>
    </xf>
    <xf numFmtId="1" fontId="6" fillId="0" borderId="13" xfId="0" applyNumberFormat="1" applyFont="1" applyFill="1" applyBorder="1" applyAlignment="1">
      <alignment horizontal="right" vertical="center" wrapText="1"/>
    </xf>
    <xf numFmtId="174" fontId="6" fillId="0" borderId="10" xfId="0" applyNumberFormat="1" applyFont="1" applyFill="1" applyBorder="1" applyAlignment="1">
      <alignment horizontal="right" vertical="center" wrapText="1"/>
    </xf>
    <xf numFmtId="172" fontId="60" fillId="0" borderId="54" xfId="0" applyNumberFormat="1" applyFont="1" applyBorder="1" applyAlignment="1">
      <alignment horizontal="center" vertical="center"/>
    </xf>
    <xf numFmtId="172" fontId="2" fillId="0" borderId="10" xfId="0" applyNumberFormat="1" applyFont="1" applyBorder="1" applyAlignment="1">
      <alignment horizontal="center"/>
    </xf>
    <xf numFmtId="0" fontId="7" fillId="0" borderId="60" xfId="0" applyFont="1" applyBorder="1" applyAlignment="1">
      <alignment vertical="top" wrapText="1"/>
    </xf>
    <xf numFmtId="0" fontId="7" fillId="0" borderId="61" xfId="0" applyFont="1" applyBorder="1" applyAlignment="1">
      <alignment vertical="top" wrapText="1"/>
    </xf>
    <xf numFmtId="0" fontId="7" fillId="0" borderId="62" xfId="0" applyFont="1" applyBorder="1" applyAlignment="1">
      <alignment vertical="top" wrapText="1"/>
    </xf>
    <xf numFmtId="0" fontId="5" fillId="0" borderId="0" xfId="0" applyFont="1" applyFill="1" applyBorder="1" applyAlignment="1">
      <alignment horizontal="left" vertical="center"/>
    </xf>
    <xf numFmtId="0" fontId="5" fillId="0" borderId="21" xfId="0" applyFont="1" applyBorder="1" applyAlignment="1">
      <alignment horizontal="center"/>
    </xf>
    <xf numFmtId="0" fontId="5" fillId="0" borderId="11" xfId="0" applyFont="1" applyBorder="1" applyAlignment="1">
      <alignment horizontal="center"/>
    </xf>
    <xf numFmtId="0" fontId="5" fillId="0" borderId="63" xfId="0" applyFont="1" applyBorder="1" applyAlignment="1">
      <alignment horizontal="center"/>
    </xf>
    <xf numFmtId="0" fontId="5" fillId="0" borderId="25" xfId="0" applyFont="1" applyBorder="1" applyAlignment="1">
      <alignment horizontal="center"/>
    </xf>
    <xf numFmtId="4" fontId="7" fillId="0" borderId="60" xfId="0" applyNumberFormat="1" applyFont="1" applyFill="1" applyBorder="1" applyAlignment="1">
      <alignment horizontal="left" vertical="center"/>
    </xf>
    <xf numFmtId="4" fontId="7" fillId="0" borderId="61" xfId="0" applyNumberFormat="1" applyFont="1" applyFill="1" applyBorder="1" applyAlignment="1">
      <alignment horizontal="left" vertical="center"/>
    </xf>
    <xf numFmtId="4" fontId="7" fillId="0" borderId="62" xfId="0" applyNumberFormat="1" applyFont="1" applyFill="1" applyBorder="1" applyAlignment="1">
      <alignment horizontal="left" vertical="center"/>
    </xf>
    <xf numFmtId="4" fontId="7" fillId="0" borderId="60" xfId="0" applyNumberFormat="1" applyFont="1" applyFill="1" applyBorder="1" applyAlignment="1">
      <alignment horizontal="left" vertical="top" wrapText="1"/>
    </xf>
    <xf numFmtId="4" fontId="7" fillId="0" borderId="61" xfId="0" applyNumberFormat="1" applyFont="1" applyFill="1" applyBorder="1" applyAlignment="1">
      <alignment horizontal="left" vertical="top" wrapText="1"/>
    </xf>
    <xf numFmtId="4" fontId="7" fillId="0" borderId="62" xfId="0" applyNumberFormat="1" applyFont="1" applyFill="1" applyBorder="1" applyAlignment="1">
      <alignment horizontal="left" vertical="top" wrapText="1"/>
    </xf>
    <xf numFmtId="4" fontId="6" fillId="0" borderId="0" xfId="0" applyNumberFormat="1" applyFont="1" applyFill="1" applyBorder="1" applyAlignment="1">
      <alignment horizontal="left" vertical="top" wrapText="1"/>
    </xf>
    <xf numFmtId="0" fontId="6" fillId="0" borderId="10" xfId="0" applyFont="1" applyBorder="1" applyAlignment="1">
      <alignment horizontal="center" wrapText="1"/>
    </xf>
    <xf numFmtId="0" fontId="7" fillId="0" borderId="10" xfId="0" applyFont="1" applyBorder="1" applyAlignment="1">
      <alignment horizontal="left" vertical="center"/>
    </xf>
    <xf numFmtId="0" fontId="7" fillId="0" borderId="10" xfId="0" applyFont="1" applyBorder="1" applyAlignment="1">
      <alignment vertical="center"/>
    </xf>
    <xf numFmtId="0" fontId="58" fillId="0" borderId="60" xfId="0" applyFont="1" applyBorder="1" applyAlignment="1">
      <alignment vertical="center" wrapText="1"/>
    </xf>
    <xf numFmtId="0" fontId="58" fillId="0" borderId="61" xfId="0" applyFont="1" applyBorder="1" applyAlignment="1">
      <alignment vertical="center" wrapText="1"/>
    </xf>
    <xf numFmtId="0" fontId="58" fillId="0" borderId="62" xfId="0" applyFont="1" applyBorder="1" applyAlignment="1">
      <alignment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xf>
    <xf numFmtId="0" fontId="62" fillId="0" borderId="10" xfId="0" applyFont="1" applyBorder="1" applyAlignment="1">
      <alignment horizontal="left"/>
    </xf>
    <xf numFmtId="174" fontId="7" fillId="0" borderId="10" xfId="0" applyNumberFormat="1" applyFont="1" applyFill="1" applyBorder="1" applyAlignment="1">
      <alignment horizontal="left" vertical="center"/>
    </xf>
    <xf numFmtId="0" fontId="0" fillId="0" borderId="10" xfId="0" applyFont="1" applyBorder="1" applyAlignment="1">
      <alignment vertical="center"/>
    </xf>
    <xf numFmtId="0" fontId="6" fillId="0" borderId="60" xfId="0" applyFont="1" applyBorder="1" applyAlignment="1">
      <alignment horizontal="left"/>
    </xf>
    <xf numFmtId="0" fontId="6" fillId="0" borderId="61" xfId="0" applyFont="1"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7" fillId="0" borderId="10" xfId="0" applyFont="1" applyBorder="1" applyAlignment="1">
      <alignment vertical="center" wrapText="1"/>
    </xf>
    <xf numFmtId="0" fontId="6" fillId="0" borderId="10" xfId="0" applyFont="1" applyBorder="1" applyAlignment="1">
      <alignment vertical="center"/>
    </xf>
    <xf numFmtId="0" fontId="5" fillId="0" borderId="11" xfId="0" applyFont="1" applyBorder="1" applyAlignment="1">
      <alignment horizontal="left" vertical="center"/>
    </xf>
    <xf numFmtId="0" fontId="5" fillId="0" borderId="63" xfId="0" applyFont="1" applyBorder="1" applyAlignment="1">
      <alignment horizontal="left" vertical="center"/>
    </xf>
    <xf numFmtId="0" fontId="5" fillId="0" borderId="25" xfId="0" applyFont="1" applyBorder="1" applyAlignment="1">
      <alignment horizontal="left" vertical="center"/>
    </xf>
    <xf numFmtId="174" fontId="8" fillId="0" borderId="10" xfId="61" applyNumberFormat="1"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left" vertical="center"/>
    </xf>
    <xf numFmtId="0" fontId="0" fillId="0" borderId="10" xfId="0" applyBorder="1" applyAlignment="1">
      <alignment horizontal="left"/>
    </xf>
    <xf numFmtId="0" fontId="62" fillId="0" borderId="11" xfId="0" applyFont="1" applyBorder="1" applyAlignment="1">
      <alignment horizontal="left"/>
    </xf>
    <xf numFmtId="0" fontId="62" fillId="0" borderId="25" xfId="0" applyFont="1" applyBorder="1" applyAlignment="1">
      <alignment horizontal="left"/>
    </xf>
    <xf numFmtId="0" fontId="5" fillId="0" borderId="10" xfId="0" applyFont="1" applyBorder="1" applyAlignment="1">
      <alignment horizontal="center" vertical="center"/>
    </xf>
    <xf numFmtId="0" fontId="5" fillId="0" borderId="10" xfId="0" applyFont="1" applyBorder="1" applyAlignment="1">
      <alignment horizontal="left"/>
    </xf>
    <xf numFmtId="0" fontId="5" fillId="0" borderId="0" xfId="0" applyFont="1" applyBorder="1" applyAlignment="1">
      <alignment horizontal="left"/>
    </xf>
    <xf numFmtId="1" fontId="58" fillId="0" borderId="0" xfId="0" applyNumberFormat="1"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PageLayoutView="0" workbookViewId="0" topLeftCell="A1">
      <selection activeCell="N19" sqref="N19:N20"/>
    </sheetView>
  </sheetViews>
  <sheetFormatPr defaultColWidth="9.140625" defaultRowHeight="12.75"/>
  <cols>
    <col min="1" max="1" width="21.00390625" style="0" customWidth="1"/>
    <col min="2" max="3" width="15.7109375" style="0" customWidth="1"/>
    <col min="4" max="5" width="12.7109375" style="0" customWidth="1"/>
    <col min="6" max="6" width="14.7109375" style="0" customWidth="1"/>
    <col min="7" max="8" width="12.7109375" style="0" customWidth="1"/>
    <col min="9" max="19" width="15.7109375" style="0" customWidth="1"/>
  </cols>
  <sheetData>
    <row r="1" spans="1:12" ht="18">
      <c r="A1" s="243" t="s">
        <v>208</v>
      </c>
      <c r="B1" s="243"/>
      <c r="C1" s="243"/>
      <c r="D1" s="243"/>
      <c r="E1" s="243"/>
      <c r="F1" s="243"/>
      <c r="G1" s="243"/>
      <c r="H1" s="243"/>
      <c r="I1" s="243"/>
      <c r="J1" s="243"/>
      <c r="K1" s="179">
        <v>42398</v>
      </c>
      <c r="L1" s="1"/>
    </row>
    <row r="2" spans="1:12" ht="18">
      <c r="A2" s="121" t="s">
        <v>156</v>
      </c>
      <c r="B2" s="121"/>
      <c r="C2" s="121"/>
      <c r="D2" s="121"/>
      <c r="E2" s="121"/>
      <c r="F2" s="121"/>
      <c r="G2" s="121"/>
      <c r="H2" s="121"/>
      <c r="I2" s="121"/>
      <c r="J2" s="121"/>
      <c r="K2" s="122"/>
      <c r="L2" s="1"/>
    </row>
    <row r="3" spans="1:16" ht="34.5" customHeight="1" thickBot="1">
      <c r="A3" s="284" t="s">
        <v>228</v>
      </c>
      <c r="B3" s="284"/>
      <c r="C3" s="284"/>
      <c r="D3" s="284"/>
      <c r="E3" s="284"/>
      <c r="F3" s="284"/>
      <c r="G3" s="284"/>
      <c r="H3" s="284"/>
      <c r="I3" s="284"/>
      <c r="J3" s="284"/>
      <c r="K3" s="284"/>
      <c r="L3" s="284"/>
      <c r="M3" s="284"/>
      <c r="N3" s="284"/>
      <c r="O3" s="284"/>
      <c r="P3" s="284"/>
    </row>
    <row r="4" spans="1:16" ht="18.75" thickBot="1">
      <c r="A4" s="35"/>
      <c r="B4" s="244"/>
      <c r="C4" s="244"/>
      <c r="D4" s="244"/>
      <c r="E4" s="244"/>
      <c r="F4" s="244"/>
      <c r="G4" s="244"/>
      <c r="H4" s="123"/>
      <c r="I4" s="245" t="s">
        <v>218</v>
      </c>
      <c r="J4" s="246"/>
      <c r="K4" s="246"/>
      <c r="L4" s="246"/>
      <c r="M4" s="246"/>
      <c r="N4" s="246"/>
      <c r="O4" s="246"/>
      <c r="P4" s="247"/>
    </row>
    <row r="5" spans="1:16" ht="95.25" thickBot="1">
      <c r="A5" s="124" t="s">
        <v>157</v>
      </c>
      <c r="B5" s="125" t="s">
        <v>158</v>
      </c>
      <c r="C5" s="126" t="s">
        <v>159</v>
      </c>
      <c r="D5" s="127" t="s">
        <v>160</v>
      </c>
      <c r="E5" s="128" t="s">
        <v>161</v>
      </c>
      <c r="F5" s="128" t="s">
        <v>223</v>
      </c>
      <c r="G5" s="129" t="s">
        <v>216</v>
      </c>
      <c r="H5" s="130" t="s">
        <v>162</v>
      </c>
      <c r="I5" s="131" t="s">
        <v>137</v>
      </c>
      <c r="J5" s="132" t="s">
        <v>163</v>
      </c>
      <c r="K5" s="131" t="s">
        <v>138</v>
      </c>
      <c r="L5" s="132" t="s">
        <v>164</v>
      </c>
      <c r="M5" s="131" t="s">
        <v>139</v>
      </c>
      <c r="N5" s="132" t="s">
        <v>165</v>
      </c>
      <c r="O5" s="131" t="s">
        <v>140</v>
      </c>
      <c r="P5" s="132" t="s">
        <v>166</v>
      </c>
    </row>
    <row r="6" spans="1:16" ht="19.5" customHeight="1">
      <c r="A6" s="133" t="s">
        <v>167</v>
      </c>
      <c r="B6" s="134">
        <f>'3rd IA Configuration'!B8-'3rd IA Configuration'!C8-'3rd IA Configuration'!J8</f>
        <v>-1066.2920000000086</v>
      </c>
      <c r="C6" s="135">
        <f>'3rd IA Configuration'!B9-'3rd IA Configuration'!C9-'3rd IA Configuration'!J9</f>
        <v>1275.6620414141769</v>
      </c>
      <c r="D6" s="136">
        <f>-2759.3+2759.3</f>
        <v>0</v>
      </c>
      <c r="E6" s="137">
        <f>'Non-Viable DR'!H29</f>
        <v>0</v>
      </c>
      <c r="F6" s="137">
        <v>0</v>
      </c>
      <c r="G6" s="138">
        <f>ROUND(SUM(B6:F6),1)</f>
        <v>209.4</v>
      </c>
      <c r="H6" s="139" t="s">
        <v>168</v>
      </c>
      <c r="I6" s="140">
        <v>0</v>
      </c>
      <c r="J6" s="141">
        <v>0</v>
      </c>
      <c r="K6" s="140">
        <f>G6</f>
        <v>209.4</v>
      </c>
      <c r="L6" s="141">
        <v>0</v>
      </c>
      <c r="M6" s="142" t="s">
        <v>169</v>
      </c>
      <c r="N6" s="143" t="s">
        <v>169</v>
      </c>
      <c r="O6" s="140" t="s">
        <v>169</v>
      </c>
      <c r="P6" s="141" t="s">
        <v>169</v>
      </c>
    </row>
    <row r="7" spans="1:16" ht="19.5" customHeight="1">
      <c r="A7" s="144" t="s">
        <v>170</v>
      </c>
      <c r="B7" s="145">
        <f>'3rd IA Configuration'!C8-'3rd IA Configuration'!D8-'3rd IA Configuration'!E8</f>
        <v>-1078.1080000000093</v>
      </c>
      <c r="C7" s="146">
        <f>'3rd IA Configuration'!C9-'3rd IA Configuration'!D9-'3rd IA Configuration'!E9</f>
        <v>223.92228876525272</v>
      </c>
      <c r="D7" s="147">
        <f>-168.7+168.7</f>
        <v>0</v>
      </c>
      <c r="E7" s="148">
        <f>'Non-Viable DR'!H30</f>
        <v>0</v>
      </c>
      <c r="F7" s="148">
        <v>0</v>
      </c>
      <c r="G7" s="149">
        <f>ROUND(SUM(B7:F7),1)</f>
        <v>-854.2</v>
      </c>
      <c r="H7" s="150" t="s">
        <v>172</v>
      </c>
      <c r="I7" s="142">
        <v>0</v>
      </c>
      <c r="J7" s="143">
        <v>0</v>
      </c>
      <c r="K7" s="142">
        <v>804.2</v>
      </c>
      <c r="L7" s="143">
        <v>0</v>
      </c>
      <c r="M7" s="142">
        <v>804.2</v>
      </c>
      <c r="N7" s="143">
        <v>55.51</v>
      </c>
      <c r="O7" s="142">
        <f>-G7</f>
        <v>854.2</v>
      </c>
      <c r="P7" s="143">
        <v>60.33</v>
      </c>
    </row>
    <row r="8" spans="1:16" ht="19.5" customHeight="1">
      <c r="A8" s="144" t="s">
        <v>171</v>
      </c>
      <c r="B8" s="151">
        <f>'3rd IA Configuration'!D8-'3rd IA Configuration'!F8-'3rd IA Configuration'!H8</f>
        <v>-527.8600000000033</v>
      </c>
      <c r="C8" s="146">
        <f>'3rd IA Configuration'!D9-'3rd IA Configuration'!F9-'3rd IA Configuration'!H9</f>
        <v>331.31766209527854</v>
      </c>
      <c r="D8" s="147">
        <f>-630.1+630.1</f>
        <v>0</v>
      </c>
      <c r="E8" s="148">
        <f>'Non-Viable DR'!H31</f>
        <v>0</v>
      </c>
      <c r="F8" s="148">
        <v>0</v>
      </c>
      <c r="G8" s="149">
        <f aca="true" t="shared" si="0" ref="G8:G14">ROUND(SUM(B8:F8),1)</f>
        <v>-196.5</v>
      </c>
      <c r="H8" s="150" t="s">
        <v>172</v>
      </c>
      <c r="I8" s="142">
        <v>0</v>
      </c>
      <c r="J8" s="143">
        <v>0</v>
      </c>
      <c r="K8" s="142">
        <f>-G8</f>
        <v>196.5</v>
      </c>
      <c r="L8" s="143">
        <v>0</v>
      </c>
      <c r="M8" s="142" t="s">
        <v>169</v>
      </c>
      <c r="N8" s="143" t="s">
        <v>169</v>
      </c>
      <c r="O8" s="142" t="s">
        <v>169</v>
      </c>
      <c r="P8" s="143" t="s">
        <v>169</v>
      </c>
    </row>
    <row r="9" spans="1:16" ht="19.5" customHeight="1">
      <c r="A9" s="144" t="s">
        <v>173</v>
      </c>
      <c r="B9" s="145">
        <f>'3rd IA Configuration'!E8-'3rd IA Configuration'!I8</f>
        <v>-42.891999999998006</v>
      </c>
      <c r="C9" s="146">
        <f>'3rd IA Configuration'!E9-'3rd IA Configuration'!I9</f>
        <v>119.18101515527361</v>
      </c>
      <c r="D9" s="147">
        <f>-183+183</f>
        <v>0</v>
      </c>
      <c r="E9" s="148">
        <f>'Non-Viable DR'!H32</f>
        <v>0</v>
      </c>
      <c r="F9" s="148">
        <v>0</v>
      </c>
      <c r="G9" s="149">
        <f t="shared" si="0"/>
        <v>76.3</v>
      </c>
      <c r="H9" s="150" t="s">
        <v>168</v>
      </c>
      <c r="I9" s="142">
        <v>0</v>
      </c>
      <c r="J9" s="143">
        <v>125.49</v>
      </c>
      <c r="K9" s="142">
        <f>G9</f>
        <v>76.3</v>
      </c>
      <c r="L9" s="143">
        <v>94.82</v>
      </c>
      <c r="M9" s="142" t="s">
        <v>169</v>
      </c>
      <c r="N9" s="143" t="s">
        <v>169</v>
      </c>
      <c r="O9" s="142" t="s">
        <v>169</v>
      </c>
      <c r="P9" s="143" t="s">
        <v>169</v>
      </c>
    </row>
    <row r="10" spans="1:16" ht="19.5" customHeight="1">
      <c r="A10" s="144" t="s">
        <v>174</v>
      </c>
      <c r="B10" s="151">
        <f>'3rd IA Configuration'!F8-'3rd IA Configuration'!G8</f>
        <v>-174.91999999999916</v>
      </c>
      <c r="C10" s="146">
        <f>'3rd IA Configuration'!F9-'3rd IA Configuration'!G9</f>
        <v>89.27129002917654</v>
      </c>
      <c r="D10" s="147">
        <f>-239.2+43.8</f>
        <v>-195.39999999999998</v>
      </c>
      <c r="E10" s="148">
        <f>'Non-Viable DR'!H33</f>
        <v>8.6</v>
      </c>
      <c r="F10" s="148">
        <v>0</v>
      </c>
      <c r="G10" s="149">
        <f t="shared" si="0"/>
        <v>-272.4</v>
      </c>
      <c r="H10" s="150" t="s">
        <v>172</v>
      </c>
      <c r="I10" s="142">
        <v>0</v>
      </c>
      <c r="J10" s="143">
        <v>0</v>
      </c>
      <c r="K10" s="142">
        <v>7.9</v>
      </c>
      <c r="L10" s="143">
        <v>0</v>
      </c>
      <c r="M10" s="142">
        <v>7.9</v>
      </c>
      <c r="N10" s="143">
        <v>66.14</v>
      </c>
      <c r="O10" s="142">
        <f>-G10</f>
        <v>272.4</v>
      </c>
      <c r="P10" s="143">
        <v>232.6</v>
      </c>
    </row>
    <row r="11" spans="1:16" ht="19.5" customHeight="1">
      <c r="A11" s="144" t="s">
        <v>45</v>
      </c>
      <c r="B11" s="145">
        <f>'3rd IA Configuration'!G8</f>
        <v>-44.47199999999884</v>
      </c>
      <c r="C11" s="146">
        <f>'3rd IA Configuration'!G9</f>
        <v>84.0710207070886</v>
      </c>
      <c r="D11" s="147">
        <f>14-14</f>
        <v>0</v>
      </c>
      <c r="E11" s="148">
        <f>'Non-Viable DR'!H34</f>
        <v>3.2</v>
      </c>
      <c r="F11" s="148">
        <v>0</v>
      </c>
      <c r="G11" s="149">
        <f t="shared" si="0"/>
        <v>42.8</v>
      </c>
      <c r="H11" s="150" t="s">
        <v>168</v>
      </c>
      <c r="I11" s="142">
        <v>0</v>
      </c>
      <c r="J11" s="143">
        <v>262.03</v>
      </c>
      <c r="K11" s="142">
        <f>G11</f>
        <v>42.8</v>
      </c>
      <c r="L11" s="143">
        <v>210.37</v>
      </c>
      <c r="M11" s="142" t="s">
        <v>169</v>
      </c>
      <c r="N11" s="143" t="s">
        <v>169</v>
      </c>
      <c r="O11" s="142" t="s">
        <v>169</v>
      </c>
      <c r="P11" s="143" t="s">
        <v>169</v>
      </c>
    </row>
    <row r="12" spans="1:16" ht="19.5" customHeight="1">
      <c r="A12" s="152" t="s">
        <v>46</v>
      </c>
      <c r="B12" s="153">
        <f>'3rd IA Configuration'!H8</f>
        <v>-71.53999999999996</v>
      </c>
      <c r="C12" s="146">
        <f>'3rd IA Configuration'!H9</f>
        <v>39.88017860306885</v>
      </c>
      <c r="D12" s="147">
        <f>-101.6+84.9</f>
        <v>-16.69999999999999</v>
      </c>
      <c r="E12" s="148">
        <f>'Non-Viable DR'!H35</f>
        <v>0</v>
      </c>
      <c r="F12" s="148">
        <v>0</v>
      </c>
      <c r="G12" s="149">
        <f t="shared" si="0"/>
        <v>-48.4</v>
      </c>
      <c r="H12" s="150" t="s">
        <v>172</v>
      </c>
      <c r="I12" s="142">
        <v>0</v>
      </c>
      <c r="J12" s="143">
        <v>0</v>
      </c>
      <c r="K12" s="142">
        <v>33.8</v>
      </c>
      <c r="L12" s="143">
        <v>0</v>
      </c>
      <c r="M12" s="142">
        <v>33.8</v>
      </c>
      <c r="N12" s="143">
        <v>66.14</v>
      </c>
      <c r="O12" s="142">
        <f>-G12</f>
        <v>48.4</v>
      </c>
      <c r="P12" s="154">
        <v>103.5</v>
      </c>
    </row>
    <row r="13" spans="1:16" ht="19.5" customHeight="1">
      <c r="A13" s="155" t="s">
        <v>7</v>
      </c>
      <c r="B13" s="156">
        <f>'3rd IA Configuration'!I8</f>
        <v>-85.46800000000076</v>
      </c>
      <c r="C13" s="157">
        <f>'3rd IA Configuration'!I9</f>
        <v>111.20072764213235</v>
      </c>
      <c r="D13" s="158">
        <f>-320.4+278.5</f>
        <v>-41.89999999999998</v>
      </c>
      <c r="E13" s="148">
        <f>'Non-Viable DR'!H36</f>
        <v>0</v>
      </c>
      <c r="F13" s="148">
        <v>0</v>
      </c>
      <c r="G13" s="149">
        <f t="shared" si="0"/>
        <v>-16.2</v>
      </c>
      <c r="H13" s="150" t="s">
        <v>172</v>
      </c>
      <c r="I13" s="142">
        <v>0</v>
      </c>
      <c r="J13" s="143">
        <v>86.53</v>
      </c>
      <c r="K13" s="142">
        <f>-G13</f>
        <v>16.2</v>
      </c>
      <c r="L13" s="143">
        <v>99.15</v>
      </c>
      <c r="M13" s="142" t="s">
        <v>169</v>
      </c>
      <c r="N13" s="143" t="s">
        <v>169</v>
      </c>
      <c r="O13" s="142" t="s">
        <v>169</v>
      </c>
      <c r="P13" s="143" t="s">
        <v>169</v>
      </c>
    </row>
    <row r="14" spans="1:16" ht="19.5" customHeight="1">
      <c r="A14" s="155" t="s">
        <v>180</v>
      </c>
      <c r="B14" s="156">
        <f>'3rd IA Configuration'!J8-'3rd IA Configuration'!K8</f>
        <v>38.48800000000119</v>
      </c>
      <c r="C14" s="157">
        <f>'3rd IA Configuration'!J9-'3rd IA Configuration'!K9</f>
        <v>142.80626386477195</v>
      </c>
      <c r="D14" s="158">
        <f>-109.5+109.5</f>
        <v>0</v>
      </c>
      <c r="E14" s="148">
        <f>'Non-Viable DR'!H37</f>
        <v>0</v>
      </c>
      <c r="F14" s="224">
        <v>0</v>
      </c>
      <c r="G14" s="149">
        <f t="shared" si="0"/>
        <v>181.3</v>
      </c>
      <c r="H14" s="150" t="s">
        <v>168</v>
      </c>
      <c r="I14" s="159">
        <v>0</v>
      </c>
      <c r="J14" s="154">
        <v>88.81</v>
      </c>
      <c r="K14" s="159">
        <v>29.9</v>
      </c>
      <c r="L14" s="154">
        <v>72.7</v>
      </c>
      <c r="M14" s="142">
        <v>29.9</v>
      </c>
      <c r="N14" s="143">
        <v>0</v>
      </c>
      <c r="O14" s="142">
        <f>G14</f>
        <v>181.3</v>
      </c>
      <c r="P14" s="143">
        <v>0</v>
      </c>
    </row>
    <row r="15" spans="1:16" ht="19.5" customHeight="1" thickBot="1">
      <c r="A15" s="160" t="s">
        <v>88</v>
      </c>
      <c r="B15" s="161">
        <f>'3rd IA Configuration'!K8</f>
        <v>-239.8719999999994</v>
      </c>
      <c r="C15" s="162">
        <f>'3rd IA Configuration'!K9</f>
        <v>74.60751172377948</v>
      </c>
      <c r="D15" s="163">
        <f>-49.9+49.9</f>
        <v>0</v>
      </c>
      <c r="E15" s="164">
        <f>'Non-Viable DR'!H38</f>
        <v>0</v>
      </c>
      <c r="F15" s="164">
        <v>0</v>
      </c>
      <c r="G15" s="165">
        <f>ROUND(SUM(B15:F15),1)</f>
        <v>-165.3</v>
      </c>
      <c r="H15" s="166" t="s">
        <v>172</v>
      </c>
      <c r="I15" s="167">
        <v>0</v>
      </c>
      <c r="J15" s="168">
        <v>0</v>
      </c>
      <c r="K15" s="167">
        <v>160.3</v>
      </c>
      <c r="L15" s="168">
        <v>0</v>
      </c>
      <c r="M15" s="167">
        <v>160.3</v>
      </c>
      <c r="N15" s="168">
        <v>72.7</v>
      </c>
      <c r="O15" s="167">
        <f>-G15</f>
        <v>165.3</v>
      </c>
      <c r="P15" s="168">
        <v>79.81</v>
      </c>
    </row>
    <row r="16" spans="1:11" ht="19.5" customHeight="1">
      <c r="A16" s="169" t="s">
        <v>175</v>
      </c>
      <c r="B16" s="170">
        <f aca="true" t="shared" si="1" ref="B16:G16">SUM(B6:B15)</f>
        <v>-3292.936000000016</v>
      </c>
      <c r="C16" s="171">
        <f t="shared" si="1"/>
        <v>2491.92</v>
      </c>
      <c r="D16" s="171">
        <f t="shared" si="1"/>
        <v>-253.99999999999994</v>
      </c>
      <c r="E16" s="171">
        <f t="shared" si="1"/>
        <v>11.8</v>
      </c>
      <c r="F16" s="170">
        <f t="shared" si="1"/>
        <v>0</v>
      </c>
      <c r="G16" s="171">
        <f t="shared" si="1"/>
        <v>-1043.2000000000003</v>
      </c>
      <c r="H16" s="171"/>
      <c r="I16" s="1"/>
      <c r="J16" s="1"/>
      <c r="K16" s="1"/>
    </row>
    <row r="17" spans="1:11" ht="19.5" customHeight="1">
      <c r="A17" s="169"/>
      <c r="B17" s="226" t="s">
        <v>12</v>
      </c>
      <c r="C17" s="222" t="s">
        <v>12</v>
      </c>
      <c r="D17" s="222" t="s">
        <v>12</v>
      </c>
      <c r="E17" s="232" t="s">
        <v>12</v>
      </c>
      <c r="F17" s="222" t="s">
        <v>12</v>
      </c>
      <c r="G17" s="171"/>
      <c r="H17" s="171"/>
      <c r="I17" s="1"/>
      <c r="J17" s="1"/>
      <c r="K17" s="1"/>
    </row>
    <row r="18" spans="1:13" ht="30" customHeight="1">
      <c r="A18" s="251" t="s">
        <v>210</v>
      </c>
      <c r="B18" s="252"/>
      <c r="C18" s="252"/>
      <c r="D18" s="252"/>
      <c r="E18" s="252"/>
      <c r="F18" s="252"/>
      <c r="G18" s="252"/>
      <c r="H18" s="252"/>
      <c r="I18" s="252"/>
      <c r="J18" s="252"/>
      <c r="K18" s="252"/>
      <c r="L18" s="253"/>
      <c r="M18" s="223" t="s">
        <v>12</v>
      </c>
    </row>
    <row r="19" spans="1:13" ht="19.5" customHeight="1">
      <c r="A19" s="251" t="s">
        <v>224</v>
      </c>
      <c r="B19" s="252"/>
      <c r="C19" s="252"/>
      <c r="D19" s="252"/>
      <c r="E19" s="252"/>
      <c r="F19" s="252"/>
      <c r="G19" s="252"/>
      <c r="H19" s="252"/>
      <c r="I19" s="252"/>
      <c r="J19" s="252"/>
      <c r="K19" s="252"/>
      <c r="L19" s="253"/>
      <c r="M19" s="223"/>
    </row>
    <row r="20" spans="1:12" ht="19.5" customHeight="1">
      <c r="A20" s="248" t="s">
        <v>229</v>
      </c>
      <c r="B20" s="249"/>
      <c r="C20" s="249"/>
      <c r="D20" s="249"/>
      <c r="E20" s="249"/>
      <c r="F20" s="249"/>
      <c r="G20" s="249"/>
      <c r="H20" s="249"/>
      <c r="I20" s="249"/>
      <c r="J20" s="249"/>
      <c r="K20" s="249"/>
      <c r="L20" s="250"/>
    </row>
    <row r="21" spans="1:12" ht="54.75" customHeight="1">
      <c r="A21" s="240" t="s">
        <v>217</v>
      </c>
      <c r="B21" s="241"/>
      <c r="C21" s="241"/>
      <c r="D21" s="241"/>
      <c r="E21" s="241"/>
      <c r="F21" s="241"/>
      <c r="G21" s="241"/>
      <c r="H21" s="241"/>
      <c r="I21" s="241"/>
      <c r="J21" s="241"/>
      <c r="K21" s="241"/>
      <c r="L21" s="242"/>
    </row>
  </sheetData>
  <sheetProtection/>
  <mergeCells count="8">
    <mergeCell ref="A21:L21"/>
    <mergeCell ref="A1:J1"/>
    <mergeCell ref="B4:G4"/>
    <mergeCell ref="I4:P4"/>
    <mergeCell ref="A20:L20"/>
    <mergeCell ref="A18:L18"/>
    <mergeCell ref="A19:L19"/>
    <mergeCell ref="A3:P3"/>
  </mergeCells>
  <printOptions/>
  <pageMargins left="0.45" right="0.45" top="0.5" bottom="0.5" header="0.3" footer="0.3"/>
  <pageSetup fitToHeight="1" fitToWidth="1" horizontalDpi="600" verticalDpi="600" orientation="landscape" scale="53" r:id="rId1"/>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1" sqref="A1:I1"/>
    </sheetView>
  </sheetViews>
  <sheetFormatPr defaultColWidth="9.140625" defaultRowHeight="12.75"/>
  <cols>
    <col min="1" max="9" width="15.7109375" style="0" customWidth="1"/>
  </cols>
  <sheetData>
    <row r="1" spans="1:10" ht="30" customHeight="1">
      <c r="A1" s="254" t="s">
        <v>209</v>
      </c>
      <c r="B1" s="254"/>
      <c r="C1" s="254"/>
      <c r="D1" s="254"/>
      <c r="E1" s="254"/>
      <c r="F1" s="254"/>
      <c r="G1" s="254"/>
      <c r="H1" s="254"/>
      <c r="I1" s="254"/>
      <c r="J1" s="183"/>
    </row>
    <row r="2" spans="1:10" ht="16.5" thickBot="1">
      <c r="A2" s="183"/>
      <c r="B2" s="183"/>
      <c r="C2" s="184"/>
      <c r="D2" s="184"/>
      <c r="E2" s="184"/>
      <c r="F2" s="184"/>
      <c r="G2" s="184"/>
      <c r="H2" s="184"/>
      <c r="I2" s="184"/>
      <c r="J2" s="184"/>
    </row>
    <row r="3" spans="1:8" ht="30">
      <c r="A3" s="185" t="s">
        <v>186</v>
      </c>
      <c r="B3" s="186" t="s">
        <v>192</v>
      </c>
      <c r="C3" s="186" t="s">
        <v>193</v>
      </c>
      <c r="D3" s="187" t="s">
        <v>142</v>
      </c>
      <c r="E3" s="212"/>
      <c r="F3" s="188" t="s">
        <v>12</v>
      </c>
      <c r="G3" s="233" t="s">
        <v>12</v>
      </c>
      <c r="H3" s="190" t="s">
        <v>12</v>
      </c>
    </row>
    <row r="4" spans="1:8" ht="15">
      <c r="A4" s="191" t="s">
        <v>2</v>
      </c>
      <c r="B4" s="192">
        <v>0</v>
      </c>
      <c r="C4" s="192">
        <v>0</v>
      </c>
      <c r="D4" s="193">
        <v>0</v>
      </c>
      <c r="E4" s="213"/>
      <c r="F4" s="188"/>
      <c r="G4" s="189"/>
      <c r="H4" s="190"/>
    </row>
    <row r="5" spans="1:8" ht="15">
      <c r="A5" s="194" t="s">
        <v>59</v>
      </c>
      <c r="B5" s="192">
        <v>0</v>
      </c>
      <c r="C5" s="192">
        <v>0</v>
      </c>
      <c r="D5" s="193">
        <v>0</v>
      </c>
      <c r="E5" s="213"/>
      <c r="F5" s="14" t="s">
        <v>12</v>
      </c>
      <c r="G5" s="35"/>
      <c r="H5" s="195"/>
    </row>
    <row r="6" spans="1:8" ht="15">
      <c r="A6" s="194" t="s">
        <v>0</v>
      </c>
      <c r="B6" s="192">
        <v>0</v>
      </c>
      <c r="C6" s="192">
        <v>0</v>
      </c>
      <c r="D6" s="193">
        <v>0</v>
      </c>
      <c r="E6" s="213"/>
      <c r="F6" s="14" t="s">
        <v>12</v>
      </c>
      <c r="G6" s="35"/>
      <c r="H6" s="195"/>
    </row>
    <row r="7" spans="1:8" ht="15">
      <c r="A7" s="194" t="s">
        <v>56</v>
      </c>
      <c r="B7" s="192">
        <v>0</v>
      </c>
      <c r="C7" s="192">
        <v>0</v>
      </c>
      <c r="D7" s="193">
        <v>0</v>
      </c>
      <c r="E7" s="213"/>
      <c r="F7" s="14"/>
      <c r="G7" s="35"/>
      <c r="H7" s="195"/>
    </row>
    <row r="8" spans="1:8" ht="15">
      <c r="A8" s="194" t="s">
        <v>179</v>
      </c>
      <c r="B8" s="192">
        <v>0</v>
      </c>
      <c r="C8" s="192">
        <v>0</v>
      </c>
      <c r="D8" s="193">
        <v>0</v>
      </c>
      <c r="E8" s="213"/>
      <c r="F8" s="14"/>
      <c r="G8" s="35"/>
      <c r="H8" s="195"/>
    </row>
    <row r="9" spans="1:8" ht="15">
      <c r="A9" s="194" t="s">
        <v>3</v>
      </c>
      <c r="B9" s="192">
        <v>0</v>
      </c>
      <c r="C9" s="192">
        <v>0</v>
      </c>
      <c r="D9" s="193">
        <v>0</v>
      </c>
      <c r="E9" s="213"/>
      <c r="F9" s="14" t="s">
        <v>12</v>
      </c>
      <c r="G9" s="35"/>
      <c r="H9" s="195"/>
    </row>
    <row r="10" spans="1:8" ht="15">
      <c r="A10" s="106" t="s">
        <v>18</v>
      </c>
      <c r="B10" s="192">
        <v>0</v>
      </c>
      <c r="C10" s="192">
        <v>0</v>
      </c>
      <c r="D10" s="193">
        <v>0</v>
      </c>
      <c r="E10" s="213"/>
      <c r="F10" s="195"/>
      <c r="G10" s="195"/>
      <c r="H10" s="195"/>
    </row>
    <row r="11" spans="1:8" ht="15">
      <c r="A11" s="194" t="s">
        <v>19</v>
      </c>
      <c r="B11" s="192">
        <v>0</v>
      </c>
      <c r="C11" s="192">
        <v>0</v>
      </c>
      <c r="D11" s="193">
        <v>0</v>
      </c>
      <c r="E11" s="213"/>
      <c r="F11" s="14" t="s">
        <v>12</v>
      </c>
      <c r="G11" s="35"/>
      <c r="H11" s="195"/>
    </row>
    <row r="12" spans="1:8" ht="15">
      <c r="A12" s="106" t="s">
        <v>79</v>
      </c>
      <c r="B12" s="192">
        <v>0</v>
      </c>
      <c r="C12" s="192">
        <v>0</v>
      </c>
      <c r="D12" s="193">
        <v>0</v>
      </c>
      <c r="E12" s="213"/>
      <c r="F12" s="195" t="s">
        <v>12</v>
      </c>
      <c r="G12" s="35"/>
      <c r="H12" s="195"/>
    </row>
    <row r="13" spans="1:8" ht="15">
      <c r="A13" s="194" t="s">
        <v>4</v>
      </c>
      <c r="B13" s="192">
        <v>0</v>
      </c>
      <c r="C13" s="192">
        <v>0</v>
      </c>
      <c r="D13" s="193">
        <v>0</v>
      </c>
      <c r="E13" s="213"/>
      <c r="F13" s="14" t="s">
        <v>12</v>
      </c>
      <c r="G13" s="35"/>
      <c r="H13" s="195"/>
    </row>
    <row r="14" spans="1:8" ht="15">
      <c r="A14" s="194" t="s">
        <v>20</v>
      </c>
      <c r="B14" s="192">
        <v>0</v>
      </c>
      <c r="C14" s="192">
        <v>0</v>
      </c>
      <c r="D14" s="193">
        <v>0</v>
      </c>
      <c r="E14" s="213"/>
      <c r="F14" s="14" t="s">
        <v>12</v>
      </c>
      <c r="G14" s="35"/>
      <c r="H14" s="195"/>
    </row>
    <row r="15" spans="1:8" ht="15">
      <c r="A15" s="106" t="s">
        <v>1</v>
      </c>
      <c r="B15" s="192">
        <v>0</v>
      </c>
      <c r="C15" s="192">
        <v>0</v>
      </c>
      <c r="D15" s="193">
        <v>0</v>
      </c>
      <c r="E15" s="213"/>
      <c r="F15" s="14" t="s">
        <v>12</v>
      </c>
      <c r="G15" s="35"/>
      <c r="H15" s="195"/>
    </row>
    <row r="16" spans="1:8" ht="15">
      <c r="A16" s="106" t="s">
        <v>146</v>
      </c>
      <c r="B16" s="192">
        <v>0</v>
      </c>
      <c r="C16" s="192">
        <v>0</v>
      </c>
      <c r="D16" s="193">
        <v>0</v>
      </c>
      <c r="E16" s="213"/>
      <c r="F16" s="14" t="s">
        <v>12</v>
      </c>
      <c r="G16" s="35"/>
      <c r="H16" s="195"/>
    </row>
    <row r="17" spans="1:8" ht="15">
      <c r="A17" s="106" t="s">
        <v>5</v>
      </c>
      <c r="B17" s="192">
        <v>0</v>
      </c>
      <c r="C17" s="192">
        <v>0</v>
      </c>
      <c r="D17" s="193">
        <v>0</v>
      </c>
      <c r="E17" s="213"/>
      <c r="F17" s="14" t="s">
        <v>12</v>
      </c>
      <c r="G17" s="35"/>
      <c r="H17" s="195"/>
    </row>
    <row r="18" spans="1:8" ht="15">
      <c r="A18" s="106" t="s">
        <v>21</v>
      </c>
      <c r="B18" s="192">
        <v>0</v>
      </c>
      <c r="C18" s="192">
        <v>0</v>
      </c>
      <c r="D18" s="193">
        <v>0</v>
      </c>
      <c r="E18" s="213"/>
      <c r="F18" s="14"/>
      <c r="G18" s="35"/>
      <c r="H18" s="195"/>
    </row>
    <row r="19" spans="1:8" ht="15">
      <c r="A19" s="106" t="s">
        <v>6</v>
      </c>
      <c r="B19" s="192">
        <v>0</v>
      </c>
      <c r="C19" s="192">
        <v>0</v>
      </c>
      <c r="D19" s="193">
        <v>0</v>
      </c>
      <c r="E19" s="213"/>
      <c r="F19" s="14"/>
      <c r="G19" s="35"/>
      <c r="H19" s="195"/>
    </row>
    <row r="20" spans="1:8" ht="15">
      <c r="A20" s="106" t="s">
        <v>187</v>
      </c>
      <c r="B20" s="192">
        <v>0</v>
      </c>
      <c r="C20" s="192">
        <v>0</v>
      </c>
      <c r="D20" s="193">
        <v>0</v>
      </c>
      <c r="E20" s="213"/>
      <c r="F20" s="14"/>
      <c r="G20" s="35"/>
      <c r="H20" s="195"/>
    </row>
    <row r="21" spans="1:8" ht="15">
      <c r="A21" s="194" t="s">
        <v>7</v>
      </c>
      <c r="B21" s="192">
        <v>0</v>
      </c>
      <c r="C21" s="192">
        <v>0</v>
      </c>
      <c r="D21" s="193">
        <v>0</v>
      </c>
      <c r="E21" s="213"/>
      <c r="F21" s="14" t="s">
        <v>12</v>
      </c>
      <c r="G21" s="35"/>
      <c r="H21" s="195"/>
    </row>
    <row r="22" spans="1:8" ht="15">
      <c r="A22" s="194" t="s">
        <v>188</v>
      </c>
      <c r="B22" s="192">
        <v>0</v>
      </c>
      <c r="C22" s="192">
        <v>0</v>
      </c>
      <c r="D22" s="193">
        <v>0</v>
      </c>
      <c r="E22" s="213"/>
      <c r="F22" s="14" t="s">
        <v>12</v>
      </c>
      <c r="G22" s="35"/>
      <c r="H22" s="195"/>
    </row>
    <row r="23" spans="1:8" ht="15">
      <c r="A23" s="106" t="s">
        <v>8</v>
      </c>
      <c r="B23" s="192">
        <v>0</v>
      </c>
      <c r="C23" s="192">
        <v>0</v>
      </c>
      <c r="D23" s="238">
        <v>8.6</v>
      </c>
      <c r="E23" s="213"/>
      <c r="F23" s="14" t="s">
        <v>12</v>
      </c>
      <c r="G23" s="35"/>
      <c r="H23" s="195"/>
    </row>
    <row r="24" spans="1:8" ht="15">
      <c r="A24" s="106" t="s">
        <v>147</v>
      </c>
      <c r="B24" s="192">
        <v>0</v>
      </c>
      <c r="C24" s="192">
        <v>0</v>
      </c>
      <c r="D24" s="238">
        <v>3.2</v>
      </c>
      <c r="E24" s="213"/>
      <c r="F24" s="14" t="s">
        <v>12</v>
      </c>
      <c r="G24" s="35"/>
      <c r="H24" s="195"/>
    </row>
    <row r="25" spans="1:8" ht="15">
      <c r="A25" s="181" t="s">
        <v>39</v>
      </c>
      <c r="B25" s="192">
        <v>0</v>
      </c>
      <c r="C25" s="192">
        <v>0</v>
      </c>
      <c r="D25" s="193">
        <v>0</v>
      </c>
      <c r="E25" s="213"/>
      <c r="F25" s="14"/>
      <c r="G25" s="35"/>
      <c r="H25" s="195"/>
    </row>
    <row r="26" spans="1:8" ht="15.75" thickBot="1">
      <c r="A26" s="196" t="s">
        <v>141</v>
      </c>
      <c r="B26" s="197">
        <f>SUM(B4:B25)</f>
        <v>0</v>
      </c>
      <c r="C26" s="197">
        <f>SUM(C4:C25)</f>
        <v>0</v>
      </c>
      <c r="D26" s="198">
        <f>SUM(D4:D25)</f>
        <v>11.8</v>
      </c>
      <c r="E26" s="214"/>
      <c r="F26" s="195"/>
      <c r="G26" s="199" t="s">
        <v>12</v>
      </c>
      <c r="H26" s="195"/>
    </row>
    <row r="27" spans="1:6" ht="15.75" thickBot="1">
      <c r="A27" s="188"/>
      <c r="B27" s="188"/>
      <c r="C27" s="188"/>
      <c r="D27" s="199"/>
      <c r="E27" s="199"/>
      <c r="F27" s="200"/>
    </row>
    <row r="28" spans="1:9" ht="45">
      <c r="A28" s="201" t="s">
        <v>145</v>
      </c>
      <c r="B28" s="186" t="s">
        <v>192</v>
      </c>
      <c r="C28" s="186" t="s">
        <v>193</v>
      </c>
      <c r="D28" s="215" t="s">
        <v>142</v>
      </c>
      <c r="E28" s="202" t="s">
        <v>195</v>
      </c>
      <c r="F28" s="202" t="s">
        <v>194</v>
      </c>
      <c r="G28" s="202" t="s">
        <v>189</v>
      </c>
      <c r="H28" s="202" t="s">
        <v>190</v>
      </c>
      <c r="I28" s="203" t="s">
        <v>191</v>
      </c>
    </row>
    <row r="29" spans="1:9" ht="15" customHeight="1">
      <c r="A29" s="204" t="s">
        <v>13</v>
      </c>
      <c r="B29" s="205">
        <f>B5+B6+B10+B11+B12+B13+B14</f>
        <v>0</v>
      </c>
      <c r="C29" s="205">
        <f>C5+C6+C10+C11+C12+C13+C14</f>
        <v>0</v>
      </c>
      <c r="D29" s="205">
        <f>D5+D6+D10+D11+D12+D13+D14</f>
        <v>0</v>
      </c>
      <c r="E29" s="205">
        <f>B29+E30+E37</f>
        <v>0</v>
      </c>
      <c r="F29" s="205">
        <f>C29+F30+F37</f>
        <v>0</v>
      </c>
      <c r="G29" s="205">
        <f>D29+G30+G37</f>
        <v>11.8</v>
      </c>
      <c r="H29" s="205">
        <f>B29+C29+D29</f>
        <v>0</v>
      </c>
      <c r="I29" s="206">
        <f>E29+F29+G29</f>
        <v>11.8</v>
      </c>
    </row>
    <row r="30" spans="1:9" ht="15" customHeight="1">
      <c r="A30" s="204" t="s">
        <v>17</v>
      </c>
      <c r="B30" s="205">
        <f>B18+B20+B22</f>
        <v>0</v>
      </c>
      <c r="C30" s="205">
        <f>C18+C20+C22</f>
        <v>0</v>
      </c>
      <c r="D30" s="205">
        <f>D18+D20+D22</f>
        <v>0</v>
      </c>
      <c r="E30" s="205">
        <f>B30+E31+E32</f>
        <v>0</v>
      </c>
      <c r="F30" s="205">
        <f>C30+F31+F32</f>
        <v>0</v>
      </c>
      <c r="G30" s="205">
        <f>D30+G31+G32</f>
        <v>11.8</v>
      </c>
      <c r="H30" s="205">
        <f aca="true" t="shared" si="0" ref="H30:H35">B30+C30+D30</f>
        <v>0</v>
      </c>
      <c r="I30" s="206">
        <f aca="true" t="shared" si="1" ref="I30:I35">E30+F30+G30</f>
        <v>11.8</v>
      </c>
    </row>
    <row r="31" spans="1:9" ht="15" customHeight="1">
      <c r="A31" s="204" t="s">
        <v>16</v>
      </c>
      <c r="B31" s="205">
        <f>B4+B15+B17+B19+B25</f>
        <v>0</v>
      </c>
      <c r="C31" s="205">
        <f>C4+C15+C17+C19+C25</f>
        <v>0</v>
      </c>
      <c r="D31" s="205">
        <f>D4+D15+D17+D19+D25</f>
        <v>0</v>
      </c>
      <c r="E31" s="205">
        <f>B31+E33+E35</f>
        <v>0</v>
      </c>
      <c r="F31" s="205">
        <f>C31+F33+F35</f>
        <v>0</v>
      </c>
      <c r="G31" s="205">
        <f>D31+G33+G35</f>
        <v>11.8</v>
      </c>
      <c r="H31" s="205">
        <f t="shared" si="0"/>
        <v>0</v>
      </c>
      <c r="I31" s="206">
        <f t="shared" si="1"/>
        <v>11.8</v>
      </c>
    </row>
    <row r="32" spans="1:9" ht="15" customHeight="1">
      <c r="A32" s="204" t="s">
        <v>14</v>
      </c>
      <c r="B32" s="205">
        <f>B9</f>
        <v>0</v>
      </c>
      <c r="C32" s="205">
        <f>C9</f>
        <v>0</v>
      </c>
      <c r="D32" s="205">
        <f>D9</f>
        <v>0</v>
      </c>
      <c r="E32" s="205">
        <f>B32+E36</f>
        <v>0</v>
      </c>
      <c r="F32" s="205">
        <f>C32+F36</f>
        <v>0</v>
      </c>
      <c r="G32" s="205">
        <f>D32+G36</f>
        <v>0</v>
      </c>
      <c r="H32" s="205">
        <f t="shared" si="0"/>
        <v>0</v>
      </c>
      <c r="I32" s="206">
        <f t="shared" si="1"/>
        <v>0</v>
      </c>
    </row>
    <row r="33" spans="1:9" ht="15" customHeight="1">
      <c r="A33" s="204" t="s">
        <v>8</v>
      </c>
      <c r="B33" s="205">
        <f aca="true" t="shared" si="2" ref="B33:D34">B23</f>
        <v>0</v>
      </c>
      <c r="C33" s="205">
        <f t="shared" si="2"/>
        <v>0</v>
      </c>
      <c r="D33" s="205">
        <f t="shared" si="2"/>
        <v>8.6</v>
      </c>
      <c r="E33" s="205">
        <f>B33+E34</f>
        <v>0</v>
      </c>
      <c r="F33" s="205">
        <f>C33+F34</f>
        <v>0</v>
      </c>
      <c r="G33" s="205">
        <f>D33+G34</f>
        <v>11.8</v>
      </c>
      <c r="H33" s="239">
        <f>B33+C33+D33</f>
        <v>8.6</v>
      </c>
      <c r="I33" s="206">
        <f t="shared" si="1"/>
        <v>11.8</v>
      </c>
    </row>
    <row r="34" spans="1:9" ht="15" customHeight="1">
      <c r="A34" s="204" t="s">
        <v>147</v>
      </c>
      <c r="B34" s="205">
        <f t="shared" si="2"/>
        <v>0</v>
      </c>
      <c r="C34" s="205">
        <f t="shared" si="2"/>
        <v>0</v>
      </c>
      <c r="D34" s="205">
        <f t="shared" si="2"/>
        <v>3.2</v>
      </c>
      <c r="E34" s="205">
        <f aca="true" t="shared" si="3" ref="E34:G36">B34</f>
        <v>0</v>
      </c>
      <c r="F34" s="205">
        <f t="shared" si="3"/>
        <v>0</v>
      </c>
      <c r="G34" s="205">
        <f t="shared" si="3"/>
        <v>3.2</v>
      </c>
      <c r="H34" s="239">
        <f>B34+C34+D34</f>
        <v>3.2</v>
      </c>
      <c r="I34" s="206">
        <f t="shared" si="1"/>
        <v>3.2</v>
      </c>
    </row>
    <row r="35" spans="1:9" ht="15" customHeight="1">
      <c r="A35" s="204" t="s">
        <v>146</v>
      </c>
      <c r="B35" s="205">
        <f>B16</f>
        <v>0</v>
      </c>
      <c r="C35" s="205">
        <f>C16</f>
        <v>0</v>
      </c>
      <c r="D35" s="205">
        <f>D16</f>
        <v>0</v>
      </c>
      <c r="E35" s="205">
        <f t="shared" si="3"/>
        <v>0</v>
      </c>
      <c r="F35" s="205">
        <f t="shared" si="3"/>
        <v>0</v>
      </c>
      <c r="G35" s="205">
        <f t="shared" si="3"/>
        <v>0</v>
      </c>
      <c r="H35" s="205">
        <f t="shared" si="0"/>
        <v>0</v>
      </c>
      <c r="I35" s="206">
        <f t="shared" si="1"/>
        <v>0</v>
      </c>
    </row>
    <row r="36" spans="1:9" ht="15" customHeight="1">
      <c r="A36" s="204" t="s">
        <v>7</v>
      </c>
      <c r="B36" s="205">
        <f>B21</f>
        <v>0</v>
      </c>
      <c r="C36" s="205">
        <f>C21</f>
        <v>0</v>
      </c>
      <c r="D36" s="205">
        <f>D21</f>
        <v>0</v>
      </c>
      <c r="E36" s="205">
        <f t="shared" si="3"/>
        <v>0</v>
      </c>
      <c r="F36" s="205">
        <f t="shared" si="3"/>
        <v>0</v>
      </c>
      <c r="G36" s="205">
        <f t="shared" si="3"/>
        <v>0</v>
      </c>
      <c r="H36" s="205">
        <f>B36+C36+D36</f>
        <v>0</v>
      </c>
      <c r="I36" s="206">
        <f>E36+F36+G36</f>
        <v>0</v>
      </c>
    </row>
    <row r="37" spans="1:9" ht="15" customHeight="1">
      <c r="A37" s="210" t="s">
        <v>56</v>
      </c>
      <c r="B37" s="211">
        <f aca="true" t="shared" si="4" ref="B37:D38">B7</f>
        <v>0</v>
      </c>
      <c r="C37" s="211">
        <f t="shared" si="4"/>
        <v>0</v>
      </c>
      <c r="D37" s="211">
        <f t="shared" si="4"/>
        <v>0</v>
      </c>
      <c r="E37" s="211">
        <f>B37+E38</f>
        <v>0</v>
      </c>
      <c r="F37" s="211">
        <f>C37+F38</f>
        <v>0</v>
      </c>
      <c r="G37" s="211">
        <f>D37+G38</f>
        <v>0</v>
      </c>
      <c r="H37" s="205">
        <f>B37+C37+D37</f>
        <v>0</v>
      </c>
      <c r="I37" s="206">
        <f>E37+F37+G37</f>
        <v>0</v>
      </c>
    </row>
    <row r="38" spans="1:9" ht="15" customHeight="1" thickBot="1">
      <c r="A38" s="207" t="s">
        <v>88</v>
      </c>
      <c r="B38" s="208">
        <f t="shared" si="4"/>
        <v>0</v>
      </c>
      <c r="C38" s="208">
        <f t="shared" si="4"/>
        <v>0</v>
      </c>
      <c r="D38" s="208">
        <f t="shared" si="4"/>
        <v>0</v>
      </c>
      <c r="E38" s="208">
        <f>B38</f>
        <v>0</v>
      </c>
      <c r="F38" s="208">
        <f>C38</f>
        <v>0</v>
      </c>
      <c r="G38" s="208">
        <f>D38</f>
        <v>0</v>
      </c>
      <c r="H38" s="208">
        <f>B38+C38+D38</f>
        <v>0</v>
      </c>
      <c r="I38" s="209">
        <f>E38+F38+G38</f>
        <v>0</v>
      </c>
    </row>
  </sheetData>
  <sheetProtection/>
  <mergeCells count="1">
    <mergeCell ref="A1:I1"/>
  </mergeCells>
  <printOptions/>
  <pageMargins left="0.7" right="0.7" top="0.75" bottom="0.75" header="0.3" footer="0.3"/>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1" sqref="A1"/>
    </sheetView>
  </sheetViews>
  <sheetFormatPr defaultColWidth="9.140625" defaultRowHeight="12.75"/>
  <cols>
    <col min="1" max="1" width="62.28125" style="0" bestFit="1" customWidth="1"/>
    <col min="2" max="6" width="12.7109375" style="0" customWidth="1"/>
    <col min="7" max="7" width="13.421875" style="0" customWidth="1"/>
    <col min="8" max="8" width="14.8515625" style="0" customWidth="1"/>
    <col min="9" max="11" width="12.7109375" style="0" customWidth="1"/>
  </cols>
  <sheetData>
    <row r="1" spans="1:11" ht="18">
      <c r="A1" s="34" t="s">
        <v>207</v>
      </c>
      <c r="B1" s="34"/>
      <c r="C1" s="34"/>
      <c r="D1" s="34"/>
      <c r="E1" s="34"/>
      <c r="F1" s="34"/>
      <c r="G1" s="34"/>
      <c r="H1" s="34"/>
      <c r="I1" s="34"/>
      <c r="J1" s="34"/>
      <c r="K1" s="34"/>
    </row>
    <row r="2" spans="1:11" ht="15.75">
      <c r="A2" s="112" t="s">
        <v>12</v>
      </c>
      <c r="B2" s="112"/>
      <c r="C2" s="112"/>
      <c r="D2" s="112"/>
      <c r="E2" s="113"/>
      <c r="F2" s="112"/>
      <c r="G2" s="33"/>
      <c r="H2" s="2"/>
      <c r="I2" s="2"/>
      <c r="J2" s="2"/>
      <c r="K2" s="114"/>
    </row>
    <row r="3" spans="1:11" ht="15.75">
      <c r="A3" s="112"/>
      <c r="B3" s="112"/>
      <c r="C3" s="112"/>
      <c r="D3" s="112"/>
      <c r="E3" s="113"/>
      <c r="F3" s="112"/>
      <c r="G3" s="33"/>
      <c r="H3" s="2"/>
      <c r="I3" s="2"/>
      <c r="J3" s="2"/>
      <c r="K3" s="114"/>
    </row>
    <row r="4" spans="1:11" ht="19.5" customHeight="1">
      <c r="A4" s="115"/>
      <c r="B4" s="116" t="s">
        <v>12</v>
      </c>
      <c r="C4" s="255" t="s">
        <v>43</v>
      </c>
      <c r="D4" s="255"/>
      <c r="E4" s="255"/>
      <c r="F4" s="255"/>
      <c r="G4" s="255"/>
      <c r="H4" s="255"/>
      <c r="I4" s="255"/>
      <c r="J4" s="255"/>
      <c r="K4" s="255"/>
    </row>
    <row r="5" spans="1:11" ht="19.5" customHeight="1">
      <c r="A5" s="56" t="s">
        <v>12</v>
      </c>
      <c r="B5" s="43" t="s">
        <v>13</v>
      </c>
      <c r="C5" s="43" t="s">
        <v>17</v>
      </c>
      <c r="D5" s="43" t="s">
        <v>16</v>
      </c>
      <c r="E5" s="43" t="s">
        <v>14</v>
      </c>
      <c r="F5" s="43" t="s">
        <v>8</v>
      </c>
      <c r="G5" s="43" t="s">
        <v>45</v>
      </c>
      <c r="H5" s="43" t="s">
        <v>46</v>
      </c>
      <c r="I5" s="43" t="s">
        <v>7</v>
      </c>
      <c r="J5" s="43" t="s">
        <v>56</v>
      </c>
      <c r="K5" s="43" t="s">
        <v>179</v>
      </c>
    </row>
    <row r="6" spans="1:11" ht="19.5" customHeight="1">
      <c r="A6" s="109" t="s">
        <v>211</v>
      </c>
      <c r="B6" s="5">
        <f>'2nd IA Parameters'!B18</f>
        <v>158494.4</v>
      </c>
      <c r="C6" s="5">
        <f>'2nd IA Parameters'!C18</f>
        <v>68994.3</v>
      </c>
      <c r="D6" s="5">
        <f>'2nd IA Parameters'!D18</f>
        <v>38033.8</v>
      </c>
      <c r="E6" s="5">
        <f>'2nd IA Parameters'!E18</f>
        <v>16204.8</v>
      </c>
      <c r="F6" s="5">
        <f>'2nd IA Parameters'!F18</f>
        <v>12453.8</v>
      </c>
      <c r="G6" s="5">
        <f>'2nd IA Parameters'!G18</f>
        <v>6422.4</v>
      </c>
      <c r="H6" s="5">
        <f>'2nd IA Parameters'!H18</f>
        <v>3081.1</v>
      </c>
      <c r="I6" s="5">
        <f>'2nd IA Parameters'!I18</f>
        <v>8374.5</v>
      </c>
      <c r="J6" s="5">
        <f>'2nd IA Parameters'!J18</f>
        <v>15902.8</v>
      </c>
      <c r="K6" s="5">
        <f>'2nd IA Parameters'!K18</f>
        <v>6190.2</v>
      </c>
    </row>
    <row r="7" spans="1:11" ht="19.5" customHeight="1">
      <c r="A7" s="109" t="s">
        <v>222</v>
      </c>
      <c r="B7" s="5">
        <f>'3rd IA Parameters'!B24</f>
        <v>155201.46399999998</v>
      </c>
      <c r="C7" s="5">
        <f>'3rd IA Parameters'!C24</f>
        <v>66969.04</v>
      </c>
      <c r="D7" s="5">
        <f>'3rd IA Parameters'!D24</f>
        <v>37215.008</v>
      </c>
      <c r="E7" s="5">
        <f>'3rd IA Parameters'!E24</f>
        <v>16076.44</v>
      </c>
      <c r="F7" s="5">
        <f>'3rd IA Parameters'!F24</f>
        <v>12234.408000000001</v>
      </c>
      <c r="G7" s="5">
        <f>'3rd IA Parameters'!G24</f>
        <v>6377.928000000001</v>
      </c>
      <c r="H7" s="5">
        <f>'3rd IA Parameters'!H24</f>
        <v>3009.56</v>
      </c>
      <c r="I7" s="5">
        <f>'3rd IA Parameters'!I24</f>
        <v>8289.032</v>
      </c>
      <c r="J7" s="5">
        <f>'3rd IA Parameters'!J24</f>
        <v>15701.416000000001</v>
      </c>
      <c r="K7" s="5">
        <f>'3rd IA Parameters'!K24</f>
        <v>5950.328</v>
      </c>
    </row>
    <row r="8" spans="1:11" ht="19.5" customHeight="1">
      <c r="A8" s="117" t="s">
        <v>153</v>
      </c>
      <c r="B8" s="5">
        <f>B7-B6</f>
        <v>-3292.936000000016</v>
      </c>
      <c r="C8" s="5">
        <f aca="true" t="shared" si="0" ref="C8:J8">C7-C6</f>
        <v>-2025.2600000000093</v>
      </c>
      <c r="D8" s="5">
        <f t="shared" si="0"/>
        <v>-818.7920000000013</v>
      </c>
      <c r="E8" s="5">
        <f t="shared" si="0"/>
        <v>-128.35999999999876</v>
      </c>
      <c r="F8" s="5">
        <f t="shared" si="0"/>
        <v>-219.391999999998</v>
      </c>
      <c r="G8" s="5">
        <f t="shared" si="0"/>
        <v>-44.47199999999884</v>
      </c>
      <c r="H8" s="5">
        <f t="shared" si="0"/>
        <v>-71.53999999999996</v>
      </c>
      <c r="I8" s="5">
        <f t="shared" si="0"/>
        <v>-85.46800000000076</v>
      </c>
      <c r="J8" s="5">
        <f t="shared" si="0"/>
        <v>-201.3839999999982</v>
      </c>
      <c r="K8" s="5">
        <f>K7-K6</f>
        <v>-239.8719999999994</v>
      </c>
    </row>
    <row r="9" spans="1:11" ht="19.5" customHeight="1">
      <c r="A9" s="172" t="s">
        <v>154</v>
      </c>
      <c r="B9" s="5">
        <f>0.6*'BRA Parameters'!B19</f>
        <v>2491.9199999999996</v>
      </c>
      <c r="C9" s="5">
        <f>0.6*'BRA Parameters'!C19</f>
        <v>998.8441829972712</v>
      </c>
      <c r="D9" s="5">
        <f>0.6*'BRA Parameters'!D19</f>
        <v>544.5401514346125</v>
      </c>
      <c r="E9" s="5">
        <f>0.6*'BRA Parameters'!E19</f>
        <v>230.38174279740596</v>
      </c>
      <c r="F9" s="5">
        <f>0.6*'BRA Parameters'!F19</f>
        <v>173.34231073626515</v>
      </c>
      <c r="G9" s="5">
        <f>0.6*'BRA Parameters'!G19</f>
        <v>84.0710207070886</v>
      </c>
      <c r="H9" s="5">
        <f>0.6*'BRA Parameters'!H19</f>
        <v>39.88017860306885</v>
      </c>
      <c r="I9" s="5">
        <f>0.6*'BRA Parameters'!I19</f>
        <v>111.20072764213235</v>
      </c>
      <c r="J9" s="5">
        <f>0.6*'BRA Parameters'!J19</f>
        <v>217.41377558855143</v>
      </c>
      <c r="K9" s="5">
        <f>0.6*'BRA Parameters'!K19</f>
        <v>74.60751172377948</v>
      </c>
    </row>
    <row r="10" spans="1:11" ht="19.5" customHeight="1">
      <c r="A10" s="109" t="s">
        <v>155</v>
      </c>
      <c r="B10" s="11" t="s">
        <v>23</v>
      </c>
      <c r="C10" s="6">
        <f>'2nd IA Parameters'!C14-'1st IA Parameters'!C14</f>
        <v>0</v>
      </c>
      <c r="D10" s="6">
        <f>'2nd IA Parameters'!D14-'1st IA Parameters'!D14</f>
        <v>0</v>
      </c>
      <c r="E10" s="6">
        <f>'2nd IA Parameters'!E14-'1st IA Parameters'!E14</f>
        <v>0</v>
      </c>
      <c r="F10" s="6">
        <f>'2nd IA Parameters'!F14-'1st IA Parameters'!F14</f>
        <v>0</v>
      </c>
      <c r="G10" s="6">
        <f>'2nd IA Parameters'!G14-'1st IA Parameters'!G14</f>
        <v>0</v>
      </c>
      <c r="H10" s="6">
        <f>'2nd IA Parameters'!H14-'1st IA Parameters'!H14</f>
        <v>0</v>
      </c>
      <c r="I10" s="6">
        <f>'2nd IA Parameters'!I14-'1st IA Parameters'!I14</f>
        <v>0</v>
      </c>
      <c r="J10" s="6">
        <f>'2nd IA Parameters'!J14-'1st IA Parameters'!J14</f>
        <v>0</v>
      </c>
      <c r="K10" s="6">
        <f>'2nd IA Parameters'!K14-'1st IA Parameters'!K14</f>
        <v>0</v>
      </c>
    </row>
    <row r="11" spans="1:12" ht="19.5" customHeight="1">
      <c r="A11" s="109" t="s">
        <v>225</v>
      </c>
      <c r="B11" s="11" t="s">
        <v>23</v>
      </c>
      <c r="C11" s="225">
        <v>0</v>
      </c>
      <c r="D11" s="225">
        <v>582.1</v>
      </c>
      <c r="E11" s="225">
        <v>3409.5</v>
      </c>
      <c r="F11" s="225">
        <v>0</v>
      </c>
      <c r="G11" s="225">
        <v>0</v>
      </c>
      <c r="H11" s="225">
        <v>453</v>
      </c>
      <c r="I11" s="225">
        <v>3635.9</v>
      </c>
      <c r="J11" s="225">
        <v>0</v>
      </c>
      <c r="K11" s="225">
        <v>1447.7</v>
      </c>
      <c r="L11" s="4" t="s">
        <v>12</v>
      </c>
    </row>
    <row r="12" spans="1:11" ht="15">
      <c r="A12" s="2"/>
      <c r="B12" s="118"/>
      <c r="C12" s="119" t="s">
        <v>12</v>
      </c>
      <c r="D12" s="119" t="s">
        <v>12</v>
      </c>
      <c r="E12" s="119" t="s">
        <v>12</v>
      </c>
      <c r="F12" s="119" t="s">
        <v>12</v>
      </c>
      <c r="G12" s="119" t="s">
        <v>12</v>
      </c>
      <c r="H12" s="119" t="s">
        <v>12</v>
      </c>
      <c r="I12" s="119"/>
      <c r="J12" s="119"/>
      <c r="K12" s="119" t="s">
        <v>12</v>
      </c>
    </row>
    <row r="13" ht="15">
      <c r="A13" s="120" t="s">
        <v>226</v>
      </c>
    </row>
  </sheetData>
  <sheetProtection/>
  <mergeCells count="1">
    <mergeCell ref="C4:K4"/>
  </mergeCells>
  <printOptions/>
  <pageMargins left="0.45" right="0.45" top="0.5" bottom="0.5" header="0.3" footer="0.3"/>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B1"/>
    </sheetView>
  </sheetViews>
  <sheetFormatPr defaultColWidth="9.140625" defaultRowHeight="12.75"/>
  <cols>
    <col min="1" max="1" width="65.7109375" style="0" customWidth="1"/>
    <col min="2" max="10" width="17.7109375" style="0" customWidth="1"/>
    <col min="11" max="11" width="18.28125" style="0" customWidth="1"/>
  </cols>
  <sheetData>
    <row r="1" spans="1:9" ht="19.5" customHeight="1">
      <c r="A1" s="262" t="s">
        <v>199</v>
      </c>
      <c r="B1" s="262"/>
      <c r="C1" s="175"/>
      <c r="D1" s="175"/>
      <c r="E1" s="175"/>
      <c r="F1" s="175"/>
      <c r="G1" s="173" t="s">
        <v>12</v>
      </c>
      <c r="H1" s="174" t="s">
        <v>12</v>
      </c>
      <c r="I1" s="33" t="s">
        <v>12</v>
      </c>
    </row>
    <row r="2" spans="1:9" ht="19.5" customHeight="1">
      <c r="A2" s="263" t="s">
        <v>12</v>
      </c>
      <c r="B2" s="263"/>
      <c r="C2" s="34"/>
      <c r="D2" s="34" t="s">
        <v>12</v>
      </c>
      <c r="E2" s="14" t="s">
        <v>12</v>
      </c>
      <c r="F2" s="35"/>
      <c r="G2" s="36"/>
      <c r="H2" s="33"/>
      <c r="I2" s="33"/>
    </row>
    <row r="3" spans="1:11" ht="19.5" customHeight="1">
      <c r="A3" s="101"/>
      <c r="B3" s="102" t="s">
        <v>13</v>
      </c>
      <c r="C3" s="257" t="s">
        <v>41</v>
      </c>
      <c r="D3" s="257"/>
      <c r="E3" s="257"/>
      <c r="F3" s="257"/>
      <c r="G3" s="257"/>
      <c r="H3" s="257"/>
      <c r="I3" s="257"/>
      <c r="J3" s="257"/>
      <c r="K3" s="257"/>
    </row>
    <row r="4" spans="1:11" ht="19.5" customHeight="1">
      <c r="A4" s="37" t="s">
        <v>34</v>
      </c>
      <c r="B4" s="38">
        <v>0.164</v>
      </c>
      <c r="C4" s="257" t="s">
        <v>12</v>
      </c>
      <c r="D4" s="257"/>
      <c r="E4" s="257"/>
      <c r="F4" s="257"/>
      <c r="G4" s="257"/>
      <c r="H4" s="257"/>
      <c r="I4" s="257"/>
      <c r="J4" s="257"/>
      <c r="K4" s="257"/>
    </row>
    <row r="5" spans="1:11" ht="19.5" customHeight="1">
      <c r="A5" s="37" t="s">
        <v>35</v>
      </c>
      <c r="B5" s="39">
        <v>0.0591</v>
      </c>
      <c r="C5" s="257" t="s">
        <v>12</v>
      </c>
      <c r="D5" s="257"/>
      <c r="E5" s="257"/>
      <c r="F5" s="257"/>
      <c r="G5" s="257"/>
      <c r="H5" s="257"/>
      <c r="I5" s="257"/>
      <c r="J5" s="257"/>
      <c r="K5" s="257"/>
    </row>
    <row r="6" spans="1:11" ht="19.5" customHeight="1">
      <c r="A6" s="37" t="s">
        <v>36</v>
      </c>
      <c r="B6" s="40">
        <v>1.0952</v>
      </c>
      <c r="C6" s="256" t="s">
        <v>12</v>
      </c>
      <c r="D6" s="256"/>
      <c r="E6" s="256"/>
      <c r="F6" s="256"/>
      <c r="G6" s="256"/>
      <c r="H6" s="256"/>
      <c r="I6" s="256"/>
      <c r="J6" s="256"/>
      <c r="K6" s="256"/>
    </row>
    <row r="7" spans="1:11" ht="19.5" customHeight="1">
      <c r="A7" s="37" t="s">
        <v>42</v>
      </c>
      <c r="B7" s="41">
        <v>0.951</v>
      </c>
      <c r="C7" s="256" t="s">
        <v>12</v>
      </c>
      <c r="D7" s="256"/>
      <c r="E7" s="256"/>
      <c r="F7" s="256"/>
      <c r="G7" s="256"/>
      <c r="H7" s="256"/>
      <c r="I7" s="256"/>
      <c r="J7" s="256"/>
      <c r="K7" s="256"/>
    </row>
    <row r="8" spans="1:11" ht="19.5" customHeight="1">
      <c r="A8" s="37" t="s">
        <v>196</v>
      </c>
      <c r="B8" s="225">
        <v>152356.6</v>
      </c>
      <c r="C8" s="257" t="s">
        <v>212</v>
      </c>
      <c r="D8" s="257"/>
      <c r="E8" s="257"/>
      <c r="F8" s="257"/>
      <c r="G8" s="257"/>
      <c r="H8" s="257"/>
      <c r="I8" s="257"/>
      <c r="J8" s="257"/>
      <c r="K8" s="257"/>
    </row>
    <row r="9" spans="1:11" ht="19.5" customHeight="1">
      <c r="A9" s="37" t="s">
        <v>44</v>
      </c>
      <c r="B9" s="42" t="s">
        <v>200</v>
      </c>
      <c r="C9" s="256" t="s">
        <v>12</v>
      </c>
      <c r="D9" s="256"/>
      <c r="E9" s="256"/>
      <c r="F9" s="256"/>
      <c r="G9" s="256"/>
      <c r="H9" s="256"/>
      <c r="I9" s="256"/>
      <c r="J9" s="256"/>
      <c r="K9" s="256"/>
    </row>
    <row r="10" spans="1:11" ht="19.5" customHeight="1">
      <c r="A10" s="37" t="s">
        <v>12</v>
      </c>
      <c r="B10" s="54" t="s">
        <v>12</v>
      </c>
      <c r="C10" s="258" t="s">
        <v>12</v>
      </c>
      <c r="D10" s="259"/>
      <c r="E10" s="259"/>
      <c r="F10" s="259"/>
      <c r="G10" s="259"/>
      <c r="H10" s="259"/>
      <c r="I10" s="259"/>
      <c r="J10" s="259"/>
      <c r="K10" s="260"/>
    </row>
    <row r="11" spans="1:11" ht="19.5" customHeight="1">
      <c r="A11" s="37"/>
      <c r="B11" s="55" t="s">
        <v>12</v>
      </c>
      <c r="C11" s="261" t="s">
        <v>57</v>
      </c>
      <c r="D11" s="261"/>
      <c r="E11" s="261"/>
      <c r="F11" s="261"/>
      <c r="G11" s="261"/>
      <c r="H11" s="261"/>
      <c r="I11" s="261"/>
      <c r="J11" s="261"/>
      <c r="K11" s="261"/>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29">
        <v>-1290</v>
      </c>
      <c r="D13" s="69">
        <v>3570</v>
      </c>
      <c r="E13" s="69">
        <v>4780</v>
      </c>
      <c r="F13" s="69">
        <v>4990</v>
      </c>
      <c r="G13" s="69">
        <v>2070</v>
      </c>
      <c r="H13" s="69">
        <v>1280</v>
      </c>
      <c r="I13" s="69">
        <v>3000</v>
      </c>
      <c r="J13" s="69">
        <v>5030</v>
      </c>
      <c r="K13" s="69">
        <v>3310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166860.9</v>
      </c>
      <c r="C15" s="229">
        <v>66514</v>
      </c>
      <c r="D15" s="230">
        <v>37108</v>
      </c>
      <c r="E15" s="230">
        <v>15807</v>
      </c>
      <c r="F15" s="230">
        <v>12201</v>
      </c>
      <c r="G15" s="230">
        <v>6365</v>
      </c>
      <c r="H15" s="230">
        <v>3007</v>
      </c>
      <c r="I15" s="230">
        <v>8181</v>
      </c>
      <c r="J15" s="230">
        <v>15433</v>
      </c>
      <c r="K15" s="230">
        <v>5883</v>
      </c>
    </row>
    <row r="16" spans="1:11" ht="19.5" customHeight="1">
      <c r="A16" s="47" t="s">
        <v>48</v>
      </c>
      <c r="B16" s="69">
        <v>12511.6</v>
      </c>
      <c r="C16" s="27">
        <v>0</v>
      </c>
      <c r="D16" s="27">
        <v>0</v>
      </c>
      <c r="E16" s="27">
        <v>0</v>
      </c>
      <c r="F16" s="27">
        <v>0</v>
      </c>
      <c r="G16" s="27">
        <v>0</v>
      </c>
      <c r="H16" s="27">
        <v>0</v>
      </c>
      <c r="I16" s="27">
        <v>0</v>
      </c>
      <c r="J16" s="27">
        <v>0</v>
      </c>
      <c r="K16" s="27">
        <v>0</v>
      </c>
    </row>
    <row r="17" spans="1:11" ht="19.5" customHeight="1">
      <c r="A17" s="47" t="s">
        <v>197</v>
      </c>
      <c r="B17" s="26">
        <f>ROUND(B16*$B$6,1)</f>
        <v>13702.7</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231" t="s">
        <v>49</v>
      </c>
      <c r="B18" s="24">
        <f>B15-B17</f>
        <v>153158.19999999998</v>
      </c>
      <c r="C18" s="24">
        <f>C15-C17</f>
        <v>66514</v>
      </c>
      <c r="D18" s="24">
        <f aca="true" t="shared" si="1" ref="D18:I18">D15-D17</f>
        <v>37108</v>
      </c>
      <c r="E18" s="24">
        <f t="shared" si="1"/>
        <v>15807</v>
      </c>
      <c r="F18" s="24">
        <f t="shared" si="1"/>
        <v>12201</v>
      </c>
      <c r="G18" s="24">
        <f t="shared" si="1"/>
        <v>6365</v>
      </c>
      <c r="H18" s="24">
        <f t="shared" si="1"/>
        <v>3007</v>
      </c>
      <c r="I18" s="24">
        <f t="shared" si="1"/>
        <v>8181</v>
      </c>
      <c r="J18" s="24">
        <f>J15-J17</f>
        <v>15433</v>
      </c>
      <c r="K18" s="24">
        <f>K15-K17</f>
        <v>5883</v>
      </c>
    </row>
    <row r="19" spans="1:11" ht="19.5" customHeight="1">
      <c r="A19" s="48" t="s">
        <v>44</v>
      </c>
      <c r="B19" s="24">
        <f>0*'BRA Parameters'!B19</f>
        <v>0</v>
      </c>
      <c r="C19" s="24">
        <f>0*'BRA Parameters'!C19</f>
        <v>0</v>
      </c>
      <c r="D19" s="24">
        <f>0*'BRA Parameters'!D19</f>
        <v>0</v>
      </c>
      <c r="E19" s="24">
        <f>0*'BRA Parameters'!E19</f>
        <v>0</v>
      </c>
      <c r="F19" s="24">
        <f>0*'BRA Parameters'!F19</f>
        <v>0</v>
      </c>
      <c r="G19" s="24">
        <f>0*'BRA Parameters'!G19</f>
        <v>0</v>
      </c>
      <c r="H19" s="24">
        <f>0*'BRA Parameters'!H19</f>
        <v>0</v>
      </c>
      <c r="I19" s="24">
        <f>0*'BRA Parameters'!I19</f>
        <v>0</v>
      </c>
      <c r="J19" s="24">
        <f>0*'BRA Parameters'!J19</f>
        <v>0</v>
      </c>
      <c r="K19" s="24">
        <f>0*'BRA Parameters'!K19</f>
        <v>0</v>
      </c>
    </row>
    <row r="20" spans="1:11" ht="19.5" customHeight="1">
      <c r="A20" s="234" t="s">
        <v>215</v>
      </c>
      <c r="B20" s="229"/>
      <c r="C20" s="229"/>
      <c r="D20" s="229"/>
      <c r="E20" s="229"/>
      <c r="F20" s="229"/>
      <c r="G20" s="229"/>
      <c r="H20" s="229"/>
      <c r="I20" s="229"/>
      <c r="J20" s="229"/>
      <c r="K20" s="229"/>
    </row>
    <row r="21" spans="1:11" ht="19.5" customHeight="1">
      <c r="A21" s="235" t="s">
        <v>213</v>
      </c>
      <c r="B21" s="229">
        <v>1596.3</v>
      </c>
      <c r="C21" s="229">
        <v>355.5</v>
      </c>
      <c r="D21" s="229">
        <v>83.6</v>
      </c>
      <c r="E21" s="229">
        <v>210.5</v>
      </c>
      <c r="F21" s="229">
        <v>26.1</v>
      </c>
      <c r="G21" s="229">
        <v>10.1</v>
      </c>
      <c r="H21" s="229">
        <v>2</v>
      </c>
      <c r="I21" s="229">
        <v>84.4</v>
      </c>
      <c r="J21" s="229">
        <v>209.7</v>
      </c>
      <c r="K21" s="229">
        <v>52.6</v>
      </c>
    </row>
    <row r="22" spans="1:11" ht="19.5" customHeight="1">
      <c r="A22" s="235" t="s">
        <v>214</v>
      </c>
      <c r="B22" s="229">
        <v>0</v>
      </c>
      <c r="C22" s="229">
        <v>0</v>
      </c>
      <c r="D22" s="229">
        <v>0</v>
      </c>
      <c r="E22" s="229">
        <v>0</v>
      </c>
      <c r="F22" s="229">
        <v>0</v>
      </c>
      <c r="G22" s="229">
        <v>0</v>
      </c>
      <c r="H22" s="229">
        <v>0</v>
      </c>
      <c r="I22" s="229">
        <v>0</v>
      </c>
      <c r="J22" s="229">
        <v>0</v>
      </c>
      <c r="K22" s="229">
        <v>0</v>
      </c>
    </row>
    <row r="23" spans="1:11" ht="19.5" customHeight="1">
      <c r="A23" s="235" t="s">
        <v>220</v>
      </c>
      <c r="B23" s="229">
        <f>0.28*(B21+B22)</f>
        <v>446.96400000000006</v>
      </c>
      <c r="C23" s="229">
        <f aca="true" t="shared" si="2" ref="C23:K23">0.28*(C21+C22)</f>
        <v>99.54</v>
      </c>
      <c r="D23" s="229">
        <f t="shared" si="2"/>
        <v>23.408</v>
      </c>
      <c r="E23" s="229">
        <f t="shared" si="2"/>
        <v>58.940000000000005</v>
      </c>
      <c r="F23" s="229">
        <f t="shared" si="2"/>
        <v>7.308000000000001</v>
      </c>
      <c r="G23" s="229">
        <f t="shared" si="2"/>
        <v>2.8280000000000003</v>
      </c>
      <c r="H23" s="229">
        <f t="shared" si="2"/>
        <v>0.56</v>
      </c>
      <c r="I23" s="229">
        <f t="shared" si="2"/>
        <v>23.632000000000005</v>
      </c>
      <c r="J23" s="229">
        <f t="shared" si="2"/>
        <v>58.716</v>
      </c>
      <c r="K23" s="229">
        <f t="shared" si="2"/>
        <v>14.728000000000002</v>
      </c>
    </row>
    <row r="24" spans="1:11" ht="19.5" customHeight="1">
      <c r="A24" s="236" t="s">
        <v>221</v>
      </c>
      <c r="B24" s="237">
        <f>B18+B21+B23</f>
        <v>155201.46399999998</v>
      </c>
      <c r="C24" s="237">
        <f aca="true" t="shared" si="3" ref="C24:K24">C18+C21+C23</f>
        <v>66969.04</v>
      </c>
      <c r="D24" s="237">
        <f t="shared" si="3"/>
        <v>37215.008</v>
      </c>
      <c r="E24" s="237">
        <f t="shared" si="3"/>
        <v>16076.44</v>
      </c>
      <c r="F24" s="237">
        <f t="shared" si="3"/>
        <v>12234.408000000001</v>
      </c>
      <c r="G24" s="237">
        <f t="shared" si="3"/>
        <v>6377.928000000001</v>
      </c>
      <c r="H24" s="237">
        <f t="shared" si="3"/>
        <v>3009.56</v>
      </c>
      <c r="I24" s="237">
        <f t="shared" si="3"/>
        <v>8289.032</v>
      </c>
      <c r="J24" s="237">
        <f t="shared" si="3"/>
        <v>15701.416000000001</v>
      </c>
      <c r="K24" s="237">
        <f t="shared" si="3"/>
        <v>5950.328</v>
      </c>
    </row>
    <row r="25" spans="1:11" ht="19.5" customHeight="1">
      <c r="A25" s="49" t="s">
        <v>50</v>
      </c>
      <c r="B25" s="30">
        <f>'BRA Parameters'!B20*(1-'BRA Parameters'!$B$5)/(1-'3rd IA Parameters'!$B$5)</f>
        <v>331.30284089701354</v>
      </c>
      <c r="C25" s="30">
        <f>'BRA Parameters'!C20*(1-'BRA Parameters'!$B$5)/(1-'3rd IA Parameters'!$B$5)</f>
        <v>277.5474439366564</v>
      </c>
      <c r="D25" s="30">
        <f>'BRA Parameters'!D20*(1-'BRA Parameters'!$B$5)/(1-'3rd IA Parameters'!$B$5)</f>
        <v>330.7114613667765</v>
      </c>
      <c r="E25" s="30">
        <f>'BRA Parameters'!E20*(1-'BRA Parameters'!$B$5)/(1-'3rd IA Parameters'!$B$5)</f>
        <v>277.5474439366564</v>
      </c>
      <c r="F25" s="30">
        <f>'BRA Parameters'!F20*(1-'BRA Parameters'!$B$5)/(1-'3rd IA Parameters'!$B$5)</f>
        <v>330.7114613667765</v>
      </c>
      <c r="G25" s="30">
        <f>'BRA Parameters'!G20*(1-'BRA Parameters'!$B$5)/(1-'3rd IA Parameters'!$B$5)</f>
        <v>330.7114613667765</v>
      </c>
      <c r="H25" s="30">
        <f>'BRA Parameters'!H20*(1-'BRA Parameters'!$B$5)/(1-'3rd IA Parameters'!$B$5)</f>
        <v>330.7114613667765</v>
      </c>
      <c r="I25" s="30">
        <f>'BRA Parameters'!I20*(1-'BRA Parameters'!$B$5)/(1-'3rd IA Parameters'!$B$5)</f>
        <v>277.5474439366564</v>
      </c>
      <c r="J25" s="30">
        <f>'BRA Parameters'!J20*(1-'BRA Parameters'!$B$5)/(1-'3rd IA Parameters'!$B$5)</f>
        <v>363.4879200765225</v>
      </c>
      <c r="K25" s="30">
        <f>'BRA Parameters'!K20*(1-'BRA Parameters'!$B$5)/(1-'3rd IA Parameters'!$B$5)</f>
        <v>363.4879200765225</v>
      </c>
    </row>
    <row r="26" spans="1:11" ht="19.5" customHeight="1">
      <c r="A26" s="220" t="s">
        <v>52</v>
      </c>
      <c r="B26" s="30"/>
      <c r="C26" s="30"/>
      <c r="D26" s="30"/>
      <c r="E26" s="30"/>
      <c r="F26" s="30"/>
      <c r="G26" s="30"/>
      <c r="H26" s="30"/>
      <c r="I26" s="30"/>
      <c r="J26" s="30"/>
      <c r="K26" s="30"/>
    </row>
    <row r="27" spans="1:11" ht="19.5" customHeight="1">
      <c r="A27" s="47" t="s">
        <v>24</v>
      </c>
      <c r="B27" s="23">
        <f>ROUND(B$25*1.5,2)</f>
        <v>496.95</v>
      </c>
      <c r="C27" s="23">
        <f aca="true" t="shared" si="4" ref="C27:H27">ROUND(C$25*1.5,2)</f>
        <v>416.32</v>
      </c>
      <c r="D27" s="23">
        <f t="shared" si="4"/>
        <v>496.07</v>
      </c>
      <c r="E27" s="23">
        <f t="shared" si="4"/>
        <v>416.32</v>
      </c>
      <c r="F27" s="23">
        <f>ROUND(F$25*1.5,2)</f>
        <v>496.07</v>
      </c>
      <c r="G27" s="23">
        <f t="shared" si="4"/>
        <v>496.07</v>
      </c>
      <c r="H27" s="23">
        <f t="shared" si="4"/>
        <v>496.07</v>
      </c>
      <c r="I27" s="23">
        <f>ROUND(I$25*1.5,2)</f>
        <v>416.32</v>
      </c>
      <c r="J27" s="23">
        <f>ROUND(J$25*1.5,2)</f>
        <v>545.23</v>
      </c>
      <c r="K27" s="23">
        <f>ROUND(K$25*1.5,2)</f>
        <v>545.23</v>
      </c>
    </row>
    <row r="28" spans="1:11" ht="19.5" customHeight="1">
      <c r="A28" s="47" t="s">
        <v>25</v>
      </c>
      <c r="B28" s="23">
        <f>ROUND(B$25,2)</f>
        <v>331.3</v>
      </c>
      <c r="C28" s="23">
        <f aca="true" t="shared" si="5" ref="C28:H28">ROUND(C$25,2)</f>
        <v>277.55</v>
      </c>
      <c r="D28" s="23">
        <f t="shared" si="5"/>
        <v>330.71</v>
      </c>
      <c r="E28" s="23">
        <f t="shared" si="5"/>
        <v>277.55</v>
      </c>
      <c r="F28" s="23">
        <f t="shared" si="5"/>
        <v>330.71</v>
      </c>
      <c r="G28" s="23">
        <f t="shared" si="5"/>
        <v>330.71</v>
      </c>
      <c r="H28" s="23">
        <f t="shared" si="5"/>
        <v>330.71</v>
      </c>
      <c r="I28" s="23">
        <f>ROUND(I$25,2)</f>
        <v>277.55</v>
      </c>
      <c r="J28" s="23">
        <f>ROUND(J$25,2)</f>
        <v>363.49</v>
      </c>
      <c r="K28" s="23">
        <f>ROUND(K$25,2)</f>
        <v>363.49</v>
      </c>
    </row>
    <row r="29" spans="1:11" ht="19.5" customHeight="1">
      <c r="A29" s="47" t="s">
        <v>26</v>
      </c>
      <c r="B29" s="23">
        <f>ROUND(B$25*0.2,2)</f>
        <v>66.26</v>
      </c>
      <c r="C29" s="23">
        <f aca="true" t="shared" si="6" ref="C29:H29">ROUND(C$25*0.2,2)</f>
        <v>55.51</v>
      </c>
      <c r="D29" s="23">
        <f t="shared" si="6"/>
        <v>66.14</v>
      </c>
      <c r="E29" s="23">
        <f t="shared" si="6"/>
        <v>55.51</v>
      </c>
      <c r="F29" s="23">
        <f t="shared" si="6"/>
        <v>66.14</v>
      </c>
      <c r="G29" s="23">
        <f t="shared" si="6"/>
        <v>66.14</v>
      </c>
      <c r="H29" s="23">
        <f t="shared" si="6"/>
        <v>66.14</v>
      </c>
      <c r="I29" s="23">
        <f>ROUND(I$25*0.2,2)</f>
        <v>55.51</v>
      </c>
      <c r="J29" s="23">
        <f>ROUND(J$25*0.2,2)</f>
        <v>72.7</v>
      </c>
      <c r="K29" s="23">
        <f>ROUND(K$25*0.2,2)</f>
        <v>72.7</v>
      </c>
    </row>
    <row r="30" spans="1:11" ht="19.5" customHeight="1">
      <c r="A30" s="47" t="s">
        <v>27</v>
      </c>
      <c r="B30" s="24">
        <f>ROUND(B$24*(1+$B$4-3%)/(1+$B$4)-B19,1)</f>
        <v>151201.4</v>
      </c>
      <c r="C30" s="24">
        <f>ROUND(C$24*(1+$B$4-3%)/(1+$B$4)-C19,1)</f>
        <v>65243</v>
      </c>
      <c r="D30" s="24">
        <f aca="true" t="shared" si="7" ref="D30:J30">ROUND(D$24*(1+$B$4-3%)/(1+$B$4)-D19,1)</f>
        <v>36255.9</v>
      </c>
      <c r="E30" s="24">
        <f t="shared" si="7"/>
        <v>15662.1</v>
      </c>
      <c r="F30" s="24">
        <f t="shared" si="7"/>
        <v>11919.1</v>
      </c>
      <c r="G30" s="24">
        <f t="shared" si="7"/>
        <v>6213.5</v>
      </c>
      <c r="H30" s="24">
        <f t="shared" si="7"/>
        <v>2932</v>
      </c>
      <c r="I30" s="24">
        <f t="shared" si="7"/>
        <v>8075.4</v>
      </c>
      <c r="J30" s="24">
        <f t="shared" si="7"/>
        <v>15296.7</v>
      </c>
      <c r="K30" s="24">
        <f>ROUND(K$24*(1+$B$4-3%)/(1+$B$4)-K19,1)</f>
        <v>5797</v>
      </c>
    </row>
    <row r="31" spans="1:11" ht="19.5" customHeight="1">
      <c r="A31" s="47" t="s">
        <v>28</v>
      </c>
      <c r="B31" s="24">
        <f>ROUND(B$24*(1+$B$4+1%)/(1+$B$4)-B19,1)</f>
        <v>156534.8</v>
      </c>
      <c r="C31" s="24">
        <f>ROUND(C$24*(1+$B$4+1%)/(1+$B$4)-C19,1)</f>
        <v>67544.4</v>
      </c>
      <c r="D31" s="24">
        <f aca="true" t="shared" si="8" ref="D31:J31">ROUND(D$24*(1+$B$4+1%)/(1+$B$4)-D19,1)</f>
        <v>37534.7</v>
      </c>
      <c r="E31" s="24">
        <f t="shared" si="8"/>
        <v>16214.6</v>
      </c>
      <c r="F31" s="24">
        <f t="shared" si="8"/>
        <v>12339.5</v>
      </c>
      <c r="G31" s="24">
        <f t="shared" si="8"/>
        <v>6432.7</v>
      </c>
      <c r="H31" s="24">
        <f t="shared" si="8"/>
        <v>3035.4</v>
      </c>
      <c r="I31" s="24">
        <f t="shared" si="8"/>
        <v>8360.2</v>
      </c>
      <c r="J31" s="24">
        <f t="shared" si="8"/>
        <v>15836.3</v>
      </c>
      <c r="K31" s="24">
        <f>ROUND(K$24*(1+$B$4+1%)/(1+$B$4)-K19,1)</f>
        <v>6001.4</v>
      </c>
    </row>
    <row r="32" spans="1:11" ht="19.5" customHeight="1">
      <c r="A32" s="47" t="s">
        <v>29</v>
      </c>
      <c r="B32" s="24">
        <f>ROUND(B$24*(1+$B$4+5%)/(1+$B$4)-B19,1)</f>
        <v>161868.2</v>
      </c>
      <c r="C32" s="24">
        <f>ROUND(C$24*(1+$B$4+5%)/(1+$B$4)-C19,1)</f>
        <v>69845.7</v>
      </c>
      <c r="D32" s="24">
        <f aca="true" t="shared" si="9" ref="D32:J32">ROUND(D$24*(1+$B$4+5%)/(1+$B$4)-D19,1)</f>
        <v>38813.6</v>
      </c>
      <c r="E32" s="24">
        <f t="shared" si="9"/>
        <v>16767</v>
      </c>
      <c r="F32" s="24">
        <f t="shared" si="9"/>
        <v>12759.9</v>
      </c>
      <c r="G32" s="24">
        <f t="shared" si="9"/>
        <v>6651.9</v>
      </c>
      <c r="H32" s="24">
        <f t="shared" si="9"/>
        <v>3138.8</v>
      </c>
      <c r="I32" s="24">
        <f t="shared" si="9"/>
        <v>8645.1</v>
      </c>
      <c r="J32" s="24">
        <f t="shared" si="9"/>
        <v>16375.9</v>
      </c>
      <c r="K32" s="24">
        <f>ROUND(K$24*(1+$B$4+5%)/(1+$B$4)-K19,1)</f>
        <v>6205.9</v>
      </c>
    </row>
    <row r="33" spans="1:11" ht="19.5" customHeight="1">
      <c r="A33" s="47" t="s">
        <v>125</v>
      </c>
      <c r="B33" s="44" t="s">
        <v>23</v>
      </c>
      <c r="C33" s="25">
        <v>159</v>
      </c>
      <c r="D33" s="25" t="s">
        <v>23</v>
      </c>
      <c r="E33" s="25" t="s">
        <v>23</v>
      </c>
      <c r="F33" s="22" t="s">
        <v>23</v>
      </c>
      <c r="G33" s="22" t="s">
        <v>23</v>
      </c>
      <c r="H33" s="25">
        <v>37</v>
      </c>
      <c r="I33" s="25" t="s">
        <v>23</v>
      </c>
      <c r="J33" s="22" t="s">
        <v>23</v>
      </c>
      <c r="K33" s="22" t="s">
        <v>23</v>
      </c>
    </row>
    <row r="34" spans="1:11" ht="19.5" customHeight="1">
      <c r="A34" s="47" t="s">
        <v>61</v>
      </c>
      <c r="B34" s="91">
        <f>'Updated Min Res Req''ments'!B17</f>
        <v>148938.4</v>
      </c>
      <c r="C34" s="91">
        <f>'Updated Min Res Req''ments'!C17</f>
        <v>57032.3</v>
      </c>
      <c r="D34" s="91">
        <f>'Updated Min Res Req''ments'!D17</f>
        <v>26368.6</v>
      </c>
      <c r="E34" s="91">
        <f>'Updated Min Res Req''ments'!E17</f>
        <v>6319.2</v>
      </c>
      <c r="F34" s="91">
        <f>'Updated Min Res Req''ments'!F17</f>
        <v>4954.9</v>
      </c>
      <c r="G34" s="91">
        <f>'Updated Min Res Req''ments'!G17</f>
        <v>3093.6</v>
      </c>
      <c r="H34" s="91">
        <f>'Updated Min Res Req''ments'!H17</f>
        <v>980.6</v>
      </c>
      <c r="I34" s="91">
        <f>'Updated Min Res Req''ments'!I17</f>
        <v>991.1</v>
      </c>
      <c r="J34" s="91">
        <f>'Updated Min Res Req''ments'!J17</f>
        <v>7187.8</v>
      </c>
      <c r="K34" s="91">
        <f>'Updated Min Res Req''ments'!K17</f>
        <v>493.6</v>
      </c>
    </row>
    <row r="35" spans="1:11" ht="19.5" customHeight="1">
      <c r="A35" s="47" t="s">
        <v>62</v>
      </c>
      <c r="B35" s="91">
        <f>'Updated Min Res Req''ments'!B18</f>
        <v>142529.6</v>
      </c>
      <c r="C35" s="91">
        <f>'Updated Min Res Req''ments'!C18</f>
        <v>53823.8</v>
      </c>
      <c r="D35" s="91">
        <f>'Updated Min Res Req''ments'!D18</f>
        <v>22254.6</v>
      </c>
      <c r="E35" s="91">
        <f>'Updated Min Res Req''ments'!E18</f>
        <v>5793.2</v>
      </c>
      <c r="F35" s="91">
        <f>'Updated Min Res Req''ments'!F18</f>
        <v>3760.5</v>
      </c>
      <c r="G35" s="91">
        <f>'Updated Min Res Req''ments'!G18</f>
        <v>2472.7</v>
      </c>
      <c r="H35" s="91">
        <f>'Updated Min Res Req''ments'!H18</f>
        <v>896.8</v>
      </c>
      <c r="I35" s="96">
        <f>'Updated Min Res Req''ments'!I18</f>
        <v>0</v>
      </c>
      <c r="J35" s="91">
        <f>'Updated Min Res Req''ments'!J18</f>
        <v>6064.5</v>
      </c>
      <c r="K35" s="96">
        <f>'Updated Min Res Req''ments'!K18</f>
        <v>0</v>
      </c>
    </row>
    <row r="36" spans="1:11" ht="19.5" customHeight="1">
      <c r="A36" s="221" t="s">
        <v>198</v>
      </c>
      <c r="B36" s="16"/>
      <c r="C36" s="16"/>
      <c r="D36" s="16"/>
      <c r="E36" s="16"/>
      <c r="F36" s="16"/>
      <c r="G36" s="16"/>
      <c r="H36" s="16"/>
      <c r="I36" s="16"/>
      <c r="J36" s="16"/>
      <c r="K36" s="16"/>
    </row>
    <row r="37" spans="1:11" ht="19.5" customHeight="1">
      <c r="A37" s="217" t="s">
        <v>73</v>
      </c>
      <c r="B37" s="44" t="s">
        <v>23</v>
      </c>
      <c r="C37" s="44" t="s">
        <v>23</v>
      </c>
      <c r="D37" s="44" t="s">
        <v>23</v>
      </c>
      <c r="E37" s="44" t="s">
        <v>23</v>
      </c>
      <c r="F37" s="44" t="s">
        <v>23</v>
      </c>
      <c r="G37" s="44" t="s">
        <v>23</v>
      </c>
      <c r="H37" s="44" t="s">
        <v>23</v>
      </c>
      <c r="I37" s="44" t="s">
        <v>23</v>
      </c>
      <c r="J37" s="44" t="s">
        <v>23</v>
      </c>
      <c r="K37" s="44" t="s">
        <v>23</v>
      </c>
    </row>
    <row r="38" spans="1:11" ht="19.5" customHeight="1">
      <c r="A38" s="218" t="s">
        <v>74</v>
      </c>
      <c r="B38" s="94">
        <f>'Updated Min Res Req''ments'!B20</f>
        <v>0.959107</v>
      </c>
      <c r="C38" s="216" t="str">
        <f>'Updated Min Res Req''ments'!C20</f>
        <v>NA</v>
      </c>
      <c r="D38" s="216" t="str">
        <f>'Updated Min Res Req''ments'!D20</f>
        <v>NA</v>
      </c>
      <c r="E38" s="216" t="str">
        <f>'Updated Min Res Req''ments'!E20</f>
        <v>NA</v>
      </c>
      <c r="F38" s="216" t="str">
        <f>'Updated Min Res Req''ments'!F20</f>
        <v>NA</v>
      </c>
      <c r="G38" s="216" t="str">
        <f>'Updated Min Res Req''ments'!G20</f>
        <v>NA</v>
      </c>
      <c r="H38" s="216" t="str">
        <f>'Updated Min Res Req''ments'!H20</f>
        <v>NA</v>
      </c>
      <c r="I38" s="216" t="str">
        <f>'Updated Min Res Req''ments'!I20</f>
        <v>NA</v>
      </c>
      <c r="J38" s="216" t="str">
        <f>'Updated Min Res Req''ments'!J20</f>
        <v>NA</v>
      </c>
      <c r="K38" s="216" t="str">
        <f>'Updated Min Res Req''ments'!K20</f>
        <v>NA</v>
      </c>
    </row>
    <row r="39" spans="1:11" ht="19.5" customHeight="1">
      <c r="A39" s="70" t="s">
        <v>75</v>
      </c>
      <c r="B39" s="94">
        <f>'Updated Min Res Req''ments'!B21</f>
        <v>0.917263</v>
      </c>
      <c r="C39" s="216" t="str">
        <f>'Updated Min Res Req''ments'!C21</f>
        <v>NA</v>
      </c>
      <c r="D39" s="216" t="str">
        <f>'Updated Min Res Req''ments'!D21</f>
        <v>NA</v>
      </c>
      <c r="E39" s="216" t="str">
        <f>'Updated Min Res Req''ments'!E21</f>
        <v>NA</v>
      </c>
      <c r="F39" s="216" t="str">
        <f>'Updated Min Res Req''ments'!F21</f>
        <v>NA</v>
      </c>
      <c r="G39" s="216" t="str">
        <f>'Updated Min Res Req''ments'!G21</f>
        <v>NA</v>
      </c>
      <c r="H39" s="216" t="str">
        <f>'Updated Min Res Req''ments'!H21</f>
        <v>NA</v>
      </c>
      <c r="I39" s="216" t="str">
        <f>'Updated Min Res Req''ments'!I21</f>
        <v>NA</v>
      </c>
      <c r="J39" s="216" t="str">
        <f>'Updated Min Res Req''ments'!J21</f>
        <v>NA</v>
      </c>
      <c r="K39" s="216" t="str">
        <f>'Updated Min Res Req''ments'!K21</f>
        <v>NA</v>
      </c>
    </row>
  </sheetData>
  <sheetProtection/>
  <mergeCells count="11">
    <mergeCell ref="C6:K6"/>
    <mergeCell ref="C7:K7"/>
    <mergeCell ref="C8:K8"/>
    <mergeCell ref="C9:K9"/>
    <mergeCell ref="C10:K10"/>
    <mergeCell ref="C11:K11"/>
    <mergeCell ref="A1:B1"/>
    <mergeCell ref="A2:B2"/>
    <mergeCell ref="C3:K3"/>
    <mergeCell ref="C4:K4"/>
    <mergeCell ref="C5:K5"/>
  </mergeCells>
  <printOptions/>
  <pageMargins left="0.7" right="0.7" top="0.75" bottom="0.75" header="0.3" footer="0.3"/>
  <pageSetup fitToHeight="1" fitToWidth="1"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B1"/>
    </sheetView>
  </sheetViews>
  <sheetFormatPr defaultColWidth="9.140625" defaultRowHeight="12.75"/>
  <cols>
    <col min="1" max="1" width="48.8515625" style="0" customWidth="1"/>
    <col min="2" max="2" width="18.140625" style="0" customWidth="1"/>
    <col min="3" max="10" width="16.7109375" style="0" customWidth="1"/>
    <col min="11" max="11" width="18.28125" style="0" customWidth="1"/>
    <col min="12" max="13" width="16.7109375" style="0" customWidth="1"/>
  </cols>
  <sheetData>
    <row r="1" spans="1:9" ht="19.5" customHeight="1">
      <c r="A1" s="262" t="s">
        <v>183</v>
      </c>
      <c r="B1" s="262"/>
      <c r="C1" s="175"/>
      <c r="D1" s="175"/>
      <c r="E1" s="175"/>
      <c r="F1" s="175"/>
      <c r="G1" s="173" t="s">
        <v>12</v>
      </c>
      <c r="H1" s="174" t="s">
        <v>12</v>
      </c>
      <c r="I1" s="33" t="s">
        <v>12</v>
      </c>
    </row>
    <row r="2" spans="1:9" ht="19.5" customHeight="1">
      <c r="A2" s="263" t="s">
        <v>12</v>
      </c>
      <c r="B2" s="263"/>
      <c r="C2" s="34"/>
      <c r="D2" s="34" t="s">
        <v>12</v>
      </c>
      <c r="E2" s="35"/>
      <c r="F2" s="35"/>
      <c r="G2" s="36"/>
      <c r="H2" s="33"/>
      <c r="I2" s="33"/>
    </row>
    <row r="3" spans="1:11" ht="19.5" customHeight="1">
      <c r="A3" s="101"/>
      <c r="B3" s="102" t="s">
        <v>13</v>
      </c>
      <c r="C3" s="257" t="s">
        <v>41</v>
      </c>
      <c r="D3" s="257"/>
      <c r="E3" s="257"/>
      <c r="F3" s="257"/>
      <c r="G3" s="257"/>
      <c r="H3" s="257"/>
      <c r="I3" s="257"/>
      <c r="J3" s="257"/>
      <c r="K3" s="257"/>
    </row>
    <row r="4" spans="1:11" ht="19.5" customHeight="1">
      <c r="A4" s="37" t="s">
        <v>34</v>
      </c>
      <c r="B4" s="38">
        <v>0.155</v>
      </c>
      <c r="C4" s="257" t="s">
        <v>184</v>
      </c>
      <c r="D4" s="257"/>
      <c r="E4" s="257"/>
      <c r="F4" s="257"/>
      <c r="G4" s="257"/>
      <c r="H4" s="257"/>
      <c r="I4" s="257"/>
      <c r="J4" s="257"/>
      <c r="K4" s="257"/>
    </row>
    <row r="5" spans="1:11" ht="19.5" customHeight="1">
      <c r="A5" s="37" t="s">
        <v>35</v>
      </c>
      <c r="B5" s="39">
        <v>0.0566</v>
      </c>
      <c r="C5" s="257" t="s">
        <v>12</v>
      </c>
      <c r="D5" s="257"/>
      <c r="E5" s="257"/>
      <c r="F5" s="257"/>
      <c r="G5" s="257"/>
      <c r="H5" s="257"/>
      <c r="I5" s="257"/>
      <c r="J5" s="257"/>
      <c r="K5" s="257"/>
    </row>
    <row r="6" spans="1:11" ht="19.5" customHeight="1">
      <c r="A6" s="37" t="s">
        <v>36</v>
      </c>
      <c r="B6" s="40">
        <v>1.0896</v>
      </c>
      <c r="C6" s="256" t="s">
        <v>12</v>
      </c>
      <c r="D6" s="256"/>
      <c r="E6" s="256"/>
      <c r="F6" s="256"/>
      <c r="G6" s="256"/>
      <c r="H6" s="256"/>
      <c r="I6" s="256"/>
      <c r="J6" s="256"/>
      <c r="K6" s="256"/>
    </row>
    <row r="7" spans="1:11" ht="19.5" customHeight="1">
      <c r="A7" s="37" t="s">
        <v>42</v>
      </c>
      <c r="B7" s="41">
        <v>0.952</v>
      </c>
      <c r="C7" s="256" t="s">
        <v>12</v>
      </c>
      <c r="D7" s="256"/>
      <c r="E7" s="256"/>
      <c r="F7" s="256"/>
      <c r="G7" s="256"/>
      <c r="H7" s="256"/>
      <c r="I7" s="256"/>
      <c r="J7" s="256"/>
      <c r="K7" s="256"/>
    </row>
    <row r="8" spans="1:11" ht="19.5" customHeight="1">
      <c r="A8" s="37" t="s">
        <v>196</v>
      </c>
      <c r="B8" s="6">
        <v>158193</v>
      </c>
      <c r="C8" s="256" t="s">
        <v>12</v>
      </c>
      <c r="D8" s="256"/>
      <c r="E8" s="256"/>
      <c r="F8" s="256"/>
      <c r="G8" s="256"/>
      <c r="H8" s="256"/>
      <c r="I8" s="256"/>
      <c r="J8" s="256"/>
      <c r="K8" s="256"/>
    </row>
    <row r="9" spans="1:11" ht="19.5" customHeight="1">
      <c r="A9" s="37" t="s">
        <v>44</v>
      </c>
      <c r="B9" s="42" t="s">
        <v>185</v>
      </c>
      <c r="C9" s="256" t="s">
        <v>12</v>
      </c>
      <c r="D9" s="256"/>
      <c r="E9" s="256"/>
      <c r="F9" s="256"/>
      <c r="G9" s="256"/>
      <c r="H9" s="256"/>
      <c r="I9" s="256"/>
      <c r="J9" s="256"/>
      <c r="K9" s="256"/>
    </row>
    <row r="10" spans="1:11" ht="19.5" customHeight="1">
      <c r="A10" s="37" t="s">
        <v>12</v>
      </c>
      <c r="B10" s="54" t="s">
        <v>12</v>
      </c>
      <c r="C10" s="258" t="s">
        <v>12</v>
      </c>
      <c r="D10" s="259"/>
      <c r="E10" s="259"/>
      <c r="F10" s="259"/>
      <c r="G10" s="259"/>
      <c r="H10" s="259"/>
      <c r="I10" s="259"/>
      <c r="J10" s="259"/>
      <c r="K10" s="260"/>
    </row>
    <row r="11" spans="1:11" ht="19.5" customHeight="1">
      <c r="A11" s="37"/>
      <c r="B11" s="55" t="s">
        <v>12</v>
      </c>
      <c r="C11" s="261" t="s">
        <v>57</v>
      </c>
      <c r="D11" s="261"/>
      <c r="E11" s="261"/>
      <c r="F11" s="261"/>
      <c r="G11" s="261"/>
      <c r="H11" s="261"/>
      <c r="I11" s="261"/>
      <c r="J11" s="261"/>
      <c r="K11" s="261"/>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2" ht="19.5" customHeight="1">
      <c r="A13" s="47" t="s">
        <v>9</v>
      </c>
      <c r="B13" s="24" t="s">
        <v>23</v>
      </c>
      <c r="C13" s="24">
        <v>590</v>
      </c>
      <c r="D13" s="26">
        <v>4640</v>
      </c>
      <c r="E13" s="26">
        <v>4290</v>
      </c>
      <c r="F13" s="26">
        <v>5200</v>
      </c>
      <c r="G13" s="26">
        <v>2130</v>
      </c>
      <c r="H13" s="26">
        <v>1280</v>
      </c>
      <c r="I13" s="26">
        <v>3160</v>
      </c>
      <c r="J13" s="26">
        <v>5200</v>
      </c>
      <c r="K13" s="26">
        <v>3510</v>
      </c>
      <c r="L13" s="97" t="s">
        <v>12</v>
      </c>
    </row>
    <row r="14" spans="1:12" ht="19.5" customHeight="1">
      <c r="A14" s="47" t="s">
        <v>11</v>
      </c>
      <c r="B14" s="24" t="s">
        <v>23</v>
      </c>
      <c r="C14" s="24">
        <v>6495</v>
      </c>
      <c r="D14" s="26">
        <v>8916</v>
      </c>
      <c r="E14" s="26">
        <v>8786</v>
      </c>
      <c r="F14" s="26">
        <v>6581</v>
      </c>
      <c r="G14" s="26">
        <v>2936</v>
      </c>
      <c r="H14" s="26">
        <v>1901</v>
      </c>
      <c r="I14" s="26">
        <v>6846</v>
      </c>
      <c r="J14" s="26">
        <v>7881</v>
      </c>
      <c r="K14" s="26">
        <v>5245</v>
      </c>
      <c r="L14" s="97" t="s">
        <v>12</v>
      </c>
    </row>
    <row r="15" spans="1:12" ht="19.5" customHeight="1">
      <c r="A15" s="48" t="s">
        <v>10</v>
      </c>
      <c r="B15" s="24">
        <f>ROUND((B8*B6),1)</f>
        <v>172367.1</v>
      </c>
      <c r="C15" s="24">
        <v>68994.3</v>
      </c>
      <c r="D15" s="83">
        <v>38033.8</v>
      </c>
      <c r="E15" s="83">
        <v>16204.8</v>
      </c>
      <c r="F15" s="83">
        <v>12453.8</v>
      </c>
      <c r="G15" s="83">
        <v>6422.4</v>
      </c>
      <c r="H15" s="83">
        <v>3081.1</v>
      </c>
      <c r="I15" s="83">
        <v>8374.5</v>
      </c>
      <c r="J15" s="83">
        <v>15902.8</v>
      </c>
      <c r="K15" s="83">
        <v>6190.2</v>
      </c>
      <c r="L15" s="97" t="s">
        <v>12</v>
      </c>
    </row>
    <row r="16" spans="1:11" ht="19.5" customHeight="1">
      <c r="A16" s="47" t="s">
        <v>48</v>
      </c>
      <c r="B16" s="26">
        <v>12731.9</v>
      </c>
      <c r="C16" s="27">
        <v>0</v>
      </c>
      <c r="D16" s="27">
        <v>0</v>
      </c>
      <c r="E16" s="27">
        <v>0</v>
      </c>
      <c r="F16" s="27">
        <v>0</v>
      </c>
      <c r="G16" s="27">
        <v>0</v>
      </c>
      <c r="H16" s="27">
        <v>0</v>
      </c>
      <c r="I16" s="27">
        <v>0</v>
      </c>
      <c r="J16" s="27">
        <v>0</v>
      </c>
      <c r="K16" s="27">
        <v>0</v>
      </c>
    </row>
    <row r="17" spans="1:11" ht="19.5" customHeight="1">
      <c r="A17" s="47" t="s">
        <v>197</v>
      </c>
      <c r="B17" s="26">
        <f>ROUND(B16*$B$6,1)</f>
        <v>13872.7</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219" t="s">
        <v>49</v>
      </c>
      <c r="B18" s="29">
        <f>B15-B17</f>
        <v>158494.4</v>
      </c>
      <c r="C18" s="29">
        <f>C15-C17</f>
        <v>68994.3</v>
      </c>
      <c r="D18" s="29">
        <f aca="true" t="shared" si="1" ref="D18:I18">D15-D17</f>
        <v>38033.8</v>
      </c>
      <c r="E18" s="29">
        <f t="shared" si="1"/>
        <v>16204.8</v>
      </c>
      <c r="F18" s="29">
        <f t="shared" si="1"/>
        <v>12453.8</v>
      </c>
      <c r="G18" s="29">
        <f t="shared" si="1"/>
        <v>6422.4</v>
      </c>
      <c r="H18" s="29">
        <f t="shared" si="1"/>
        <v>3081.1</v>
      </c>
      <c r="I18" s="29">
        <f t="shared" si="1"/>
        <v>8374.5</v>
      </c>
      <c r="J18" s="29">
        <f>J15-J17</f>
        <v>15902.8</v>
      </c>
      <c r="K18" s="29">
        <f>K15-K17</f>
        <v>6190.2</v>
      </c>
    </row>
    <row r="19" spans="1:11" ht="19.5" customHeight="1">
      <c r="A19" s="48" t="s">
        <v>44</v>
      </c>
      <c r="B19" s="24">
        <f>0.6*'BRA Parameters'!B19</f>
        <v>2491.9199999999996</v>
      </c>
      <c r="C19" s="24">
        <f>0.6*'BRA Parameters'!C19</f>
        <v>998.8441829972712</v>
      </c>
      <c r="D19" s="24">
        <f>0.6*'BRA Parameters'!D19</f>
        <v>544.5401514346125</v>
      </c>
      <c r="E19" s="24">
        <f>0.6*'BRA Parameters'!E19</f>
        <v>230.38174279740596</v>
      </c>
      <c r="F19" s="24">
        <f>0.6*'BRA Parameters'!F19</f>
        <v>173.34231073626515</v>
      </c>
      <c r="G19" s="24">
        <f>0.6*'BRA Parameters'!G19</f>
        <v>84.0710207070886</v>
      </c>
      <c r="H19" s="24">
        <f>0.6*'BRA Parameters'!H19</f>
        <v>39.88017860306885</v>
      </c>
      <c r="I19" s="24">
        <f>0.6*'BRA Parameters'!I19</f>
        <v>111.20072764213235</v>
      </c>
      <c r="J19" s="24">
        <f>0.6*'BRA Parameters'!J19</f>
        <v>217.41377558855143</v>
      </c>
      <c r="K19" s="24">
        <f>0.6*'BRA Parameters'!K19</f>
        <v>74.60751172377948</v>
      </c>
    </row>
    <row r="20" spans="1:11" ht="19.5" customHeight="1">
      <c r="A20" s="49" t="s">
        <v>50</v>
      </c>
      <c r="B20" s="30">
        <f>'BRA Parameters'!B20*(1-'BRA Parameters'!$B$5)/(1-'2nd IA Parameters'!$B$5)</f>
        <v>330.4248918804325</v>
      </c>
      <c r="C20" s="30">
        <f>'BRA Parameters'!C20*(1-'BRA Parameters'!$B$5)/(1-'2nd IA Parameters'!$B$5)</f>
        <v>276.8119461522154</v>
      </c>
      <c r="D20" s="30">
        <f>'BRA Parameters'!D20*(1-'BRA Parameters'!$B$5)/(1-'2nd IA Parameters'!$B$5)</f>
        <v>329.835079499682</v>
      </c>
      <c r="E20" s="30">
        <f>'BRA Parameters'!E20*(1-'BRA Parameters'!$B$5)/(1-'2nd IA Parameters'!$B$5)</f>
        <v>276.8119461522154</v>
      </c>
      <c r="F20" s="30">
        <f>'BRA Parameters'!F20*(1-'BRA Parameters'!$B$5)/(1-'2nd IA Parameters'!$B$5)</f>
        <v>329.835079499682</v>
      </c>
      <c r="G20" s="30">
        <f>'BRA Parameters'!G20*(1-'BRA Parameters'!$B$5)/(1-'2nd IA Parameters'!$B$5)</f>
        <v>329.835079499682</v>
      </c>
      <c r="H20" s="30">
        <f>'BRA Parameters'!H20*(1-'BRA Parameters'!$B$5)/(1-'2nd IA Parameters'!$B$5)</f>
        <v>329.835079499682</v>
      </c>
      <c r="I20" s="30">
        <f>'BRA Parameters'!I20*(1-'BRA Parameters'!$B$5)/(1-'2nd IA Parameters'!$B$5)</f>
        <v>276.8119461522154</v>
      </c>
      <c r="J20" s="30">
        <f>'BRA Parameters'!J20*(1-'BRA Parameters'!$B$5)/(1-'2nd IA Parameters'!$B$5)</f>
        <v>362.52468094127624</v>
      </c>
      <c r="K20" s="30">
        <f>'BRA Parameters'!K20*(1-'BRA Parameters'!$B$5)/(1-'2nd IA Parameters'!$B$5)</f>
        <v>362.52468094127624</v>
      </c>
    </row>
    <row r="21" spans="1:11" ht="19.5" customHeight="1">
      <c r="A21" s="220" t="s">
        <v>52</v>
      </c>
      <c r="B21" s="30"/>
      <c r="C21" s="30"/>
      <c r="D21" s="30"/>
      <c r="E21" s="30"/>
      <c r="F21" s="30"/>
      <c r="G21" s="30"/>
      <c r="H21" s="30"/>
      <c r="I21" s="30"/>
      <c r="J21" s="30"/>
      <c r="K21" s="30"/>
    </row>
    <row r="22" spans="1:11" ht="19.5" customHeight="1">
      <c r="A22" s="47" t="s">
        <v>24</v>
      </c>
      <c r="B22" s="23">
        <f>ROUND(B$20*1.5,2)</f>
        <v>495.64</v>
      </c>
      <c r="C22" s="23">
        <f aca="true" t="shared" si="2" ref="C22:H22">ROUND(C$20*1.5,2)</f>
        <v>415.22</v>
      </c>
      <c r="D22" s="23">
        <f t="shared" si="2"/>
        <v>494.75</v>
      </c>
      <c r="E22" s="23">
        <f t="shared" si="2"/>
        <v>415.22</v>
      </c>
      <c r="F22" s="23">
        <f>ROUND(F$20*1.5,2)</f>
        <v>494.75</v>
      </c>
      <c r="G22" s="23">
        <f t="shared" si="2"/>
        <v>494.75</v>
      </c>
      <c r="H22" s="23">
        <f t="shared" si="2"/>
        <v>494.75</v>
      </c>
      <c r="I22" s="23">
        <f>ROUND(I$20*1.5,2)</f>
        <v>415.22</v>
      </c>
      <c r="J22" s="23">
        <f>ROUND(J$20*1.5,2)</f>
        <v>543.79</v>
      </c>
      <c r="K22" s="23">
        <f>ROUND(K$20*1.5,2)</f>
        <v>543.79</v>
      </c>
    </row>
    <row r="23" spans="1:11" ht="19.5" customHeight="1">
      <c r="A23" s="47" t="s">
        <v>25</v>
      </c>
      <c r="B23" s="23">
        <f>ROUND(B$20,2)</f>
        <v>330.42</v>
      </c>
      <c r="C23" s="23">
        <f aca="true" t="shared" si="3" ref="C23:H23">ROUND(C$20,2)</f>
        <v>276.81</v>
      </c>
      <c r="D23" s="23">
        <f t="shared" si="3"/>
        <v>329.84</v>
      </c>
      <c r="E23" s="23">
        <f t="shared" si="3"/>
        <v>276.81</v>
      </c>
      <c r="F23" s="23">
        <f t="shared" si="3"/>
        <v>329.84</v>
      </c>
      <c r="G23" s="23">
        <f t="shared" si="3"/>
        <v>329.84</v>
      </c>
      <c r="H23" s="23">
        <f t="shared" si="3"/>
        <v>329.84</v>
      </c>
      <c r="I23" s="23">
        <f>ROUND(I$20,2)</f>
        <v>276.81</v>
      </c>
      <c r="J23" s="23">
        <f>ROUND(J$20,2)</f>
        <v>362.52</v>
      </c>
      <c r="K23" s="23">
        <f>ROUND(K$20,2)</f>
        <v>362.52</v>
      </c>
    </row>
    <row r="24" spans="1:11" ht="19.5" customHeight="1">
      <c r="A24" s="47" t="s">
        <v>26</v>
      </c>
      <c r="B24" s="23">
        <f>ROUND(B$20*0.2,2)</f>
        <v>66.08</v>
      </c>
      <c r="C24" s="23">
        <f aca="true" t="shared" si="4" ref="C24:H24">ROUND(C$20*0.2,2)</f>
        <v>55.36</v>
      </c>
      <c r="D24" s="23">
        <f t="shared" si="4"/>
        <v>65.97</v>
      </c>
      <c r="E24" s="23">
        <f t="shared" si="4"/>
        <v>55.36</v>
      </c>
      <c r="F24" s="23">
        <f t="shared" si="4"/>
        <v>65.97</v>
      </c>
      <c r="G24" s="23">
        <f t="shared" si="4"/>
        <v>65.97</v>
      </c>
      <c r="H24" s="23">
        <f t="shared" si="4"/>
        <v>65.97</v>
      </c>
      <c r="I24" s="23">
        <f>ROUND(I$20*0.2,2)</f>
        <v>55.36</v>
      </c>
      <c r="J24" s="23">
        <f>ROUND(J$20*0.2,2)</f>
        <v>72.5</v>
      </c>
      <c r="K24" s="23">
        <f>ROUND(K$20*0.2,2)</f>
        <v>72.5</v>
      </c>
    </row>
    <row r="25" spans="1:11" ht="19.5" customHeight="1">
      <c r="A25" s="47" t="s">
        <v>27</v>
      </c>
      <c r="B25" s="24">
        <f>ROUND(B$18*(1+$B$4-3%)/(1+$B$4)-B19,1)</f>
        <v>151885.7</v>
      </c>
      <c r="C25" s="24">
        <f aca="true" t="shared" si="5" ref="C25:I25">ROUND(C$18*(1+$B$4-3%)/(1+$B$4)-C19,1)</f>
        <v>66203.4</v>
      </c>
      <c r="D25" s="24">
        <f>ROUND(D$18*(1+$B$4-3%)/(1+$B$4)-D19,1)</f>
        <v>36501.4</v>
      </c>
      <c r="E25" s="24">
        <f t="shared" si="5"/>
        <v>15553.5</v>
      </c>
      <c r="F25" s="24">
        <f t="shared" si="5"/>
        <v>11957</v>
      </c>
      <c r="G25" s="24">
        <f t="shared" si="5"/>
        <v>6171.5</v>
      </c>
      <c r="H25" s="24">
        <f t="shared" si="5"/>
        <v>2961.2</v>
      </c>
      <c r="I25" s="24">
        <f t="shared" si="5"/>
        <v>8045.8</v>
      </c>
      <c r="J25" s="24">
        <f>ROUND(J$18*(1+$B$4-3%)/(1+$B$4)-J19,1)</f>
        <v>15272.3</v>
      </c>
      <c r="K25" s="24">
        <f>ROUND(K$18*(1+$B$4-3%)/(1+$B$4)-K19,1)</f>
        <v>5954.8</v>
      </c>
    </row>
    <row r="26" spans="1:11" ht="19.5" customHeight="1">
      <c r="A26" s="47" t="s">
        <v>28</v>
      </c>
      <c r="B26" s="24">
        <f>ROUND(B$18*(1+$B$4+1%)/(1+$B$4)-B19,1)</f>
        <v>157374.7</v>
      </c>
      <c r="C26" s="24">
        <f aca="true" t="shared" si="6" ref="C26:I26">ROUND(C$18*(1+$B$4+1%)/(1+$B$4)-C19,1)</f>
        <v>68592.8</v>
      </c>
      <c r="D26" s="24">
        <f t="shared" si="6"/>
        <v>37818.6</v>
      </c>
      <c r="E26" s="24">
        <f t="shared" si="6"/>
        <v>16114.7</v>
      </c>
      <c r="F26" s="24">
        <f t="shared" si="6"/>
        <v>12388.3</v>
      </c>
      <c r="G26" s="24">
        <f t="shared" si="6"/>
        <v>6393.9</v>
      </c>
      <c r="H26" s="24">
        <f t="shared" si="6"/>
        <v>3067.9</v>
      </c>
      <c r="I26" s="24">
        <f t="shared" si="6"/>
        <v>8335.8</v>
      </c>
      <c r="J26" s="24">
        <f>ROUND(J$18*(1+$B$4+1%)/(1+$B$4)-J19,1)</f>
        <v>15823.1</v>
      </c>
      <c r="K26" s="24">
        <f>ROUND(K$18*(1+$B$4+1%)/(1+$B$4)-K19,1)</f>
        <v>6169.2</v>
      </c>
    </row>
    <row r="27" spans="1:11" ht="19.5" customHeight="1">
      <c r="A27" s="47" t="s">
        <v>29</v>
      </c>
      <c r="B27" s="24">
        <f>ROUND(B$18*(1+$B$4+5%)/(1+$B$4)-B19,1)</f>
        <v>162863.7</v>
      </c>
      <c r="C27" s="24">
        <f aca="true" t="shared" si="7" ref="C27:I27">ROUND(C$18*(1+$B$4+5%)/(1+$B$4)-C19,1)</f>
        <v>70982.2</v>
      </c>
      <c r="D27" s="24">
        <f t="shared" si="7"/>
        <v>39135.7</v>
      </c>
      <c r="E27" s="24">
        <f t="shared" si="7"/>
        <v>16675.9</v>
      </c>
      <c r="F27" s="24">
        <f t="shared" si="7"/>
        <v>12819.6</v>
      </c>
      <c r="G27" s="24">
        <f t="shared" si="7"/>
        <v>6616.4</v>
      </c>
      <c r="H27" s="24">
        <f t="shared" si="7"/>
        <v>3174.6</v>
      </c>
      <c r="I27" s="24">
        <f t="shared" si="7"/>
        <v>8625.8</v>
      </c>
      <c r="J27" s="24">
        <f>ROUND(J$18*(1+$B$4+5%)/(1+$B$4)-J19,1)</f>
        <v>16373.8</v>
      </c>
      <c r="K27" s="24">
        <f>ROUND(K$18*(1+$B$4+5%)/(1+$B$4)-K19,1)</f>
        <v>6383.6</v>
      </c>
    </row>
    <row r="28" spans="1:11" ht="19.5" customHeight="1">
      <c r="A28" s="47" t="s">
        <v>125</v>
      </c>
      <c r="B28" s="44" t="s">
        <v>23</v>
      </c>
      <c r="C28" s="25">
        <v>159</v>
      </c>
      <c r="D28" s="25" t="s">
        <v>23</v>
      </c>
      <c r="E28" s="25" t="s">
        <v>23</v>
      </c>
      <c r="F28" s="22" t="s">
        <v>23</v>
      </c>
      <c r="G28" s="22" t="s">
        <v>23</v>
      </c>
      <c r="H28" s="25">
        <v>37</v>
      </c>
      <c r="I28" s="25" t="s">
        <v>23</v>
      </c>
      <c r="J28" s="22" t="s">
        <v>23</v>
      </c>
      <c r="K28" s="22" t="s">
        <v>23</v>
      </c>
    </row>
    <row r="29" spans="1:11" ht="19.5" customHeight="1">
      <c r="A29" s="47" t="s">
        <v>61</v>
      </c>
      <c r="B29" s="91">
        <v>151251.8</v>
      </c>
      <c r="C29" s="91">
        <v>58831.9</v>
      </c>
      <c r="D29" s="91">
        <v>27080.3</v>
      </c>
      <c r="E29" s="91">
        <v>6447.6</v>
      </c>
      <c r="F29" s="91">
        <v>5154.4</v>
      </c>
      <c r="G29" s="91">
        <v>3135</v>
      </c>
      <c r="H29" s="91">
        <v>1036.3</v>
      </c>
      <c r="I29" s="91">
        <v>1094.7</v>
      </c>
      <c r="J29" s="91">
        <v>7329.9</v>
      </c>
      <c r="K29" s="91">
        <v>707.2</v>
      </c>
    </row>
    <row r="30" spans="1:11" ht="19.5" customHeight="1">
      <c r="A30" s="47" t="s">
        <v>62</v>
      </c>
      <c r="B30" s="91">
        <v>144009.3</v>
      </c>
      <c r="C30" s="91">
        <v>54082.2</v>
      </c>
      <c r="D30" s="91">
        <v>22578.1</v>
      </c>
      <c r="E30" s="91">
        <v>5379.3</v>
      </c>
      <c r="F30" s="91">
        <v>3592.7</v>
      </c>
      <c r="G30" s="91">
        <v>2462.7</v>
      </c>
      <c r="H30" s="91">
        <v>855.9</v>
      </c>
      <c r="I30" s="96">
        <v>0</v>
      </c>
      <c r="J30" s="91">
        <v>5839.5</v>
      </c>
      <c r="K30" s="96">
        <v>0</v>
      </c>
    </row>
    <row r="31" spans="1:11" ht="19.5" customHeight="1">
      <c r="A31" s="221" t="s">
        <v>198</v>
      </c>
      <c r="B31" s="16"/>
      <c r="C31" s="16"/>
      <c r="D31" s="16"/>
      <c r="E31" s="16"/>
      <c r="F31" s="16"/>
      <c r="G31" s="16"/>
      <c r="H31" s="16"/>
      <c r="I31" s="16"/>
      <c r="J31" s="16"/>
      <c r="K31" s="16"/>
    </row>
    <row r="32" spans="1:11" ht="19.5" customHeight="1">
      <c r="A32" s="217" t="s">
        <v>73</v>
      </c>
      <c r="B32" s="44" t="s">
        <v>23</v>
      </c>
      <c r="C32" s="44" t="s">
        <v>23</v>
      </c>
      <c r="D32" s="44" t="s">
        <v>23</v>
      </c>
      <c r="E32" s="44" t="s">
        <v>23</v>
      </c>
      <c r="F32" s="44" t="s">
        <v>23</v>
      </c>
      <c r="G32" s="44" t="s">
        <v>23</v>
      </c>
      <c r="H32" s="44" t="s">
        <v>23</v>
      </c>
      <c r="I32" s="44" t="s">
        <v>23</v>
      </c>
      <c r="J32" s="44" t="s">
        <v>23</v>
      </c>
      <c r="K32" s="44" t="s">
        <v>23</v>
      </c>
    </row>
    <row r="33" spans="1:11" ht="19.5" customHeight="1">
      <c r="A33" s="218" t="s">
        <v>74</v>
      </c>
      <c r="B33" s="94">
        <v>0.954304</v>
      </c>
      <c r="C33" s="216" t="s">
        <v>23</v>
      </c>
      <c r="D33" s="216" t="s">
        <v>23</v>
      </c>
      <c r="E33" s="216" t="s">
        <v>23</v>
      </c>
      <c r="F33" s="216" t="s">
        <v>23</v>
      </c>
      <c r="G33" s="216" t="s">
        <v>23</v>
      </c>
      <c r="H33" s="216" t="s">
        <v>23</v>
      </c>
      <c r="I33" s="216" t="s">
        <v>23</v>
      </c>
      <c r="J33" s="216" t="s">
        <v>23</v>
      </c>
      <c r="K33" s="216" t="s">
        <v>23</v>
      </c>
    </row>
    <row r="34" spans="1:11" ht="19.5" customHeight="1">
      <c r="A34" s="70" t="s">
        <v>75</v>
      </c>
      <c r="B34" s="94">
        <v>0.9086080000000001</v>
      </c>
      <c r="C34" s="216" t="s">
        <v>23</v>
      </c>
      <c r="D34" s="216" t="s">
        <v>23</v>
      </c>
      <c r="E34" s="216" t="s">
        <v>23</v>
      </c>
      <c r="F34" s="216" t="s">
        <v>23</v>
      </c>
      <c r="G34" s="216" t="s">
        <v>23</v>
      </c>
      <c r="H34" s="216" t="s">
        <v>23</v>
      </c>
      <c r="I34" s="216" t="s">
        <v>23</v>
      </c>
      <c r="J34" s="216" t="s">
        <v>23</v>
      </c>
      <c r="K34" s="216" t="s">
        <v>23</v>
      </c>
    </row>
  </sheetData>
  <sheetProtection/>
  <mergeCells count="11">
    <mergeCell ref="C6:K6"/>
    <mergeCell ref="C7:K7"/>
    <mergeCell ref="C8:K8"/>
    <mergeCell ref="C9:K9"/>
    <mergeCell ref="C10:K10"/>
    <mergeCell ref="C11:K11"/>
    <mergeCell ref="A1:B1"/>
    <mergeCell ref="A2:B2"/>
    <mergeCell ref="C3:K3"/>
    <mergeCell ref="C4:K4"/>
    <mergeCell ref="C5:K5"/>
  </mergeCells>
  <printOptions/>
  <pageMargins left="0.45" right="0.45" top="0.5" bottom="0.5" header="0.3" footer="0.3"/>
  <pageSetup fitToHeight="1" fitToWidth="1"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B1"/>
    </sheetView>
  </sheetViews>
  <sheetFormatPr defaultColWidth="9.140625" defaultRowHeight="12.75"/>
  <cols>
    <col min="1" max="1" width="46.7109375" style="0" customWidth="1"/>
    <col min="2" max="2" width="18.140625" style="0" customWidth="1"/>
    <col min="3" max="11" width="16.7109375" style="0" customWidth="1"/>
  </cols>
  <sheetData>
    <row r="1" spans="1:9" ht="19.5" customHeight="1">
      <c r="A1" s="262" t="s">
        <v>177</v>
      </c>
      <c r="B1" s="262"/>
      <c r="C1" s="175"/>
      <c r="D1" s="175"/>
      <c r="E1" s="175"/>
      <c r="F1" s="175"/>
      <c r="G1" s="173" t="s">
        <v>12</v>
      </c>
      <c r="H1" s="174" t="s">
        <v>12</v>
      </c>
      <c r="I1" s="33" t="s">
        <v>12</v>
      </c>
    </row>
    <row r="2" spans="1:9" ht="19.5" customHeight="1">
      <c r="A2" s="263" t="s">
        <v>12</v>
      </c>
      <c r="B2" s="263"/>
      <c r="C2" s="34"/>
      <c r="D2" s="34"/>
      <c r="E2" s="35"/>
      <c r="F2" s="35"/>
      <c r="G2" s="36"/>
      <c r="H2" s="33"/>
      <c r="I2" s="33"/>
    </row>
    <row r="3" spans="1:11" ht="19.5" customHeight="1">
      <c r="A3" s="101"/>
      <c r="B3" s="102" t="s">
        <v>13</v>
      </c>
      <c r="C3" s="257" t="s">
        <v>41</v>
      </c>
      <c r="D3" s="257"/>
      <c r="E3" s="257"/>
      <c r="F3" s="257"/>
      <c r="G3" s="257"/>
      <c r="H3" s="257"/>
      <c r="I3" s="257"/>
      <c r="J3" s="257"/>
      <c r="K3" s="257"/>
    </row>
    <row r="4" spans="1:11" ht="19.5" customHeight="1">
      <c r="A4" s="37" t="s">
        <v>34</v>
      </c>
      <c r="B4" s="38">
        <v>0.157</v>
      </c>
      <c r="C4" s="257" t="s">
        <v>176</v>
      </c>
      <c r="D4" s="257"/>
      <c r="E4" s="257"/>
      <c r="F4" s="257"/>
      <c r="G4" s="257"/>
      <c r="H4" s="257"/>
      <c r="I4" s="257"/>
      <c r="J4" s="257"/>
      <c r="K4" s="257"/>
    </row>
    <row r="5" spans="1:11" ht="19.5" customHeight="1">
      <c r="A5" s="37" t="s">
        <v>35</v>
      </c>
      <c r="B5" s="39">
        <v>0.0564</v>
      </c>
      <c r="C5" s="257" t="s">
        <v>113</v>
      </c>
      <c r="D5" s="257"/>
      <c r="E5" s="257"/>
      <c r="F5" s="257"/>
      <c r="G5" s="257"/>
      <c r="H5" s="257"/>
      <c r="I5" s="257"/>
      <c r="J5" s="257"/>
      <c r="K5" s="257"/>
    </row>
    <row r="6" spans="1:11" ht="19.5" customHeight="1">
      <c r="A6" s="37" t="s">
        <v>36</v>
      </c>
      <c r="B6" s="40">
        <v>1.0917</v>
      </c>
      <c r="C6" s="256" t="s">
        <v>12</v>
      </c>
      <c r="D6" s="256"/>
      <c r="E6" s="256"/>
      <c r="F6" s="256"/>
      <c r="G6" s="256"/>
      <c r="H6" s="256"/>
      <c r="I6" s="256"/>
      <c r="J6" s="256"/>
      <c r="K6" s="256"/>
    </row>
    <row r="7" spans="1:11" ht="19.5" customHeight="1">
      <c r="A7" s="37" t="s">
        <v>42</v>
      </c>
      <c r="B7" s="41">
        <v>0.953</v>
      </c>
      <c r="C7" s="256" t="s">
        <v>12</v>
      </c>
      <c r="D7" s="256"/>
      <c r="E7" s="256"/>
      <c r="F7" s="256"/>
      <c r="G7" s="256"/>
      <c r="H7" s="256"/>
      <c r="I7" s="256"/>
      <c r="J7" s="256"/>
      <c r="K7" s="256"/>
    </row>
    <row r="8" spans="1:11" ht="19.5" customHeight="1">
      <c r="A8" s="37" t="s">
        <v>37</v>
      </c>
      <c r="B8" s="6">
        <v>162749.7</v>
      </c>
      <c r="C8" s="256" t="s">
        <v>12</v>
      </c>
      <c r="D8" s="256"/>
      <c r="E8" s="256"/>
      <c r="F8" s="256"/>
      <c r="G8" s="256"/>
      <c r="H8" s="256"/>
      <c r="I8" s="256"/>
      <c r="J8" s="256"/>
      <c r="K8" s="256"/>
    </row>
    <row r="9" spans="1:11" ht="19.5" customHeight="1">
      <c r="A9" s="37" t="s">
        <v>44</v>
      </c>
      <c r="B9" s="42" t="s">
        <v>178</v>
      </c>
      <c r="C9" s="256" t="s">
        <v>12</v>
      </c>
      <c r="D9" s="256"/>
      <c r="E9" s="256"/>
      <c r="F9" s="256"/>
      <c r="G9" s="256"/>
      <c r="H9" s="256"/>
      <c r="I9" s="256"/>
      <c r="J9" s="256"/>
      <c r="K9" s="256"/>
    </row>
    <row r="10" spans="1:11" ht="19.5" customHeight="1">
      <c r="A10" s="37" t="s">
        <v>12</v>
      </c>
      <c r="B10" s="54" t="s">
        <v>12</v>
      </c>
      <c r="C10" s="258" t="s">
        <v>12</v>
      </c>
      <c r="D10" s="259"/>
      <c r="E10" s="259"/>
      <c r="F10" s="259"/>
      <c r="G10" s="259"/>
      <c r="H10" s="259"/>
      <c r="I10" s="259"/>
      <c r="J10" s="259"/>
      <c r="K10" s="260"/>
    </row>
    <row r="11" spans="1:11" ht="19.5" customHeight="1">
      <c r="A11" s="37"/>
      <c r="B11" s="55" t="s">
        <v>12</v>
      </c>
      <c r="C11" s="261" t="s">
        <v>57</v>
      </c>
      <c r="D11" s="261"/>
      <c r="E11" s="261"/>
      <c r="F11" s="261"/>
      <c r="G11" s="261"/>
      <c r="H11" s="261"/>
      <c r="I11" s="261"/>
      <c r="J11" s="261"/>
      <c r="K11" s="261"/>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v>6840</v>
      </c>
      <c r="D13" s="26">
        <v>8260</v>
      </c>
      <c r="E13" s="26">
        <v>5250</v>
      </c>
      <c r="F13" s="26">
        <v>6180</v>
      </c>
      <c r="G13" s="26">
        <v>2450</v>
      </c>
      <c r="H13" s="26">
        <v>1430</v>
      </c>
      <c r="I13" s="26">
        <v>3270</v>
      </c>
      <c r="J13" s="26">
        <v>5850</v>
      </c>
      <c r="K13" s="26">
        <v>3360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177673.8</v>
      </c>
      <c r="C15" s="24">
        <v>70854</v>
      </c>
      <c r="D15" s="83">
        <v>39070</v>
      </c>
      <c r="E15" s="83">
        <v>16785</v>
      </c>
      <c r="F15" s="83">
        <v>12709</v>
      </c>
      <c r="G15" s="83">
        <v>6438</v>
      </c>
      <c r="H15" s="83">
        <v>3196</v>
      </c>
      <c r="I15" s="83">
        <v>8732</v>
      </c>
      <c r="J15" s="83">
        <v>16019</v>
      </c>
      <c r="K15" s="83">
        <v>6265</v>
      </c>
    </row>
    <row r="16" spans="1:11" ht="19.5" customHeight="1">
      <c r="A16" s="47" t="s">
        <v>48</v>
      </c>
      <c r="B16" s="26">
        <v>12841.4</v>
      </c>
      <c r="C16" s="27">
        <v>0</v>
      </c>
      <c r="D16" s="27">
        <v>0</v>
      </c>
      <c r="E16" s="27">
        <v>0</v>
      </c>
      <c r="F16" s="27">
        <v>0</v>
      </c>
      <c r="G16" s="27">
        <v>0</v>
      </c>
      <c r="H16" s="27">
        <v>0</v>
      </c>
      <c r="I16" s="27">
        <v>0</v>
      </c>
      <c r="J16" s="27">
        <v>0</v>
      </c>
      <c r="K16" s="27">
        <v>0</v>
      </c>
    </row>
    <row r="17" spans="1:11" ht="19.5" customHeight="1">
      <c r="A17" s="47" t="s">
        <v>47</v>
      </c>
      <c r="B17" s="26">
        <f>ROUND(B16*$B$6,1)</f>
        <v>14019</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163654.8</v>
      </c>
      <c r="C18" s="29">
        <f>C15-C17</f>
        <v>70854</v>
      </c>
      <c r="D18" s="29">
        <f aca="true" t="shared" si="1" ref="D18:I18">D15-D17</f>
        <v>39070</v>
      </c>
      <c r="E18" s="29">
        <f t="shared" si="1"/>
        <v>16785</v>
      </c>
      <c r="F18" s="29">
        <f t="shared" si="1"/>
        <v>12709</v>
      </c>
      <c r="G18" s="29">
        <f t="shared" si="1"/>
        <v>6438</v>
      </c>
      <c r="H18" s="29">
        <f t="shared" si="1"/>
        <v>3196</v>
      </c>
      <c r="I18" s="29">
        <f t="shared" si="1"/>
        <v>8732</v>
      </c>
      <c r="J18" s="29">
        <f>J15-J17</f>
        <v>16019</v>
      </c>
      <c r="K18" s="29">
        <f>K15-K17</f>
        <v>6265</v>
      </c>
    </row>
    <row r="19" spans="1:11" ht="19.5" customHeight="1">
      <c r="A19" s="48" t="s">
        <v>44</v>
      </c>
      <c r="B19" s="24">
        <f>0.8*'BRA Parameters'!B19</f>
        <v>3322.56</v>
      </c>
      <c r="C19" s="24">
        <f>0.8*'BRA Parameters'!C19</f>
        <v>1331.7922439963618</v>
      </c>
      <c r="D19" s="24">
        <f>0.8*'BRA Parameters'!D19</f>
        <v>726.0535352461501</v>
      </c>
      <c r="E19" s="24">
        <f>0.8*'BRA Parameters'!E19</f>
        <v>307.175657063208</v>
      </c>
      <c r="F19" s="24">
        <f>0.8*'BRA Parameters'!F19</f>
        <v>231.12308098168688</v>
      </c>
      <c r="G19" s="24">
        <f>0.8*'BRA Parameters'!G19</f>
        <v>112.09469427611815</v>
      </c>
      <c r="H19" s="24">
        <f>0.8*'BRA Parameters'!H19</f>
        <v>53.17357147075847</v>
      </c>
      <c r="I19" s="24">
        <f>0.8*'BRA Parameters'!I19</f>
        <v>148.2676368561765</v>
      </c>
      <c r="J19" s="24">
        <f>0.8*'BRA Parameters'!J19</f>
        <v>289.88503411806863</v>
      </c>
      <c r="K19" s="24">
        <f>0.8*'BRA Parameters'!K19</f>
        <v>99.47668229837265</v>
      </c>
    </row>
    <row r="20" spans="1:11" ht="19.5" customHeight="1">
      <c r="A20" s="49" t="s">
        <v>50</v>
      </c>
      <c r="B20" s="30">
        <f>'BRA Parameters'!B20*(1-'BRA Parameters'!$B$5)/(1-'1st IA Parameters'!$B$5)</f>
        <v>330.35485693090294</v>
      </c>
      <c r="C20" s="30">
        <f>'BRA Parameters'!C20*(1-'BRA Parameters'!$B$5)/(1-'1st IA Parameters'!$B$5)</f>
        <v>276.75327469266637</v>
      </c>
      <c r="D20" s="30">
        <f>'BRA Parameters'!D20*(1-'BRA Parameters'!$B$5)/(1-'1st IA Parameters'!$B$5)</f>
        <v>329.76516956337434</v>
      </c>
      <c r="E20" s="30">
        <f>'BRA Parameters'!E20*(1-'BRA Parameters'!$B$5)/(1-'1st IA Parameters'!$B$5)</f>
        <v>276.75327469266637</v>
      </c>
      <c r="F20" s="30">
        <f>'BRA Parameters'!F20*(1-'BRA Parameters'!$B$5)/(1-'1st IA Parameters'!$B$5)</f>
        <v>329.76516956337434</v>
      </c>
      <c r="G20" s="30">
        <f>'BRA Parameters'!G20*(1-'BRA Parameters'!$B$5)/(1-'1st IA Parameters'!$B$5)</f>
        <v>329.76516956337434</v>
      </c>
      <c r="H20" s="30">
        <f>'BRA Parameters'!H20*(1-'BRA Parameters'!$B$5)/(1-'1st IA Parameters'!$B$5)</f>
        <v>329.76516956337434</v>
      </c>
      <c r="I20" s="30">
        <f>'BRA Parameters'!I20*(1-'BRA Parameters'!$B$5)/(1-'1st IA Parameters'!$B$5)</f>
        <v>276.75327469266637</v>
      </c>
      <c r="J20" s="30">
        <f>'BRA Parameters'!J20*(1-'BRA Parameters'!$B$5)/(1-'1st IA Parameters'!$B$5)</f>
        <v>362.4478423060619</v>
      </c>
      <c r="K20" s="30">
        <f>'BRA Parameters'!K20*(1-'BRA Parameters'!$B$5)/(1-'1st IA Parameters'!$B$5)</f>
        <v>362.4478423060619</v>
      </c>
    </row>
    <row r="21" spans="1:11" ht="19.5" customHeight="1">
      <c r="A21" s="49" t="s">
        <v>52</v>
      </c>
      <c r="B21" s="30"/>
      <c r="C21" s="30"/>
      <c r="D21" s="30"/>
      <c r="E21" s="30"/>
      <c r="F21" s="30"/>
      <c r="G21" s="30"/>
      <c r="H21" s="30"/>
      <c r="I21" s="30"/>
      <c r="J21" s="30"/>
      <c r="K21" s="30"/>
    </row>
    <row r="22" spans="1:11" ht="19.5" customHeight="1">
      <c r="A22" s="47" t="s">
        <v>24</v>
      </c>
      <c r="B22" s="23">
        <f>ROUND(B$20*1.5,2)</f>
        <v>495.53</v>
      </c>
      <c r="C22" s="23">
        <f aca="true" t="shared" si="2" ref="C22:H22">ROUND(C$20*1.5,2)</f>
        <v>415.13</v>
      </c>
      <c r="D22" s="23">
        <f t="shared" si="2"/>
        <v>494.65</v>
      </c>
      <c r="E22" s="23">
        <f t="shared" si="2"/>
        <v>415.13</v>
      </c>
      <c r="F22" s="23">
        <f>ROUND(F$20*1.5,2)</f>
        <v>494.65</v>
      </c>
      <c r="G22" s="23">
        <f t="shared" si="2"/>
        <v>494.65</v>
      </c>
      <c r="H22" s="23">
        <f t="shared" si="2"/>
        <v>494.65</v>
      </c>
      <c r="I22" s="23">
        <f>ROUND(I$20*1.5,2)</f>
        <v>415.13</v>
      </c>
      <c r="J22" s="23">
        <f>ROUND(J$20*1.5,2)</f>
        <v>543.67</v>
      </c>
      <c r="K22" s="23">
        <f>ROUND(K$20*1.5,2)</f>
        <v>543.67</v>
      </c>
    </row>
    <row r="23" spans="1:11" ht="19.5" customHeight="1">
      <c r="A23" s="47" t="s">
        <v>25</v>
      </c>
      <c r="B23" s="23">
        <f>ROUND(B$20,2)</f>
        <v>330.35</v>
      </c>
      <c r="C23" s="23">
        <f aca="true" t="shared" si="3" ref="C23:H23">ROUND(C$20,2)</f>
        <v>276.75</v>
      </c>
      <c r="D23" s="23">
        <f t="shared" si="3"/>
        <v>329.77</v>
      </c>
      <c r="E23" s="23">
        <f t="shared" si="3"/>
        <v>276.75</v>
      </c>
      <c r="F23" s="23">
        <f t="shared" si="3"/>
        <v>329.77</v>
      </c>
      <c r="G23" s="23">
        <f t="shared" si="3"/>
        <v>329.77</v>
      </c>
      <c r="H23" s="23">
        <f t="shared" si="3"/>
        <v>329.77</v>
      </c>
      <c r="I23" s="23">
        <f>ROUND(I$20,2)</f>
        <v>276.75</v>
      </c>
      <c r="J23" s="23">
        <f>ROUND(J$20,2)</f>
        <v>362.45</v>
      </c>
      <c r="K23" s="23">
        <f>ROUND(K$20,2)</f>
        <v>362.45</v>
      </c>
    </row>
    <row r="24" spans="1:11" ht="19.5" customHeight="1">
      <c r="A24" s="47" t="s">
        <v>26</v>
      </c>
      <c r="B24" s="23">
        <f>ROUND(B$20*0.2,2)</f>
        <v>66.07</v>
      </c>
      <c r="C24" s="23">
        <f aca="true" t="shared" si="4" ref="C24:H24">ROUND(C$20*0.2,2)</f>
        <v>55.35</v>
      </c>
      <c r="D24" s="23">
        <f t="shared" si="4"/>
        <v>65.95</v>
      </c>
      <c r="E24" s="23">
        <f t="shared" si="4"/>
        <v>55.35</v>
      </c>
      <c r="F24" s="23">
        <f t="shared" si="4"/>
        <v>65.95</v>
      </c>
      <c r="G24" s="23">
        <f t="shared" si="4"/>
        <v>65.95</v>
      </c>
      <c r="H24" s="23">
        <f t="shared" si="4"/>
        <v>65.95</v>
      </c>
      <c r="I24" s="23">
        <f>ROUND(I$20*0.2,2)</f>
        <v>55.35</v>
      </c>
      <c r="J24" s="23">
        <f>ROUND(J$20*0.2,2)</f>
        <v>72.49</v>
      </c>
      <c r="K24" s="23">
        <f>ROUND(K$20*0.2,2)</f>
        <v>72.49</v>
      </c>
    </row>
    <row r="25" spans="1:11" ht="19.5" customHeight="1">
      <c r="A25" s="47" t="s">
        <v>27</v>
      </c>
      <c r="B25" s="24">
        <f aca="true" t="shared" si="5" ref="B25:I25">ROUND(B$18*(1+$B$4-3%)/(1+$B$4)-B19,1)</f>
        <v>156088.8</v>
      </c>
      <c r="C25" s="24">
        <f t="shared" si="5"/>
        <v>67685</v>
      </c>
      <c r="D25" s="24">
        <f t="shared" si="5"/>
        <v>37330.9</v>
      </c>
      <c r="E25" s="24">
        <f t="shared" si="5"/>
        <v>16042.6</v>
      </c>
      <c r="F25" s="24">
        <f t="shared" si="5"/>
        <v>12148.3</v>
      </c>
      <c r="G25" s="24">
        <f t="shared" si="5"/>
        <v>6159</v>
      </c>
      <c r="H25" s="24">
        <f t="shared" si="5"/>
        <v>3060</v>
      </c>
      <c r="I25" s="24">
        <f t="shared" si="5"/>
        <v>8357.3</v>
      </c>
      <c r="J25" s="24">
        <f>ROUND(J$18*(1+$B$4-3%)/(1+$B$4)-J19,1)</f>
        <v>15313.8</v>
      </c>
      <c r="K25" s="24">
        <f>ROUND(K$18*(1+$B$4-3%)/(1+$B$4)-K19,1)</f>
        <v>6003.1</v>
      </c>
    </row>
    <row r="26" spans="1:11" ht="19.5" customHeight="1">
      <c r="A26" s="47" t="s">
        <v>28</v>
      </c>
      <c r="B26" s="24">
        <f aca="true" t="shared" si="6" ref="B26:I26">ROUND(B$18*(1+$B$4+1%)/(1+$B$4)-B19,1)</f>
        <v>161746.7</v>
      </c>
      <c r="C26" s="24">
        <f t="shared" si="6"/>
        <v>70134.6</v>
      </c>
      <c r="D26" s="24">
        <f t="shared" si="6"/>
        <v>38681.6</v>
      </c>
      <c r="E26" s="24">
        <f t="shared" si="6"/>
        <v>16622.9</v>
      </c>
      <c r="F26" s="24">
        <f t="shared" si="6"/>
        <v>12587.7</v>
      </c>
      <c r="G26" s="24">
        <f t="shared" si="6"/>
        <v>6381.5</v>
      </c>
      <c r="H26" s="24">
        <f t="shared" si="6"/>
        <v>3170.4</v>
      </c>
      <c r="I26" s="24">
        <f t="shared" si="6"/>
        <v>8659.2</v>
      </c>
      <c r="J26" s="24">
        <f>ROUND(J$18*(1+$B$4+1%)/(1+$B$4)-J19,1)</f>
        <v>15867.6</v>
      </c>
      <c r="K26" s="24">
        <f>ROUND(K$18*(1+$B$4+1%)/(1+$B$4)-K19,1)</f>
        <v>6219.7</v>
      </c>
    </row>
    <row r="27" spans="1:11" ht="19.5" customHeight="1">
      <c r="A27" s="47" t="s">
        <v>29</v>
      </c>
      <c r="B27" s="24">
        <f aca="true" t="shared" si="7" ref="B27:I27">ROUND(B$18*(1+$B$4+5%)/(1+$B$4)-B19,1)</f>
        <v>167404.6</v>
      </c>
      <c r="C27" s="24">
        <f t="shared" si="7"/>
        <v>72584.2</v>
      </c>
      <c r="D27" s="24">
        <f t="shared" si="7"/>
        <v>40032.4</v>
      </c>
      <c r="E27" s="24">
        <f t="shared" si="7"/>
        <v>17203.2</v>
      </c>
      <c r="F27" s="24">
        <f t="shared" si="7"/>
        <v>13027.1</v>
      </c>
      <c r="G27" s="24">
        <f t="shared" si="7"/>
        <v>6604.1</v>
      </c>
      <c r="H27" s="24">
        <f t="shared" si="7"/>
        <v>3280.9</v>
      </c>
      <c r="I27" s="24">
        <f t="shared" si="7"/>
        <v>8961.1</v>
      </c>
      <c r="J27" s="24">
        <f>ROUND(J$18*(1+$B$4+5%)/(1+$B$4)-J19,1)</f>
        <v>16421.4</v>
      </c>
      <c r="K27" s="24">
        <f>ROUND(K$18*(1+$B$4+5%)/(1+$B$4)-K19,1)</f>
        <v>6436.3</v>
      </c>
    </row>
    <row r="28" spans="1:11" ht="19.5" customHeight="1">
      <c r="A28" s="47" t="s">
        <v>125</v>
      </c>
      <c r="B28" s="44" t="s">
        <v>23</v>
      </c>
      <c r="C28" s="25">
        <v>159</v>
      </c>
      <c r="D28" s="25" t="s">
        <v>23</v>
      </c>
      <c r="E28" s="25">
        <v>444</v>
      </c>
      <c r="F28" s="22" t="s">
        <v>23</v>
      </c>
      <c r="G28" s="22" t="s">
        <v>23</v>
      </c>
      <c r="H28" s="25">
        <v>37</v>
      </c>
      <c r="I28" s="25">
        <v>191</v>
      </c>
      <c r="J28" s="22" t="s">
        <v>23</v>
      </c>
      <c r="K28" s="22" t="s">
        <v>23</v>
      </c>
    </row>
    <row r="29" spans="1:11" ht="19.5" customHeight="1">
      <c r="A29" s="47" t="s">
        <v>61</v>
      </c>
      <c r="B29" s="91">
        <v>156324.5</v>
      </c>
      <c r="C29" s="91">
        <v>61796.6</v>
      </c>
      <c r="D29" s="91">
        <v>28005.1</v>
      </c>
      <c r="E29" s="91">
        <v>6975.5</v>
      </c>
      <c r="F29" s="91">
        <v>5369.4</v>
      </c>
      <c r="G29" s="91">
        <v>3134.1</v>
      </c>
      <c r="H29" s="91">
        <v>1147.8</v>
      </c>
      <c r="I29" s="91">
        <v>1432.6</v>
      </c>
      <c r="J29" s="91">
        <v>7434</v>
      </c>
      <c r="K29" s="91">
        <v>778.4</v>
      </c>
    </row>
    <row r="30" spans="1:11" ht="19.5" customHeight="1">
      <c r="A30" s="47" t="s">
        <v>62</v>
      </c>
      <c r="B30" s="91">
        <v>146654.8</v>
      </c>
      <c r="C30" s="91">
        <v>57046.8</v>
      </c>
      <c r="D30" s="91">
        <v>24048.3</v>
      </c>
      <c r="E30" s="91">
        <v>5721.3</v>
      </c>
      <c r="F30" s="91">
        <v>3863.1</v>
      </c>
      <c r="G30" s="91">
        <v>2545.4</v>
      </c>
      <c r="H30" s="91">
        <v>960.7</v>
      </c>
      <c r="I30" s="91">
        <v>421.1</v>
      </c>
      <c r="J30" s="91">
        <v>5768.7</v>
      </c>
      <c r="K30" s="96">
        <v>0</v>
      </c>
    </row>
    <row r="31" spans="1:11" ht="19.5" customHeight="1">
      <c r="A31" s="50" t="s">
        <v>72</v>
      </c>
      <c r="B31" s="16"/>
      <c r="C31" s="16"/>
      <c r="D31" s="16"/>
      <c r="E31" s="16"/>
      <c r="F31" s="16"/>
      <c r="G31" s="16"/>
      <c r="H31" s="16"/>
      <c r="I31" s="16"/>
      <c r="J31" s="16"/>
      <c r="K31" s="16"/>
    </row>
    <row r="32" spans="1:11" ht="19.5" customHeight="1">
      <c r="A32" s="47" t="s">
        <v>73</v>
      </c>
      <c r="B32" s="44" t="s">
        <v>23</v>
      </c>
      <c r="C32" s="44" t="s">
        <v>23</v>
      </c>
      <c r="D32" s="44" t="s">
        <v>23</v>
      </c>
      <c r="E32" s="44" t="s">
        <v>23</v>
      </c>
      <c r="F32" s="44" t="s">
        <v>23</v>
      </c>
      <c r="G32" s="44" t="s">
        <v>23</v>
      </c>
      <c r="H32" s="44" t="s">
        <v>23</v>
      </c>
      <c r="I32" s="44" t="s">
        <v>23</v>
      </c>
      <c r="J32" s="44" t="s">
        <v>23</v>
      </c>
      <c r="K32" s="44" t="s">
        <v>23</v>
      </c>
    </row>
    <row r="33" spans="1:11" ht="19.5" customHeight="1">
      <c r="A33" s="51" t="s">
        <v>74</v>
      </c>
      <c r="B33" s="94">
        <v>0.9552084432797003</v>
      </c>
      <c r="C33" s="94">
        <v>0.9423158410118925</v>
      </c>
      <c r="D33" s="216">
        <v>0.7824285574695221</v>
      </c>
      <c r="E33" s="216">
        <v>0.4611407323825524</v>
      </c>
      <c r="F33" s="216">
        <v>0.47219780694493163</v>
      </c>
      <c r="G33" s="216">
        <v>0.568279703067174</v>
      </c>
      <c r="H33" s="216">
        <v>0.43852747173227397</v>
      </c>
      <c r="I33" s="216">
        <v>0.19571060585031239</v>
      </c>
      <c r="J33" s="216">
        <v>0.5232887608084872</v>
      </c>
      <c r="K33" s="216">
        <v>0.15967535507856348</v>
      </c>
    </row>
    <row r="34" spans="1:11" ht="19.5" customHeight="1">
      <c r="A34" s="176" t="s">
        <v>75</v>
      </c>
      <c r="B34" s="94">
        <v>0.8961224432797004</v>
      </c>
      <c r="C34" s="94">
        <v>0.8698878410118925</v>
      </c>
      <c r="D34" s="216">
        <v>0.6718805574695221</v>
      </c>
      <c r="E34" s="216">
        <v>0.3782297323825524</v>
      </c>
      <c r="F34" s="216">
        <v>0.33973080694493174</v>
      </c>
      <c r="G34" s="216">
        <v>0.46154370306717407</v>
      </c>
      <c r="H34" s="216">
        <v>0.36705247173227395</v>
      </c>
      <c r="I34" s="216">
        <v>0.05752560585031238</v>
      </c>
      <c r="J34" s="216">
        <v>0.40606976080848717</v>
      </c>
      <c r="K34" s="216">
        <v>0</v>
      </c>
    </row>
  </sheetData>
  <sheetProtection/>
  <mergeCells count="11">
    <mergeCell ref="C6:K6"/>
    <mergeCell ref="A1:B1"/>
    <mergeCell ref="C10:K10"/>
    <mergeCell ref="C11:K11"/>
    <mergeCell ref="C7:K7"/>
    <mergeCell ref="C8:K8"/>
    <mergeCell ref="C9:K9"/>
    <mergeCell ref="A2:B2"/>
    <mergeCell ref="C3:K3"/>
    <mergeCell ref="C4:K4"/>
    <mergeCell ref="C5:K5"/>
  </mergeCells>
  <printOptions/>
  <pageMargins left="0.45" right="0.45" top="0.5" bottom="0.5" header="0.3" footer="0.3"/>
  <pageSetup fitToHeight="1" fitToWidth="1" horizontalDpi="600" verticalDpi="600" orientation="landscape" scale="61" r:id="rId1"/>
</worksheet>
</file>

<file path=xl/worksheets/sheet7.xml><?xml version="1.0" encoding="utf-8"?>
<worksheet xmlns="http://schemas.openxmlformats.org/spreadsheetml/2006/main" xmlns:r="http://schemas.openxmlformats.org/officeDocument/2006/relationships">
  <sheetPr>
    <pageSetUpPr fitToPage="1"/>
  </sheetPr>
  <dimension ref="A1:M81"/>
  <sheetViews>
    <sheetView zoomScaleSheetLayoutView="75" workbookViewId="0" topLeftCell="A1">
      <selection activeCell="A1" sqref="A1:F1"/>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1" width="18.7109375" style="0" customWidth="1"/>
  </cols>
  <sheetData>
    <row r="1" spans="1:9" ht="24.75" customHeight="1" thickBot="1">
      <c r="A1" s="272" t="s">
        <v>91</v>
      </c>
      <c r="B1" s="273"/>
      <c r="C1" s="273"/>
      <c r="D1" s="273"/>
      <c r="E1" s="273"/>
      <c r="F1" s="274"/>
      <c r="G1" s="45">
        <v>41394</v>
      </c>
      <c r="H1" s="85" t="s">
        <v>136</v>
      </c>
      <c r="I1" s="33" t="s">
        <v>12</v>
      </c>
    </row>
    <row r="2" spans="1:9" ht="18.75" thickBot="1">
      <c r="A2" s="279" t="s">
        <v>134</v>
      </c>
      <c r="B2" s="280"/>
      <c r="C2" s="34"/>
      <c r="D2" s="34"/>
      <c r="E2" s="35"/>
      <c r="F2" s="35"/>
      <c r="G2" s="36"/>
      <c r="H2" s="33"/>
      <c r="I2" s="33"/>
    </row>
    <row r="3" spans="1:12" ht="19.5" customHeight="1">
      <c r="A3" s="101"/>
      <c r="B3" s="102" t="s">
        <v>13</v>
      </c>
      <c r="C3" s="257" t="s">
        <v>41</v>
      </c>
      <c r="D3" s="257"/>
      <c r="E3" s="257"/>
      <c r="F3" s="257"/>
      <c r="G3" s="257"/>
      <c r="H3" s="257"/>
      <c r="I3" s="257"/>
      <c r="J3" s="257"/>
      <c r="K3" s="257"/>
      <c r="L3" s="90" t="s">
        <v>12</v>
      </c>
    </row>
    <row r="4" spans="1:11" ht="19.5" customHeight="1">
      <c r="A4" s="37" t="s">
        <v>34</v>
      </c>
      <c r="B4" s="38">
        <v>0.156</v>
      </c>
      <c r="C4" s="257" t="s">
        <v>90</v>
      </c>
      <c r="D4" s="257"/>
      <c r="E4" s="257"/>
      <c r="F4" s="257"/>
      <c r="G4" s="257"/>
      <c r="H4" s="257"/>
      <c r="I4" s="257"/>
      <c r="J4" s="257"/>
      <c r="K4" s="257"/>
    </row>
    <row r="5" spans="1:11" ht="19.5" customHeight="1">
      <c r="A5" s="37" t="s">
        <v>35</v>
      </c>
      <c r="B5" s="39">
        <v>0.0569</v>
      </c>
      <c r="C5" s="257" t="s">
        <v>113</v>
      </c>
      <c r="D5" s="257"/>
      <c r="E5" s="257"/>
      <c r="F5" s="257"/>
      <c r="G5" s="257"/>
      <c r="H5" s="257"/>
      <c r="I5" s="257"/>
      <c r="J5" s="257"/>
      <c r="K5" s="257"/>
    </row>
    <row r="6" spans="1:11" ht="19.5" customHeight="1">
      <c r="A6" s="37" t="s">
        <v>36</v>
      </c>
      <c r="B6" s="40">
        <v>1.0902</v>
      </c>
      <c r="C6" s="256" t="s">
        <v>132</v>
      </c>
      <c r="D6" s="256"/>
      <c r="E6" s="256"/>
      <c r="F6" s="256"/>
      <c r="G6" s="256"/>
      <c r="H6" s="256"/>
      <c r="I6" s="256"/>
      <c r="J6" s="256"/>
      <c r="K6" s="256"/>
    </row>
    <row r="7" spans="1:11" ht="19.5" customHeight="1">
      <c r="A7" s="37" t="s">
        <v>42</v>
      </c>
      <c r="B7" s="41">
        <v>0.955</v>
      </c>
      <c r="C7" s="270" t="s">
        <v>133</v>
      </c>
      <c r="D7" s="270"/>
      <c r="E7" s="270"/>
      <c r="F7" s="270"/>
      <c r="G7" s="270"/>
      <c r="H7" s="270"/>
      <c r="I7" s="270"/>
      <c r="J7" s="270"/>
      <c r="K7" s="270"/>
    </row>
    <row r="8" spans="1:11" ht="19.5" customHeight="1">
      <c r="A8" s="37" t="s">
        <v>37</v>
      </c>
      <c r="B8" s="6">
        <f>F42</f>
        <v>165412</v>
      </c>
      <c r="C8" s="270"/>
      <c r="D8" s="270"/>
      <c r="E8" s="270"/>
      <c r="F8" s="270"/>
      <c r="G8" s="270"/>
      <c r="H8" s="270"/>
      <c r="I8" s="270"/>
      <c r="J8" s="270"/>
      <c r="K8" s="270"/>
    </row>
    <row r="9" spans="1:11" ht="19.5" customHeight="1">
      <c r="A9" s="37" t="s">
        <v>44</v>
      </c>
      <c r="B9" s="42">
        <v>0.025</v>
      </c>
      <c r="C9" s="270"/>
      <c r="D9" s="270"/>
      <c r="E9" s="270"/>
      <c r="F9" s="270"/>
      <c r="G9" s="270"/>
      <c r="H9" s="270"/>
      <c r="I9" s="270"/>
      <c r="J9" s="270"/>
      <c r="K9" s="270"/>
    </row>
    <row r="10" spans="1:11" ht="19.5" customHeight="1">
      <c r="A10" s="37" t="s">
        <v>40</v>
      </c>
      <c r="B10" s="54">
        <f>ROUND(MAX(B20*0.3,20)*365,2)</f>
        <v>36193.04</v>
      </c>
      <c r="C10" s="258" t="s">
        <v>135</v>
      </c>
      <c r="D10" s="259"/>
      <c r="E10" s="259"/>
      <c r="F10" s="259"/>
      <c r="G10" s="259"/>
      <c r="H10" s="259"/>
      <c r="I10" s="259"/>
      <c r="J10" s="259"/>
      <c r="K10" s="260"/>
    </row>
    <row r="11" spans="1:11" ht="19.5" customHeight="1">
      <c r="A11" s="37"/>
      <c r="B11" s="55" t="s">
        <v>12</v>
      </c>
      <c r="C11" s="261" t="s">
        <v>57</v>
      </c>
      <c r="D11" s="261"/>
      <c r="E11" s="261"/>
      <c r="F11" s="261"/>
      <c r="G11" s="261"/>
      <c r="H11" s="261"/>
      <c r="I11" s="261"/>
      <c r="J11" s="261"/>
      <c r="K11" s="261"/>
    </row>
    <row r="12" spans="1:11" ht="31.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f>B69</f>
        <v>5220</v>
      </c>
      <c r="D13" s="26">
        <f>B66</f>
        <v>6140</v>
      </c>
      <c r="E13" s="26">
        <f>B67</f>
        <v>5840</v>
      </c>
      <c r="F13" s="26">
        <f>B63</f>
        <v>6450</v>
      </c>
      <c r="G13" s="26">
        <f>B64</f>
        <v>2450</v>
      </c>
      <c r="H13" s="26">
        <f>B55</f>
        <v>1580</v>
      </c>
      <c r="I13" s="26">
        <f>B61</f>
        <v>2730</v>
      </c>
      <c r="J13" s="26">
        <f>B46</f>
        <v>5390</v>
      </c>
      <c r="K13" s="26">
        <f>B47</f>
        <v>3800</v>
      </c>
    </row>
    <row r="14" spans="1:11" ht="19.5" customHeight="1">
      <c r="A14" s="47" t="s">
        <v>11</v>
      </c>
      <c r="B14" s="24" t="s">
        <v>23</v>
      </c>
      <c r="C14" s="24">
        <f>C69</f>
        <v>6495</v>
      </c>
      <c r="D14" s="26">
        <f>C66</f>
        <v>8916</v>
      </c>
      <c r="E14" s="26">
        <f>C67</f>
        <v>8786</v>
      </c>
      <c r="F14" s="26">
        <f>C63</f>
        <v>6581</v>
      </c>
      <c r="G14" s="26">
        <f>C64</f>
        <v>2936</v>
      </c>
      <c r="H14" s="26">
        <f>C55</f>
        <v>1901</v>
      </c>
      <c r="I14" s="26">
        <f>C61</f>
        <v>6846</v>
      </c>
      <c r="J14" s="26">
        <f>C46</f>
        <v>7881</v>
      </c>
      <c r="K14" s="26">
        <f>C47</f>
        <v>5245</v>
      </c>
    </row>
    <row r="15" spans="1:13" ht="19.5" customHeight="1">
      <c r="A15" s="48" t="s">
        <v>10</v>
      </c>
      <c r="B15" s="24">
        <f>ROUND((B8*B6),1)</f>
        <v>180332.2</v>
      </c>
      <c r="C15" s="24">
        <v>72299</v>
      </c>
      <c r="D15" s="83">
        <v>39694</v>
      </c>
      <c r="E15" s="83">
        <v>17316</v>
      </c>
      <c r="F15" s="83">
        <v>12870</v>
      </c>
      <c r="G15" s="83">
        <v>6440</v>
      </c>
      <c r="H15" s="83">
        <v>3160</v>
      </c>
      <c r="I15" s="83">
        <v>9012</v>
      </c>
      <c r="J15" s="83">
        <v>16255</v>
      </c>
      <c r="K15" s="83">
        <v>6164</v>
      </c>
      <c r="L15" s="99" t="s">
        <v>12</v>
      </c>
      <c r="M15" s="35"/>
    </row>
    <row r="16" spans="1:11" ht="19.5" customHeight="1">
      <c r="A16" s="47" t="s">
        <v>48</v>
      </c>
      <c r="B16" s="26">
        <f>I42</f>
        <v>13029.4</v>
      </c>
      <c r="C16" s="27">
        <f>I69</f>
        <v>0</v>
      </c>
      <c r="D16" s="27">
        <f>I66</f>
        <v>0</v>
      </c>
      <c r="E16" s="27">
        <f>I67</f>
        <v>0</v>
      </c>
      <c r="F16" s="27">
        <f>I63</f>
        <v>0</v>
      </c>
      <c r="G16" s="27">
        <f>I64</f>
        <v>0</v>
      </c>
      <c r="H16" s="27">
        <f>I55</f>
        <v>0</v>
      </c>
      <c r="I16" s="27">
        <f>I61</f>
        <v>0</v>
      </c>
      <c r="J16" s="27">
        <v>0</v>
      </c>
      <c r="K16" s="27">
        <v>0</v>
      </c>
    </row>
    <row r="17" spans="1:11" ht="19.5" customHeight="1">
      <c r="A17" s="47" t="s">
        <v>47</v>
      </c>
      <c r="B17" s="26">
        <f>ROUND(B16*$B$6,1)</f>
        <v>14204.7</v>
      </c>
      <c r="C17" s="28">
        <f aca="true" t="shared" si="0" ref="C17:I17">ROUND(C16*$B$6,1)</f>
        <v>0</v>
      </c>
      <c r="D17" s="28">
        <f t="shared" si="0"/>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166127.5</v>
      </c>
      <c r="C18" s="29">
        <f aca="true" t="shared" si="1" ref="C18:I18">C15-C17</f>
        <v>72299</v>
      </c>
      <c r="D18" s="29">
        <f t="shared" si="1"/>
        <v>39694</v>
      </c>
      <c r="E18" s="29">
        <f t="shared" si="1"/>
        <v>17316</v>
      </c>
      <c r="F18" s="29">
        <f t="shared" si="1"/>
        <v>12870</v>
      </c>
      <c r="G18" s="29">
        <f t="shared" si="1"/>
        <v>6440</v>
      </c>
      <c r="H18" s="29">
        <f t="shared" si="1"/>
        <v>3160</v>
      </c>
      <c r="I18" s="29">
        <f t="shared" si="1"/>
        <v>9012</v>
      </c>
      <c r="J18" s="29">
        <f>J15-J17</f>
        <v>16255</v>
      </c>
      <c r="K18" s="29">
        <f>K15-K17</f>
        <v>6164</v>
      </c>
    </row>
    <row r="19" spans="1:12" ht="19.5" customHeight="1">
      <c r="A19" s="48" t="s">
        <v>44</v>
      </c>
      <c r="B19" s="24">
        <f>ROUND((B18*B9),1)</f>
        <v>4153.2</v>
      </c>
      <c r="C19" s="24">
        <f>H69</f>
        <v>1664.740304995452</v>
      </c>
      <c r="D19" s="26">
        <f>H66</f>
        <v>907.5669190576875</v>
      </c>
      <c r="E19" s="26">
        <f>H67</f>
        <v>383.96957132900997</v>
      </c>
      <c r="F19" s="26">
        <f>H63</f>
        <v>288.9038512271086</v>
      </c>
      <c r="G19" s="26">
        <f>H64</f>
        <v>140.11836784514767</v>
      </c>
      <c r="H19" s="26">
        <f>H55</f>
        <v>66.46696433844808</v>
      </c>
      <c r="I19" s="26">
        <f>H61</f>
        <v>185.3345460702206</v>
      </c>
      <c r="J19" s="26">
        <f>H46</f>
        <v>362.35629264758575</v>
      </c>
      <c r="K19" s="26">
        <f>H47</f>
        <v>124.3458528729658</v>
      </c>
      <c r="L19" s="4" t="s">
        <v>12</v>
      </c>
    </row>
    <row r="20" spans="1:11" ht="19.5" customHeight="1">
      <c r="A20" s="49" t="s">
        <v>50</v>
      </c>
      <c r="B20" s="30">
        <v>330.53</v>
      </c>
      <c r="C20" s="30">
        <v>276.9</v>
      </c>
      <c r="D20" s="30">
        <v>329.94</v>
      </c>
      <c r="E20" s="30">
        <v>276.9</v>
      </c>
      <c r="F20" s="30">
        <v>329.94</v>
      </c>
      <c r="G20" s="30">
        <v>329.94</v>
      </c>
      <c r="H20" s="30">
        <v>329.94</v>
      </c>
      <c r="I20" s="30">
        <v>276.9</v>
      </c>
      <c r="J20" s="30">
        <v>362.64</v>
      </c>
      <c r="K20" s="30">
        <v>362.64</v>
      </c>
    </row>
    <row r="21" spans="1:11" ht="19.5" customHeight="1">
      <c r="A21" s="49" t="s">
        <v>52</v>
      </c>
      <c r="B21" s="30"/>
      <c r="C21" s="30"/>
      <c r="D21" s="30"/>
      <c r="E21" s="30"/>
      <c r="F21" s="30"/>
      <c r="G21" s="30"/>
      <c r="H21" s="30"/>
      <c r="I21" s="30"/>
      <c r="J21" s="30"/>
      <c r="K21" s="30"/>
    </row>
    <row r="22" spans="1:11" ht="19.5" customHeight="1">
      <c r="A22" s="47" t="s">
        <v>24</v>
      </c>
      <c r="B22" s="23">
        <f>ROUND(B$20*1.5,2)</f>
        <v>495.8</v>
      </c>
      <c r="C22" s="23">
        <f aca="true" t="shared" si="2" ref="C22:H22">ROUND(C$20*1.5,2)</f>
        <v>415.35</v>
      </c>
      <c r="D22" s="23">
        <f t="shared" si="2"/>
        <v>494.91</v>
      </c>
      <c r="E22" s="23">
        <f t="shared" si="2"/>
        <v>415.35</v>
      </c>
      <c r="F22" s="23">
        <f t="shared" si="2"/>
        <v>494.91</v>
      </c>
      <c r="G22" s="23">
        <f t="shared" si="2"/>
        <v>494.91</v>
      </c>
      <c r="H22" s="23">
        <f t="shared" si="2"/>
        <v>494.91</v>
      </c>
      <c r="I22" s="23">
        <f>ROUND(I$20*1.5,2)</f>
        <v>415.35</v>
      </c>
      <c r="J22" s="23">
        <f>ROUND(J$20*1.5,2)</f>
        <v>543.96</v>
      </c>
      <c r="K22" s="23">
        <f>ROUND(K$20*1.5,2)</f>
        <v>543.96</v>
      </c>
    </row>
    <row r="23" spans="1:11" ht="19.5" customHeight="1">
      <c r="A23" s="47" t="s">
        <v>25</v>
      </c>
      <c r="B23" s="23">
        <f>ROUND(B$20,2)</f>
        <v>330.53</v>
      </c>
      <c r="C23" s="23">
        <f aca="true" t="shared" si="3" ref="C23:H23">ROUND(C$20,2)</f>
        <v>276.9</v>
      </c>
      <c r="D23" s="23">
        <f t="shared" si="3"/>
        <v>329.94</v>
      </c>
      <c r="E23" s="23">
        <f t="shared" si="3"/>
        <v>276.9</v>
      </c>
      <c r="F23" s="23">
        <f t="shared" si="3"/>
        <v>329.94</v>
      </c>
      <c r="G23" s="23">
        <f t="shared" si="3"/>
        <v>329.94</v>
      </c>
      <c r="H23" s="23">
        <f t="shared" si="3"/>
        <v>329.94</v>
      </c>
      <c r="I23" s="23">
        <f>ROUND(I$20,2)</f>
        <v>276.9</v>
      </c>
      <c r="J23" s="23">
        <f>ROUND(J$20,2)</f>
        <v>362.64</v>
      </c>
      <c r="K23" s="23">
        <f>ROUND(K$20,2)</f>
        <v>362.64</v>
      </c>
    </row>
    <row r="24" spans="1:11" ht="19.5" customHeight="1">
      <c r="A24" s="47" t="s">
        <v>26</v>
      </c>
      <c r="B24" s="23">
        <f>ROUND(B$20*0.2,2)</f>
        <v>66.11</v>
      </c>
      <c r="C24" s="23">
        <f aca="true" t="shared" si="4" ref="C24:H24">ROUND(C$20*0.2,2)</f>
        <v>55.38</v>
      </c>
      <c r="D24" s="23">
        <f t="shared" si="4"/>
        <v>65.99</v>
      </c>
      <c r="E24" s="23">
        <f t="shared" si="4"/>
        <v>55.38</v>
      </c>
      <c r="F24" s="23">
        <f t="shared" si="4"/>
        <v>65.99</v>
      </c>
      <c r="G24" s="23">
        <f t="shared" si="4"/>
        <v>65.99</v>
      </c>
      <c r="H24" s="23">
        <f t="shared" si="4"/>
        <v>65.99</v>
      </c>
      <c r="I24" s="23">
        <f>ROUND(I$20*0.2,2)</f>
        <v>55.38</v>
      </c>
      <c r="J24" s="23">
        <f>ROUND(J$20*0.2,2)</f>
        <v>72.53</v>
      </c>
      <c r="K24" s="23">
        <f>ROUND(K$20*0.2,2)</f>
        <v>72.53</v>
      </c>
    </row>
    <row r="25" spans="1:11" ht="19.5" customHeight="1">
      <c r="A25" s="47" t="s">
        <v>27</v>
      </c>
      <c r="B25" s="24">
        <f aca="true" t="shared" si="5" ref="B25:I25">ROUND(B$18*(1+$B$4-3%)/(1+$B$4)-B19,1)</f>
        <v>157663</v>
      </c>
      <c r="C25" s="24">
        <f t="shared" si="5"/>
        <v>68758</v>
      </c>
      <c r="D25" s="24">
        <f t="shared" si="5"/>
        <v>37756.3</v>
      </c>
      <c r="E25" s="24">
        <f t="shared" si="5"/>
        <v>16482.7</v>
      </c>
      <c r="F25" s="24">
        <f t="shared" si="5"/>
        <v>12247.1</v>
      </c>
      <c r="G25" s="24">
        <f t="shared" si="5"/>
        <v>6132.8</v>
      </c>
      <c r="H25" s="24">
        <f t="shared" si="5"/>
        <v>3011.5</v>
      </c>
      <c r="I25" s="24">
        <f t="shared" si="5"/>
        <v>8592.8</v>
      </c>
      <c r="J25" s="24">
        <f>ROUND(J$18*(1+$B$4-3%)/(1+$B$4)-J19,1)</f>
        <v>15470.8</v>
      </c>
      <c r="K25" s="24">
        <f>ROUND(K$18*(1+$B$4-3%)/(1+$B$4)-K19,1)</f>
        <v>5879.7</v>
      </c>
    </row>
    <row r="26" spans="1:11" ht="19.5" customHeight="1">
      <c r="A26" s="47" t="s">
        <v>28</v>
      </c>
      <c r="B26" s="24">
        <f aca="true" t="shared" si="6" ref="B26:I26">ROUND(B$18*(1+$B$4+1%)/(1+$B$4)-B19,1)</f>
        <v>163411.4</v>
      </c>
      <c r="C26" s="24">
        <f t="shared" si="6"/>
        <v>71259.7</v>
      </c>
      <c r="D26" s="24">
        <f t="shared" si="6"/>
        <v>39129.8</v>
      </c>
      <c r="E26" s="24">
        <f t="shared" si="6"/>
        <v>17081.8</v>
      </c>
      <c r="F26" s="24">
        <f t="shared" si="6"/>
        <v>12692.4</v>
      </c>
      <c r="G26" s="24">
        <f t="shared" si="6"/>
        <v>6355.6</v>
      </c>
      <c r="H26" s="24">
        <f t="shared" si="6"/>
        <v>3120.9</v>
      </c>
      <c r="I26" s="24">
        <f t="shared" si="6"/>
        <v>8904.6</v>
      </c>
      <c r="J26" s="24">
        <f>ROUND(J$18*(1+$B$4+1%)/(1+$B$4)-J19,1)</f>
        <v>16033.3</v>
      </c>
      <c r="K26" s="24">
        <f>ROUND(K$18*(1+$B$4+1%)/(1+$B$4)-K19,1)</f>
        <v>6093</v>
      </c>
    </row>
    <row r="27" spans="1:11" ht="19.5" customHeight="1">
      <c r="A27" s="47" t="s">
        <v>29</v>
      </c>
      <c r="B27" s="24">
        <f aca="true" t="shared" si="7" ref="B27:I27">ROUND(B$18*(1+$B$4+5%)/(1+$B$4)-B19,1)</f>
        <v>169159.7</v>
      </c>
      <c r="C27" s="24">
        <f t="shared" si="7"/>
        <v>73761.4</v>
      </c>
      <c r="D27" s="24">
        <f t="shared" si="7"/>
        <v>40503.3</v>
      </c>
      <c r="E27" s="24">
        <f t="shared" si="7"/>
        <v>17681</v>
      </c>
      <c r="F27" s="24">
        <f t="shared" si="7"/>
        <v>13137.8</v>
      </c>
      <c r="G27" s="24">
        <f t="shared" si="7"/>
        <v>6578.4</v>
      </c>
      <c r="H27" s="24">
        <f t="shared" si="7"/>
        <v>3230.2</v>
      </c>
      <c r="I27" s="24">
        <f t="shared" si="7"/>
        <v>9216.5</v>
      </c>
      <c r="J27" s="24">
        <f>ROUND(J$18*(1+$B$4+5%)/(1+$B$4)-J19,1)</f>
        <v>16595.7</v>
      </c>
      <c r="K27" s="24">
        <f>ROUND(K$18*(1+$B$4+5%)/(1+$B$4)-K19,1)</f>
        <v>6306.3</v>
      </c>
    </row>
    <row r="28" spans="1:11" ht="19.5" customHeight="1">
      <c r="A28" s="47" t="s">
        <v>125</v>
      </c>
      <c r="B28" s="44" t="s">
        <v>23</v>
      </c>
      <c r="C28" s="25">
        <v>159</v>
      </c>
      <c r="D28" s="25" t="s">
        <v>23</v>
      </c>
      <c r="E28" s="25">
        <v>444</v>
      </c>
      <c r="F28" s="22" t="s">
        <v>23</v>
      </c>
      <c r="G28" s="22" t="s">
        <v>23</v>
      </c>
      <c r="H28" s="25">
        <v>37</v>
      </c>
      <c r="I28" s="25">
        <v>191</v>
      </c>
      <c r="J28" s="22" t="s">
        <v>23</v>
      </c>
      <c r="K28" s="22" t="s">
        <v>23</v>
      </c>
    </row>
    <row r="29" spans="1:11" ht="19.5" customHeight="1" hidden="1">
      <c r="A29" s="82" t="s">
        <v>76</v>
      </c>
      <c r="B29" s="84" t="s">
        <v>12</v>
      </c>
      <c r="C29" s="84" t="s">
        <v>12</v>
      </c>
      <c r="D29" s="84" t="s">
        <v>12</v>
      </c>
      <c r="E29" s="84" t="s">
        <v>12</v>
      </c>
      <c r="F29" s="84" t="s">
        <v>12</v>
      </c>
      <c r="G29" s="84" t="s">
        <v>12</v>
      </c>
      <c r="H29" s="84" t="s">
        <v>12</v>
      </c>
      <c r="I29" s="84" t="s">
        <v>12</v>
      </c>
      <c r="J29" s="84" t="s">
        <v>12</v>
      </c>
      <c r="K29" s="84" t="s">
        <v>12</v>
      </c>
    </row>
    <row r="30" spans="1:11" ht="19.5" customHeight="1" hidden="1">
      <c r="A30" s="82" t="s">
        <v>77</v>
      </c>
      <c r="B30" s="84" t="s">
        <v>12</v>
      </c>
      <c r="C30" s="84" t="s">
        <v>12</v>
      </c>
      <c r="D30" s="84" t="s">
        <v>12</v>
      </c>
      <c r="E30" s="84" t="s">
        <v>12</v>
      </c>
      <c r="F30" s="84" t="s">
        <v>12</v>
      </c>
      <c r="G30" s="84" t="s">
        <v>12</v>
      </c>
      <c r="H30" s="84" t="s">
        <v>12</v>
      </c>
      <c r="I30" s="84" t="s">
        <v>12</v>
      </c>
      <c r="J30" s="84" t="s">
        <v>12</v>
      </c>
      <c r="K30" s="84" t="s">
        <v>12</v>
      </c>
    </row>
    <row r="31" spans="1:11" ht="19.5" customHeight="1" hidden="1">
      <c r="A31" s="82" t="s">
        <v>78</v>
      </c>
      <c r="B31" s="84" t="s">
        <v>12</v>
      </c>
      <c r="C31" s="84" t="s">
        <v>12</v>
      </c>
      <c r="D31" s="84" t="s">
        <v>12</v>
      </c>
      <c r="E31" s="84" t="s">
        <v>12</v>
      </c>
      <c r="F31" s="84" t="s">
        <v>12</v>
      </c>
      <c r="G31" s="84" t="s">
        <v>12</v>
      </c>
      <c r="H31" s="84" t="s">
        <v>12</v>
      </c>
      <c r="I31" s="84" t="s">
        <v>12</v>
      </c>
      <c r="J31" s="84" t="s">
        <v>12</v>
      </c>
      <c r="K31" s="84" t="s">
        <v>12</v>
      </c>
    </row>
    <row r="32" spans="1:11" ht="19.5" customHeight="1">
      <c r="A32" s="47" t="s">
        <v>61</v>
      </c>
      <c r="B32" s="91">
        <v>158512.2</v>
      </c>
      <c r="C32" s="91">
        <v>62179.2</v>
      </c>
      <c r="D32" s="91">
        <v>28559.2</v>
      </c>
      <c r="E32" s="91">
        <v>7503.3</v>
      </c>
      <c r="F32" s="91">
        <v>5483.4</v>
      </c>
      <c r="G32" s="91">
        <v>3113.3</v>
      </c>
      <c r="H32" s="91">
        <v>1114.3</v>
      </c>
      <c r="I32" s="91">
        <v>1712.9</v>
      </c>
      <c r="J32" s="91">
        <v>7668.1</v>
      </c>
      <c r="K32" s="91">
        <v>676.8</v>
      </c>
    </row>
    <row r="33" spans="1:11" ht="19.5" customHeight="1">
      <c r="A33" s="47" t="s">
        <v>62</v>
      </c>
      <c r="B33" s="91">
        <v>149469.1</v>
      </c>
      <c r="C33" s="91">
        <v>58109.3</v>
      </c>
      <c r="D33" s="91">
        <v>24606.9</v>
      </c>
      <c r="E33" s="91">
        <v>6183.2</v>
      </c>
      <c r="F33" s="91">
        <v>4214.2</v>
      </c>
      <c r="G33" s="91">
        <v>2503.1</v>
      </c>
      <c r="H33" s="91">
        <v>903.5</v>
      </c>
      <c r="I33" s="91">
        <v>750</v>
      </c>
      <c r="J33" s="91">
        <v>6200.8</v>
      </c>
      <c r="K33" s="96">
        <v>0</v>
      </c>
    </row>
    <row r="34" spans="1:11" ht="19.5" customHeight="1">
      <c r="A34" s="50" t="s">
        <v>72</v>
      </c>
      <c r="B34" s="16"/>
      <c r="C34" s="16"/>
      <c r="D34" s="16"/>
      <c r="E34" s="16"/>
      <c r="F34" s="16"/>
      <c r="G34" s="16"/>
      <c r="H34" s="16"/>
      <c r="I34" s="16"/>
      <c r="J34" s="16"/>
      <c r="K34" s="16"/>
    </row>
    <row r="35" spans="1:11" ht="19.5" customHeight="1">
      <c r="A35" s="47" t="s">
        <v>73</v>
      </c>
      <c r="B35" s="44" t="s">
        <v>23</v>
      </c>
      <c r="C35" s="21">
        <f>ROUND((C15-C14)/(F69*$B$6),3)</f>
        <v>0.988</v>
      </c>
      <c r="D35" s="21">
        <f>ROUND((D15-D14)/(F66*$B$6),3)</f>
        <v>0.848</v>
      </c>
      <c r="E35" s="21">
        <f>ROUND((E15-E14)/(F67*$B$6),3)</f>
        <v>0.555</v>
      </c>
      <c r="F35" s="21">
        <f>ROUND((F15-F14)/(F63*$B$6),3)</f>
        <v>0.544</v>
      </c>
      <c r="G35" s="21">
        <f>ROUND((G15-G14)/(F64*$B$6),3)</f>
        <v>0.625</v>
      </c>
      <c r="H35" s="22">
        <f>ROUND((H15-H14)/(F55*$B$6),3)</f>
        <v>0.474</v>
      </c>
      <c r="I35" s="21">
        <f>ROUND((I15-I14)/(F61*$B$6),3)</f>
        <v>0.292</v>
      </c>
      <c r="J35" s="21">
        <f>ROUND((J15-J14)/(F46*$B$6),3)</f>
        <v>0.578</v>
      </c>
      <c r="K35" s="21">
        <f>ROUND((K15-K14)/(F47*$B$6),3)</f>
        <v>0.185</v>
      </c>
    </row>
    <row r="36" spans="1:11" ht="19.5" customHeight="1">
      <c r="A36" s="51" t="s">
        <v>74</v>
      </c>
      <c r="B36" s="94">
        <v>0.9502404699738695</v>
      </c>
      <c r="C36" s="94">
        <v>0.8600285638811048</v>
      </c>
      <c r="D36" s="94">
        <v>0.7194837238329218</v>
      </c>
      <c r="E36" s="94">
        <v>0.4333141829198429</v>
      </c>
      <c r="F36" s="94">
        <v>0.4260578938772339</v>
      </c>
      <c r="G36" s="94">
        <v>0.4834265637712733</v>
      </c>
      <c r="H36" s="94">
        <v>0.35261875261648734</v>
      </c>
      <c r="I36" s="94">
        <v>0.19006829081225032</v>
      </c>
      <c r="J36" s="94">
        <v>0.471735438366964</v>
      </c>
      <c r="K36" s="94">
        <v>0.10979074029862103</v>
      </c>
    </row>
    <row r="37" spans="1:11" ht="19.5" customHeight="1">
      <c r="A37" s="58" t="s">
        <v>75</v>
      </c>
      <c r="B37" s="95">
        <v>0.8911510280678394</v>
      </c>
      <c r="C37" s="95">
        <v>0.8037353218456686</v>
      </c>
      <c r="D37" s="95">
        <v>0.6199155076257873</v>
      </c>
      <c r="E37" s="95">
        <v>0.35707928474936473</v>
      </c>
      <c r="F37" s="95">
        <v>0.32744477196581195</v>
      </c>
      <c r="G37" s="95">
        <v>0.38867723606413046</v>
      </c>
      <c r="H37" s="95">
        <v>0.28592902596898734</v>
      </c>
      <c r="I37" s="95">
        <v>0.08322772303595208</v>
      </c>
      <c r="J37" s="94">
        <v>0.38147097961150417</v>
      </c>
      <c r="K37" s="94">
        <v>0</v>
      </c>
    </row>
    <row r="38" spans="1:10" ht="19.5" customHeight="1">
      <c r="A38" s="277" t="s">
        <v>55</v>
      </c>
      <c r="B38" s="277"/>
      <c r="C38" s="277"/>
      <c r="D38" s="277"/>
      <c r="E38" s="277"/>
      <c r="F38" s="277"/>
      <c r="G38" s="277"/>
      <c r="H38" s="277"/>
      <c r="I38" s="278"/>
      <c r="J38" s="278"/>
    </row>
    <row r="39" spans="1:11" ht="19.5" customHeight="1">
      <c r="A39" s="277" t="s">
        <v>51</v>
      </c>
      <c r="B39" s="277"/>
      <c r="C39" s="277"/>
      <c r="D39" s="277"/>
      <c r="E39" s="277"/>
      <c r="F39" s="277"/>
      <c r="G39" s="277"/>
      <c r="H39" s="277"/>
      <c r="I39" s="278"/>
      <c r="J39" s="278"/>
      <c r="K39" s="4" t="s">
        <v>12</v>
      </c>
    </row>
    <row r="40" spans="1:10" ht="18" customHeight="1">
      <c r="A40" s="277" t="s">
        <v>114</v>
      </c>
      <c r="B40" s="277"/>
      <c r="C40" s="277"/>
      <c r="D40" s="277"/>
      <c r="E40" s="277"/>
      <c r="F40" s="277"/>
      <c r="G40" s="277"/>
      <c r="H40" s="277"/>
      <c r="I40" s="278"/>
      <c r="J40" s="278"/>
    </row>
    <row r="41" spans="1:10" s="3" customFormat="1" ht="84.75" customHeight="1">
      <c r="A41" s="59" t="s">
        <v>38</v>
      </c>
      <c r="B41" s="56" t="s">
        <v>9</v>
      </c>
      <c r="C41" s="56" t="s">
        <v>82</v>
      </c>
      <c r="D41" s="56" t="s">
        <v>53</v>
      </c>
      <c r="E41" s="56" t="s">
        <v>89</v>
      </c>
      <c r="F41" s="56" t="s">
        <v>30</v>
      </c>
      <c r="G41" s="56" t="s">
        <v>31</v>
      </c>
      <c r="H41" s="56" t="s">
        <v>44</v>
      </c>
      <c r="I41" s="56" t="s">
        <v>58</v>
      </c>
      <c r="J41" s="56" t="s">
        <v>87</v>
      </c>
    </row>
    <row r="42" spans="1:11" s="3" customFormat="1" ht="19.5" customHeight="1">
      <c r="A42" s="60" t="s">
        <v>13</v>
      </c>
      <c r="B42" s="31" t="s">
        <v>23</v>
      </c>
      <c r="C42" s="31" t="s">
        <v>23</v>
      </c>
      <c r="D42" s="5" t="s">
        <v>23</v>
      </c>
      <c r="E42" s="8">
        <f>E43+E44+E45+E46+E48+E49+E50+E51+E52+E53+E54+E56+E57+E58+E59+E60+E61+E62+E63+E65</f>
        <v>154501.8</v>
      </c>
      <c r="F42" s="8">
        <f>F43+F44+F45+F46+F48+F49+F50+F51+F52+F53+F54+F56+F57+F58+F59+F60+F61+F62+F63+F65</f>
        <v>165412</v>
      </c>
      <c r="G42" s="18" t="s">
        <v>23</v>
      </c>
      <c r="H42" s="8">
        <f>B19</f>
        <v>4153.2</v>
      </c>
      <c r="I42" s="8">
        <f>I43+I44+I45+I46+I48+I49+I50+I51+I52+I53+I54+I56+I57+I58+I59+I60+I61+I62+I63+I65</f>
        <v>13029.4</v>
      </c>
      <c r="J42" s="8">
        <f>J43+J44+J45+J46+J48+J49+J50+J51+J52+J53+J54+J56+J57+J58+J59+J60+J61+J62+J63+J65</f>
        <v>152382.6</v>
      </c>
      <c r="K42" s="3" t="s">
        <v>12</v>
      </c>
    </row>
    <row r="43" spans="1:11" s="2" customFormat="1" ht="19.5" customHeight="1">
      <c r="A43" s="28" t="s">
        <v>2</v>
      </c>
      <c r="B43" s="57">
        <v>1030</v>
      </c>
      <c r="C43" s="6" t="s">
        <v>92</v>
      </c>
      <c r="D43" s="7" t="s">
        <v>54</v>
      </c>
      <c r="E43" s="7">
        <v>2600</v>
      </c>
      <c r="F43" s="7">
        <v>2782</v>
      </c>
      <c r="G43" s="19">
        <f>F43/E43</f>
        <v>1.07</v>
      </c>
      <c r="H43" s="7">
        <f>$H$42*J43/$J$42</f>
        <v>75.8236334069638</v>
      </c>
      <c r="I43" s="88">
        <v>0</v>
      </c>
      <c r="J43" s="7">
        <f>F43-I43</f>
        <v>2782</v>
      </c>
      <c r="K43" s="2" t="s">
        <v>12</v>
      </c>
    </row>
    <row r="44" spans="1:12" s="2" customFormat="1" ht="19.5" customHeight="1">
      <c r="A44" s="61" t="s">
        <v>59</v>
      </c>
      <c r="B44" s="65">
        <v>2110</v>
      </c>
      <c r="C44" s="6" t="s">
        <v>93</v>
      </c>
      <c r="D44" s="7" t="s">
        <v>54</v>
      </c>
      <c r="E44" s="32">
        <v>22663.9</v>
      </c>
      <c r="F44" s="32">
        <v>24007.6</v>
      </c>
      <c r="G44" s="19">
        <f aca="true" t="shared" si="8" ref="G44:G54">F44/E44</f>
        <v>1.0592881189909944</v>
      </c>
      <c r="H44" s="7">
        <f>$H$42*J44/$J$42</f>
        <v>324.47990754849957</v>
      </c>
      <c r="I44" s="5">
        <v>12102.3</v>
      </c>
      <c r="J44" s="7">
        <f>F44-I44</f>
        <v>11905.3</v>
      </c>
      <c r="K44" s="104" t="s">
        <v>12</v>
      </c>
      <c r="L44" s="2" t="s">
        <v>12</v>
      </c>
    </row>
    <row r="45" spans="1:12" s="2" customFormat="1" ht="19.5" customHeight="1">
      <c r="A45" s="61" t="s">
        <v>0</v>
      </c>
      <c r="B45" s="65">
        <v>1970</v>
      </c>
      <c r="C45" s="6" t="s">
        <v>94</v>
      </c>
      <c r="D45" s="7" t="s">
        <v>54</v>
      </c>
      <c r="E45" s="32">
        <v>8210</v>
      </c>
      <c r="F45" s="32">
        <v>8786</v>
      </c>
      <c r="G45" s="19">
        <f t="shared" si="8"/>
        <v>1.0701583434835567</v>
      </c>
      <c r="H45" s="7">
        <f aca="true" t="shared" si="9" ref="H45:H65">$H$42*J45/$J$42</f>
        <v>239.4631355548468</v>
      </c>
      <c r="I45" s="88">
        <v>0</v>
      </c>
      <c r="J45" s="7">
        <f aca="true" t="shared" si="10" ref="J45:J65">F45-I45</f>
        <v>8786</v>
      </c>
      <c r="L45" s="2" t="s">
        <v>12</v>
      </c>
    </row>
    <row r="46" spans="1:12" s="2" customFormat="1" ht="19.5" customHeight="1">
      <c r="A46" s="61" t="s">
        <v>56</v>
      </c>
      <c r="B46" s="65">
        <v>5390</v>
      </c>
      <c r="C46" s="57">
        <v>7881</v>
      </c>
      <c r="D46" s="86">
        <f>C46/B46</f>
        <v>1.462152133580705</v>
      </c>
      <c r="E46" s="32">
        <v>12660</v>
      </c>
      <c r="F46" s="32">
        <v>13295</v>
      </c>
      <c r="G46" s="19">
        <f t="shared" si="8"/>
        <v>1.0501579778830963</v>
      </c>
      <c r="H46" s="7">
        <f>$H$42*J46/$J$42</f>
        <v>362.35629264758575</v>
      </c>
      <c r="I46" s="88">
        <v>0</v>
      </c>
      <c r="J46" s="7">
        <f t="shared" si="10"/>
        <v>13295</v>
      </c>
      <c r="K46" s="2" t="s">
        <v>12</v>
      </c>
      <c r="L46" s="2" t="s">
        <v>12</v>
      </c>
    </row>
    <row r="47" spans="1:12" s="2" customFormat="1" ht="19.5" customHeight="1">
      <c r="A47" s="61" t="s">
        <v>88</v>
      </c>
      <c r="B47" s="65">
        <v>3800</v>
      </c>
      <c r="C47" s="57">
        <v>5245</v>
      </c>
      <c r="D47" s="86">
        <f>C47/B47</f>
        <v>1.3802631578947369</v>
      </c>
      <c r="E47" s="32" t="s">
        <v>23</v>
      </c>
      <c r="F47" s="7">
        <f>ROUND(F46*0.34316,1)</f>
        <v>4562.3</v>
      </c>
      <c r="G47" s="19" t="s">
        <v>23</v>
      </c>
      <c r="H47" s="7">
        <f>$H$42*J47/$J$42</f>
        <v>124.3458528729658</v>
      </c>
      <c r="I47" s="88">
        <v>0</v>
      </c>
      <c r="J47" s="7">
        <f>F47-I47</f>
        <v>4562.3</v>
      </c>
      <c r="L47" s="2" t="s">
        <v>12</v>
      </c>
    </row>
    <row r="48" spans="1:13" s="2" customFormat="1" ht="19.5" customHeight="1">
      <c r="A48" s="28" t="s">
        <v>3</v>
      </c>
      <c r="B48" s="57">
        <v>5130</v>
      </c>
      <c r="C48" s="6" t="s">
        <v>126</v>
      </c>
      <c r="D48" s="7" t="s">
        <v>54</v>
      </c>
      <c r="E48" s="7">
        <v>6870</v>
      </c>
      <c r="F48" s="7">
        <v>7288</v>
      </c>
      <c r="G48" s="19">
        <f t="shared" si="8"/>
        <v>1.060844250363901</v>
      </c>
      <c r="H48" s="7">
        <f t="shared" si="9"/>
        <v>198.63502525878937</v>
      </c>
      <c r="I48" s="88">
        <v>0</v>
      </c>
      <c r="J48" s="7">
        <f t="shared" si="10"/>
        <v>7288</v>
      </c>
      <c r="L48" s="2" t="s">
        <v>12</v>
      </c>
      <c r="M48" s="2" t="s">
        <v>12</v>
      </c>
    </row>
    <row r="49" spans="1:12" s="2" customFormat="1" ht="19.5" customHeight="1">
      <c r="A49" s="28" t="s">
        <v>18</v>
      </c>
      <c r="B49" s="57">
        <v>1330</v>
      </c>
      <c r="C49" s="6" t="s">
        <v>96</v>
      </c>
      <c r="D49" s="7" t="s">
        <v>54</v>
      </c>
      <c r="E49" s="7">
        <v>21650</v>
      </c>
      <c r="F49" s="7">
        <v>23504</v>
      </c>
      <c r="G49" s="19">
        <f t="shared" si="8"/>
        <v>1.085635103926097</v>
      </c>
      <c r="H49" s="7">
        <f t="shared" si="9"/>
        <v>640.6034074756566</v>
      </c>
      <c r="I49" s="88">
        <v>0</v>
      </c>
      <c r="J49" s="7">
        <f t="shared" si="10"/>
        <v>23504</v>
      </c>
      <c r="L49" s="2" t="s">
        <v>12</v>
      </c>
    </row>
    <row r="50" spans="1:12" s="2" customFormat="1" ht="19.5" customHeight="1">
      <c r="A50" s="28" t="s">
        <v>19</v>
      </c>
      <c r="B50" s="57">
        <v>960</v>
      </c>
      <c r="C50" s="6" t="s">
        <v>97</v>
      </c>
      <c r="D50" s="7" t="s">
        <v>54</v>
      </c>
      <c r="E50" s="7">
        <v>3230</v>
      </c>
      <c r="F50" s="7">
        <v>3556</v>
      </c>
      <c r="G50" s="19">
        <f t="shared" si="8"/>
        <v>1.1009287925696594</v>
      </c>
      <c r="H50" s="7">
        <f t="shared" si="9"/>
        <v>96.91906556260359</v>
      </c>
      <c r="I50" s="88">
        <v>0</v>
      </c>
      <c r="J50" s="7">
        <f t="shared" si="10"/>
        <v>3556</v>
      </c>
      <c r="L50" s="2" t="s">
        <v>12</v>
      </c>
    </row>
    <row r="51" spans="1:12" s="2" customFormat="1" ht="19.5" customHeight="1">
      <c r="A51" s="28" t="s">
        <v>79</v>
      </c>
      <c r="B51" s="57">
        <v>3800</v>
      </c>
      <c r="C51" s="6" t="s">
        <v>95</v>
      </c>
      <c r="D51" s="7" t="s">
        <v>54</v>
      </c>
      <c r="E51" s="7">
        <v>5246.5</v>
      </c>
      <c r="F51" s="7">
        <v>5572.2</v>
      </c>
      <c r="G51" s="19">
        <f>F51/E51</f>
        <v>1.0620794815591346</v>
      </c>
      <c r="H51" s="7">
        <f>$H$42*J51/$J$42</f>
        <v>127.49381464812912</v>
      </c>
      <c r="I51" s="5">
        <v>894.4</v>
      </c>
      <c r="J51" s="7">
        <f t="shared" si="10"/>
        <v>4677.8</v>
      </c>
      <c r="L51" s="2" t="s">
        <v>12</v>
      </c>
    </row>
    <row r="52" spans="1:12" s="2" customFormat="1" ht="19.5" customHeight="1">
      <c r="A52" s="28" t="s">
        <v>4</v>
      </c>
      <c r="B52" s="57">
        <v>1350</v>
      </c>
      <c r="C52" s="6" t="s">
        <v>98</v>
      </c>
      <c r="D52" s="7" t="s">
        <v>54</v>
      </c>
      <c r="E52" s="7">
        <v>2800</v>
      </c>
      <c r="F52" s="7">
        <v>2996</v>
      </c>
      <c r="G52" s="19">
        <f t="shared" si="8"/>
        <v>1.07</v>
      </c>
      <c r="H52" s="7">
        <f t="shared" si="9"/>
        <v>81.65622059211483</v>
      </c>
      <c r="I52" s="88">
        <v>0</v>
      </c>
      <c r="J52" s="7">
        <f t="shared" si="10"/>
        <v>2996</v>
      </c>
      <c r="L52" s="2" t="s">
        <v>12</v>
      </c>
    </row>
    <row r="53" spans="1:12" s="2" customFormat="1" ht="19.5" customHeight="1">
      <c r="A53" s="28" t="s">
        <v>20</v>
      </c>
      <c r="B53" s="57">
        <v>-70</v>
      </c>
      <c r="C53" s="6" t="s">
        <v>112</v>
      </c>
      <c r="D53" s="7" t="s">
        <v>112</v>
      </c>
      <c r="E53" s="7">
        <v>18570</v>
      </c>
      <c r="F53" s="7">
        <v>20415</v>
      </c>
      <c r="G53" s="19">
        <f t="shared" si="8"/>
        <v>1.0993537964458804</v>
      </c>
      <c r="H53" s="7">
        <f t="shared" si="9"/>
        <v>556.4124644152284</v>
      </c>
      <c r="I53" s="88">
        <v>0</v>
      </c>
      <c r="J53" s="7">
        <f t="shared" si="10"/>
        <v>20415</v>
      </c>
      <c r="L53" s="2" t="s">
        <v>12</v>
      </c>
    </row>
    <row r="54" spans="1:12" s="2" customFormat="1" ht="19.5" customHeight="1">
      <c r="A54" s="28" t="s">
        <v>1</v>
      </c>
      <c r="B54" s="57">
        <v>1000</v>
      </c>
      <c r="C54" s="6" t="s">
        <v>99</v>
      </c>
      <c r="D54" s="7" t="s">
        <v>54</v>
      </c>
      <c r="E54" s="7">
        <v>3950</v>
      </c>
      <c r="F54" s="7">
        <v>4212</v>
      </c>
      <c r="G54" s="19">
        <f t="shared" si="8"/>
        <v>1.0663291139240507</v>
      </c>
      <c r="H54" s="7">
        <f t="shared" si="9"/>
        <v>114.798398242319</v>
      </c>
      <c r="I54" s="88">
        <v>0</v>
      </c>
      <c r="J54" s="7">
        <f t="shared" si="10"/>
        <v>4212</v>
      </c>
      <c r="L54" s="2" t="s">
        <v>12</v>
      </c>
    </row>
    <row r="55" spans="1:12" s="2" customFormat="1" ht="19.5" customHeight="1">
      <c r="A55" s="28" t="s">
        <v>46</v>
      </c>
      <c r="B55" s="57">
        <v>1580</v>
      </c>
      <c r="C55" s="57">
        <f>1864+37</f>
        <v>1901</v>
      </c>
      <c r="D55" s="86">
        <f>C55/B55</f>
        <v>1.2031645569620253</v>
      </c>
      <c r="E55" s="7" t="s">
        <v>23</v>
      </c>
      <c r="F55" s="7">
        <f>ROUND(F54*0.579,1)</f>
        <v>2438.7</v>
      </c>
      <c r="G55" s="19" t="s">
        <v>23</v>
      </c>
      <c r="H55" s="7">
        <f t="shared" si="9"/>
        <v>66.46696433844808</v>
      </c>
      <c r="I55" s="88">
        <v>0</v>
      </c>
      <c r="J55" s="7">
        <f t="shared" si="10"/>
        <v>2438.7</v>
      </c>
      <c r="L55" s="2" t="s">
        <v>12</v>
      </c>
    </row>
    <row r="56" spans="1:12" s="2" customFormat="1" ht="19.5" customHeight="1">
      <c r="A56" s="28" t="s">
        <v>100</v>
      </c>
      <c r="B56" s="57">
        <v>580</v>
      </c>
      <c r="C56" s="6" t="s">
        <v>101</v>
      </c>
      <c r="D56" s="7" t="s">
        <v>54</v>
      </c>
      <c r="E56" s="7">
        <v>2096.4</v>
      </c>
      <c r="F56" s="7">
        <v>2200.2</v>
      </c>
      <c r="G56" s="19">
        <f>F56/E56</f>
        <v>1.049513451631368</v>
      </c>
      <c r="H56" s="7">
        <f t="shared" si="9"/>
        <v>59.075386559882816</v>
      </c>
      <c r="I56" s="5">
        <v>32.7</v>
      </c>
      <c r="J56" s="7">
        <f t="shared" si="10"/>
        <v>2167.5</v>
      </c>
      <c r="L56" s="2" t="s">
        <v>12</v>
      </c>
    </row>
    <row r="57" spans="1:12" s="2" customFormat="1" ht="19.5" customHeight="1">
      <c r="A57" s="28" t="s">
        <v>5</v>
      </c>
      <c r="B57" s="57">
        <v>3300</v>
      </c>
      <c r="C57" s="6" t="s">
        <v>111</v>
      </c>
      <c r="D57" s="7" t="s">
        <v>54</v>
      </c>
      <c r="E57" s="7">
        <v>5960</v>
      </c>
      <c r="F57" s="7">
        <v>6381</v>
      </c>
      <c r="G57" s="19">
        <f aca="true" t="shared" si="11" ref="G57:G63">F57/E57</f>
        <v>1.0706375838926174</v>
      </c>
      <c r="H57" s="7">
        <f t="shared" si="9"/>
        <v>173.91466742265848</v>
      </c>
      <c r="I57" s="88">
        <v>0</v>
      </c>
      <c r="J57" s="7">
        <f t="shared" si="10"/>
        <v>6381</v>
      </c>
      <c r="L57" s="2" t="s">
        <v>12</v>
      </c>
    </row>
    <row r="58" spans="1:10" s="2" customFormat="1" ht="19.5" customHeight="1">
      <c r="A58" s="28" t="s">
        <v>21</v>
      </c>
      <c r="B58" s="57">
        <v>1170</v>
      </c>
      <c r="C58" s="6" t="s">
        <v>102</v>
      </c>
      <c r="D58" s="7" t="s">
        <v>54</v>
      </c>
      <c r="E58" s="7">
        <v>2820</v>
      </c>
      <c r="F58" s="7">
        <v>3068</v>
      </c>
      <c r="G58" s="19">
        <f t="shared" si="11"/>
        <v>1.0879432624113474</v>
      </c>
      <c r="H58" s="7">
        <f t="shared" si="9"/>
        <v>83.61858637403482</v>
      </c>
      <c r="I58" s="88">
        <v>0</v>
      </c>
      <c r="J58" s="7">
        <f t="shared" si="10"/>
        <v>3068</v>
      </c>
    </row>
    <row r="59" spans="1:10" s="2" customFormat="1" ht="19.5" customHeight="1">
      <c r="A59" s="28" t="s">
        <v>6</v>
      </c>
      <c r="B59" s="57">
        <v>2860</v>
      </c>
      <c r="C59" s="6" t="s">
        <v>103</v>
      </c>
      <c r="D59" s="7" t="s">
        <v>54</v>
      </c>
      <c r="E59" s="7">
        <v>8320</v>
      </c>
      <c r="F59" s="7">
        <v>8908</v>
      </c>
      <c r="G59" s="19">
        <f t="shared" si="11"/>
        <v>1.070673076923077</v>
      </c>
      <c r="H59" s="7">
        <f t="shared" si="9"/>
        <v>242.788255351989</v>
      </c>
      <c r="I59" s="88">
        <v>0</v>
      </c>
      <c r="J59" s="7">
        <f t="shared" si="10"/>
        <v>8908</v>
      </c>
    </row>
    <row r="60" spans="1:10" s="2" customFormat="1" ht="19.5" customHeight="1">
      <c r="A60" s="28" t="s">
        <v>22</v>
      </c>
      <c r="B60" s="57">
        <v>1300</v>
      </c>
      <c r="C60" s="6" t="s">
        <v>104</v>
      </c>
      <c r="D60" s="7" t="s">
        <v>54</v>
      </c>
      <c r="E60" s="7">
        <v>2740</v>
      </c>
      <c r="F60" s="7">
        <v>3044</v>
      </c>
      <c r="G60" s="19">
        <f t="shared" si="11"/>
        <v>1.110948905109489</v>
      </c>
      <c r="H60" s="7">
        <f t="shared" si="9"/>
        <v>82.96446444672816</v>
      </c>
      <c r="I60" s="88">
        <v>0</v>
      </c>
      <c r="J60" s="7">
        <f t="shared" si="10"/>
        <v>3044</v>
      </c>
    </row>
    <row r="61" spans="1:10" s="2" customFormat="1" ht="19.5" customHeight="1">
      <c r="A61" s="28" t="s">
        <v>7</v>
      </c>
      <c r="B61" s="57">
        <v>2730</v>
      </c>
      <c r="C61" s="57">
        <f>6655+191</f>
        <v>6846</v>
      </c>
      <c r="D61" s="86">
        <f>C61/B61</f>
        <v>2.5076923076923077</v>
      </c>
      <c r="E61" s="7">
        <v>6540</v>
      </c>
      <c r="F61" s="7">
        <v>6800</v>
      </c>
      <c r="G61" s="19">
        <f t="shared" si="11"/>
        <v>1.039755351681957</v>
      </c>
      <c r="H61" s="7">
        <f t="shared" si="9"/>
        <v>185.3345460702206</v>
      </c>
      <c r="I61" s="88">
        <v>0</v>
      </c>
      <c r="J61" s="7">
        <f t="shared" si="10"/>
        <v>6800</v>
      </c>
    </row>
    <row r="62" spans="1:10" s="2" customFormat="1" ht="19.5" customHeight="1">
      <c r="A62" s="28" t="s">
        <v>32</v>
      </c>
      <c r="B62" s="57">
        <v>1360</v>
      </c>
      <c r="C62" s="57" t="s">
        <v>106</v>
      </c>
      <c r="D62" s="7" t="s">
        <v>54</v>
      </c>
      <c r="E62" s="7">
        <f>6890+185</f>
        <v>7075</v>
      </c>
      <c r="F62" s="7">
        <f>7383+198</f>
        <v>7581</v>
      </c>
      <c r="G62" s="19">
        <f t="shared" si="11"/>
        <v>1.0715194346289754</v>
      </c>
      <c r="H62" s="7">
        <f t="shared" si="9"/>
        <v>206.62076378799154</v>
      </c>
      <c r="I62" s="88">
        <v>0</v>
      </c>
      <c r="J62" s="7">
        <f t="shared" si="10"/>
        <v>7581</v>
      </c>
    </row>
    <row r="63" spans="1:10" s="2" customFormat="1" ht="19.5" customHeight="1">
      <c r="A63" s="28" t="s">
        <v>8</v>
      </c>
      <c r="B63" s="57">
        <v>6450</v>
      </c>
      <c r="C63" s="57">
        <v>6581</v>
      </c>
      <c r="D63" s="87">
        <f>C63/B63</f>
        <v>1.0203100775193799</v>
      </c>
      <c r="E63" s="7">
        <v>10100</v>
      </c>
      <c r="F63" s="7">
        <v>10600</v>
      </c>
      <c r="G63" s="19">
        <f t="shared" si="11"/>
        <v>1.0495049504950495</v>
      </c>
      <c r="H63" s="7">
        <f>$H$42*J63/$J$42</f>
        <v>288.9038512271086</v>
      </c>
      <c r="I63" s="88">
        <v>0</v>
      </c>
      <c r="J63" s="7">
        <f t="shared" si="10"/>
        <v>10600</v>
      </c>
    </row>
    <row r="64" spans="1:10" s="2" customFormat="1" ht="19.5" customHeight="1">
      <c r="A64" s="28" t="s">
        <v>45</v>
      </c>
      <c r="B64" s="57">
        <v>2450</v>
      </c>
      <c r="C64" s="57">
        <v>2936</v>
      </c>
      <c r="D64" s="87">
        <f>C64/B64</f>
        <v>1.1983673469387754</v>
      </c>
      <c r="E64" s="7" t="s">
        <v>23</v>
      </c>
      <c r="F64" s="7">
        <f>ROUND(F63*0.485,1)</f>
        <v>5141</v>
      </c>
      <c r="G64" s="19" t="s">
        <v>23</v>
      </c>
      <c r="H64" s="7">
        <f t="shared" si="9"/>
        <v>140.11836784514767</v>
      </c>
      <c r="I64" s="88">
        <v>0</v>
      </c>
      <c r="J64" s="7">
        <f t="shared" si="10"/>
        <v>5141</v>
      </c>
    </row>
    <row r="65" spans="1:10" s="2" customFormat="1" ht="19.5" customHeight="1">
      <c r="A65" s="28" t="s">
        <v>39</v>
      </c>
      <c r="B65" s="57" t="s">
        <v>23</v>
      </c>
      <c r="C65" s="6" t="s">
        <v>23</v>
      </c>
      <c r="D65" s="7" t="s">
        <v>23</v>
      </c>
      <c r="E65" s="7">
        <v>400</v>
      </c>
      <c r="F65" s="7">
        <v>416</v>
      </c>
      <c r="G65" s="19">
        <f>F65/E65</f>
        <v>1.04</v>
      </c>
      <c r="H65" s="7">
        <f t="shared" si="9"/>
        <v>11.33811340664879</v>
      </c>
      <c r="I65" s="88">
        <v>0</v>
      </c>
      <c r="J65" s="7">
        <f t="shared" si="10"/>
        <v>416</v>
      </c>
    </row>
    <row r="66" spans="1:10" s="2" customFormat="1" ht="19.5" customHeight="1">
      <c r="A66" s="28" t="s">
        <v>16</v>
      </c>
      <c r="B66" s="57">
        <v>6140</v>
      </c>
      <c r="C66" s="57">
        <v>8916</v>
      </c>
      <c r="D66" s="87">
        <f>C66/B66</f>
        <v>1.4521172638436481</v>
      </c>
      <c r="E66" s="7" t="s">
        <v>23</v>
      </c>
      <c r="F66" s="7">
        <f>F43+F54+F57+F59+F63+F65</f>
        <v>33299</v>
      </c>
      <c r="G66" s="20" t="s">
        <v>23</v>
      </c>
      <c r="H66" s="7">
        <f>H43+H54+H57+H59+H63+H65</f>
        <v>907.5669190576875</v>
      </c>
      <c r="I66" s="89">
        <f>I43+I54+I57+I59+I63+I65</f>
        <v>0</v>
      </c>
      <c r="J66" s="275" t="s">
        <v>71</v>
      </c>
    </row>
    <row r="67" spans="1:11" s="2" customFormat="1" ht="19.5" customHeight="1">
      <c r="A67" s="28" t="s">
        <v>14</v>
      </c>
      <c r="B67" s="57">
        <v>5840</v>
      </c>
      <c r="C67" s="57">
        <f>8342+444</f>
        <v>8786</v>
      </c>
      <c r="D67" s="87">
        <f>C67/B67</f>
        <v>1.5044520547945206</v>
      </c>
      <c r="E67" s="7" t="s">
        <v>23</v>
      </c>
      <c r="F67" s="7">
        <f>F48+F61</f>
        <v>14088</v>
      </c>
      <c r="G67" s="20" t="s">
        <v>23</v>
      </c>
      <c r="H67" s="7">
        <f>H48+H61</f>
        <v>383.96957132900997</v>
      </c>
      <c r="I67" s="89">
        <f>I48+I61</f>
        <v>0</v>
      </c>
      <c r="J67" s="276"/>
      <c r="K67" s="2" t="s">
        <v>12</v>
      </c>
    </row>
    <row r="68" spans="1:10" s="2" customFormat="1" ht="19.5" customHeight="1">
      <c r="A68" s="61" t="s">
        <v>15</v>
      </c>
      <c r="B68" s="65">
        <v>-3840</v>
      </c>
      <c r="C68" s="6" t="s">
        <v>112</v>
      </c>
      <c r="D68" s="7" t="s">
        <v>112</v>
      </c>
      <c r="E68" s="7" t="s">
        <v>23</v>
      </c>
      <c r="F68" s="7">
        <f>F58+F60+F62</f>
        <v>13693</v>
      </c>
      <c r="G68" s="20" t="s">
        <v>23</v>
      </c>
      <c r="H68" s="7">
        <f>H58+H60+H62</f>
        <v>373.20381460875456</v>
      </c>
      <c r="I68" s="89">
        <f>I58+I60+I62</f>
        <v>0</v>
      </c>
      <c r="J68" s="276"/>
    </row>
    <row r="69" spans="1:10" s="2" customFormat="1" ht="19.5" customHeight="1">
      <c r="A69" s="28" t="s">
        <v>17</v>
      </c>
      <c r="B69" s="57">
        <v>5220</v>
      </c>
      <c r="C69" s="57">
        <v>6495</v>
      </c>
      <c r="D69" s="87">
        <f>C69/B69</f>
        <v>1.2442528735632183</v>
      </c>
      <c r="E69" s="7" t="s">
        <v>23</v>
      </c>
      <c r="F69" s="7">
        <f>F66+F67+F68</f>
        <v>61080</v>
      </c>
      <c r="G69" s="20" t="s">
        <v>23</v>
      </c>
      <c r="H69" s="7">
        <f>H66+H67+H68</f>
        <v>1664.740304995452</v>
      </c>
      <c r="I69" s="89">
        <f>I66+I67+I68</f>
        <v>0</v>
      </c>
      <c r="J69" s="276"/>
    </row>
    <row r="70" spans="1:10" s="2" customFormat="1" ht="19.5" customHeight="1">
      <c r="A70" s="61" t="s">
        <v>33</v>
      </c>
      <c r="B70" s="65">
        <v>5940</v>
      </c>
      <c r="C70" s="6" t="s">
        <v>105</v>
      </c>
      <c r="D70" s="7" t="s">
        <v>54</v>
      </c>
      <c r="E70" s="7" t="s">
        <v>23</v>
      </c>
      <c r="F70" s="7">
        <f>F44+F45+F46+F49+F50+F51+F52+F56</f>
        <v>83917</v>
      </c>
      <c r="G70" s="20" t="s">
        <v>23</v>
      </c>
      <c r="H70" s="7">
        <f>H44+H45+H46+H49+H50+H51+H52+H56</f>
        <v>1932.047230589319</v>
      </c>
      <c r="I70" s="7">
        <f>I44+I51+I56</f>
        <v>13029.4</v>
      </c>
      <c r="J70" s="276"/>
    </row>
    <row r="71" spans="1:10" ht="15.75">
      <c r="A71" s="271" t="s">
        <v>81</v>
      </c>
      <c r="B71" s="271"/>
      <c r="C71" s="52"/>
      <c r="D71" s="52"/>
      <c r="E71" s="52"/>
      <c r="F71" s="52"/>
      <c r="G71" s="52"/>
      <c r="H71" s="62"/>
      <c r="I71" s="62"/>
      <c r="J71" s="63"/>
    </row>
    <row r="72" spans="1:10" ht="15.75">
      <c r="A72" s="64" t="s">
        <v>43</v>
      </c>
      <c r="B72" s="266" t="s">
        <v>115</v>
      </c>
      <c r="C72" s="267"/>
      <c r="D72" s="267"/>
      <c r="E72" s="267"/>
      <c r="F72" s="267"/>
      <c r="G72" s="267"/>
      <c r="H72" s="268"/>
      <c r="I72" s="268"/>
      <c r="J72" s="269"/>
    </row>
    <row r="73" spans="1:10" ht="15">
      <c r="A73" s="28" t="s">
        <v>116</v>
      </c>
      <c r="B73" s="264" t="s">
        <v>127</v>
      </c>
      <c r="C73" s="264"/>
      <c r="D73" s="264"/>
      <c r="E73" s="264"/>
      <c r="F73" s="264"/>
      <c r="G73" s="264"/>
      <c r="H73" s="264"/>
      <c r="I73" s="265"/>
      <c r="J73" s="265"/>
    </row>
    <row r="74" spans="1:10" ht="15">
      <c r="A74" s="28" t="s">
        <v>117</v>
      </c>
      <c r="B74" s="264" t="s">
        <v>107</v>
      </c>
      <c r="C74" s="264"/>
      <c r="D74" s="264"/>
      <c r="E74" s="264"/>
      <c r="F74" s="264"/>
      <c r="G74" s="264"/>
      <c r="H74" s="264"/>
      <c r="I74" s="265"/>
      <c r="J74" s="265"/>
    </row>
    <row r="75" spans="1:10" ht="15">
      <c r="A75" s="28" t="s">
        <v>118</v>
      </c>
      <c r="B75" s="264" t="s">
        <v>128</v>
      </c>
      <c r="C75" s="264"/>
      <c r="D75" s="264"/>
      <c r="E75" s="264"/>
      <c r="F75" s="264"/>
      <c r="G75" s="264"/>
      <c r="H75" s="264"/>
      <c r="I75" s="265"/>
      <c r="J75" s="265"/>
    </row>
    <row r="76" spans="1:10" ht="15">
      <c r="A76" s="28" t="s">
        <v>119</v>
      </c>
      <c r="B76" s="264" t="s">
        <v>108</v>
      </c>
      <c r="C76" s="264"/>
      <c r="D76" s="264"/>
      <c r="E76" s="264"/>
      <c r="F76" s="264"/>
      <c r="G76" s="264"/>
      <c r="H76" s="264"/>
      <c r="I76" s="265"/>
      <c r="J76" s="265"/>
    </row>
    <row r="77" spans="1:10" ht="15">
      <c r="A77" s="28" t="s">
        <v>120</v>
      </c>
      <c r="B77" s="264" t="s">
        <v>129</v>
      </c>
      <c r="C77" s="264"/>
      <c r="D77" s="264"/>
      <c r="E77" s="264"/>
      <c r="F77" s="264"/>
      <c r="G77" s="264"/>
      <c r="H77" s="264"/>
      <c r="I77" s="265"/>
      <c r="J77" s="265"/>
    </row>
    <row r="78" spans="1:10" ht="15">
      <c r="A78" s="28" t="s">
        <v>121</v>
      </c>
      <c r="B78" s="264" t="s">
        <v>130</v>
      </c>
      <c r="C78" s="264"/>
      <c r="D78" s="264"/>
      <c r="E78" s="264"/>
      <c r="F78" s="264"/>
      <c r="G78" s="264"/>
      <c r="H78" s="264"/>
      <c r="I78" s="265"/>
      <c r="J78" s="265"/>
    </row>
    <row r="79" spans="1:10" ht="15">
      <c r="A79" s="28" t="s">
        <v>122</v>
      </c>
      <c r="B79" s="264" t="s">
        <v>131</v>
      </c>
      <c r="C79" s="264"/>
      <c r="D79" s="264"/>
      <c r="E79" s="264"/>
      <c r="F79" s="264"/>
      <c r="G79" s="264"/>
      <c r="H79" s="264"/>
      <c r="I79" s="265"/>
      <c r="J79" s="265"/>
    </row>
    <row r="80" spans="1:10" ht="15">
      <c r="A80" s="61" t="s">
        <v>123</v>
      </c>
      <c r="B80" s="264" t="s">
        <v>109</v>
      </c>
      <c r="C80" s="264"/>
      <c r="D80" s="264"/>
      <c r="E80" s="264"/>
      <c r="F80" s="264"/>
      <c r="G80" s="264"/>
      <c r="H80" s="264"/>
      <c r="I80" s="265"/>
      <c r="J80" s="265"/>
    </row>
    <row r="81" spans="1:10" ht="15">
      <c r="A81" s="61" t="s">
        <v>124</v>
      </c>
      <c r="B81" s="264" t="s">
        <v>109</v>
      </c>
      <c r="C81" s="264"/>
      <c r="D81" s="264"/>
      <c r="E81" s="264"/>
      <c r="F81" s="264"/>
      <c r="G81" s="264"/>
      <c r="H81" s="264"/>
      <c r="I81" s="265"/>
      <c r="J81" s="265"/>
    </row>
  </sheetData>
  <sheetProtection/>
  <mergeCells count="24">
    <mergeCell ref="A1:F1"/>
    <mergeCell ref="J66:J70"/>
    <mergeCell ref="B78:J78"/>
    <mergeCell ref="A38:J38"/>
    <mergeCell ref="A39:J39"/>
    <mergeCell ref="B74:J74"/>
    <mergeCell ref="B77:J77"/>
    <mergeCell ref="A40:J40"/>
    <mergeCell ref="B73:J73"/>
    <mergeCell ref="A2:B2"/>
    <mergeCell ref="B81:J81"/>
    <mergeCell ref="B80:J80"/>
    <mergeCell ref="A71:B71"/>
    <mergeCell ref="B79:J79"/>
    <mergeCell ref="B76:J76"/>
    <mergeCell ref="C11:K11"/>
    <mergeCell ref="C6:K6"/>
    <mergeCell ref="B75:J75"/>
    <mergeCell ref="C3:K3"/>
    <mergeCell ref="B72:J72"/>
    <mergeCell ref="C4:K4"/>
    <mergeCell ref="C5:K5"/>
    <mergeCell ref="C7:K9"/>
    <mergeCell ref="C10:K10"/>
  </mergeCells>
  <printOptions gridLines="1" horizontalCentered="1" verticalCentered="1"/>
  <pageMargins left="0.25" right="0.25" top="0.25" bottom="0.25" header="0.3" footer="0.3"/>
  <pageSetup fitToHeight="1" fitToWidth="1" horizontalDpi="600" verticalDpi="600" orientation="portrait" scale="46" r:id="rId1"/>
  <rowBreaks count="1" manualBreakCount="1">
    <brk id="39" max="255" man="1"/>
  </rowBreaks>
  <colBreaks count="1" manualBreakCount="1">
    <brk id="7" max="80" man="1"/>
  </colBreaks>
</worksheet>
</file>

<file path=xl/worksheets/sheet8.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C1"/>
    </sheetView>
  </sheetViews>
  <sheetFormatPr defaultColWidth="9.140625" defaultRowHeight="12.75"/>
  <cols>
    <col min="1" max="1" width="56.7109375" style="0" customWidth="1"/>
    <col min="2" max="2" width="14.57421875" style="0" customWidth="1"/>
    <col min="3" max="10" width="15.7109375" style="0" customWidth="1"/>
    <col min="11" max="11" width="18.28125" style="0" customWidth="1"/>
  </cols>
  <sheetData>
    <row r="1" spans="1:5" ht="19.5" customHeight="1">
      <c r="A1" s="281" t="s">
        <v>206</v>
      </c>
      <c r="B1" s="281"/>
      <c r="C1" s="281"/>
      <c r="D1" s="12" t="s">
        <v>12</v>
      </c>
      <c r="E1" s="15" t="s">
        <v>12</v>
      </c>
    </row>
    <row r="2" spans="1:5" ht="19.5" customHeight="1">
      <c r="A2" s="107" t="s">
        <v>63</v>
      </c>
      <c r="B2" s="180">
        <f>'3rd IA Parameters'!B6</f>
        <v>1.0952</v>
      </c>
      <c r="C2" s="13" t="s">
        <v>12</v>
      </c>
      <c r="D2" s="14" t="s">
        <v>12</v>
      </c>
      <c r="E2" s="14" t="s">
        <v>12</v>
      </c>
    </row>
    <row r="3" spans="1:5" ht="19.5" customHeight="1">
      <c r="A3" s="66" t="s">
        <v>64</v>
      </c>
      <c r="B3" s="67">
        <f>'3rd IA Parameters'!B7</f>
        <v>0.951</v>
      </c>
      <c r="C3" s="13"/>
      <c r="D3" s="14"/>
      <c r="E3" s="14"/>
    </row>
    <row r="4" spans="1:11" ht="30" customHeight="1">
      <c r="A4" s="68" t="s">
        <v>86</v>
      </c>
      <c r="B4" s="43" t="s">
        <v>65</v>
      </c>
      <c r="C4" s="43" t="s">
        <v>17</v>
      </c>
      <c r="D4" s="43" t="s">
        <v>16</v>
      </c>
      <c r="E4" s="43" t="s">
        <v>14</v>
      </c>
      <c r="F4" s="43" t="s">
        <v>8</v>
      </c>
      <c r="G4" s="43" t="s">
        <v>45</v>
      </c>
      <c r="H4" s="43" t="s">
        <v>46</v>
      </c>
      <c r="I4" s="43" t="s">
        <v>7</v>
      </c>
      <c r="J4" s="43" t="s">
        <v>56</v>
      </c>
      <c r="K4" s="43" t="s">
        <v>110</v>
      </c>
    </row>
    <row r="5" spans="1:11" ht="19.5" customHeight="1">
      <c r="A5" s="80" t="s">
        <v>49</v>
      </c>
      <c r="B5" s="69">
        <f>'3rd IA Parameters'!B24</f>
        <v>155201.46399999998</v>
      </c>
      <c r="C5" s="69">
        <f>'3rd IA Parameters'!C24</f>
        <v>66969.04</v>
      </c>
      <c r="D5" s="69">
        <f>'3rd IA Parameters'!D24</f>
        <v>37215.008</v>
      </c>
      <c r="E5" s="69">
        <f>'3rd IA Parameters'!E24</f>
        <v>16076.44</v>
      </c>
      <c r="F5" s="69">
        <f>'3rd IA Parameters'!F24</f>
        <v>12234.408000000001</v>
      </c>
      <c r="G5" s="69">
        <f>'3rd IA Parameters'!G24</f>
        <v>6377.928000000001</v>
      </c>
      <c r="H5" s="69">
        <f>'3rd IA Parameters'!H24</f>
        <v>3009.56</v>
      </c>
      <c r="I5" s="69">
        <f>'3rd IA Parameters'!I24</f>
        <v>8289.032</v>
      </c>
      <c r="J5" s="69">
        <f>'3rd IA Parameters'!J24</f>
        <v>15701.416000000001</v>
      </c>
      <c r="K5" s="69">
        <f>'3rd IA Parameters'!K24</f>
        <v>5950.328</v>
      </c>
    </row>
    <row r="6" spans="1:11" ht="19.5" customHeight="1">
      <c r="A6" s="70" t="s">
        <v>11</v>
      </c>
      <c r="B6" s="69" t="s">
        <v>23</v>
      </c>
      <c r="C6" s="69">
        <f>'3rd IA Parameters'!C14</f>
        <v>6495</v>
      </c>
      <c r="D6" s="69">
        <f>'3rd IA Parameters'!D14</f>
        <v>8916</v>
      </c>
      <c r="E6" s="69">
        <f>'3rd IA Parameters'!E14</f>
        <v>8786</v>
      </c>
      <c r="F6" s="69">
        <f>'3rd IA Parameters'!F14</f>
        <v>6581</v>
      </c>
      <c r="G6" s="69">
        <f>'3rd IA Parameters'!G14</f>
        <v>2936</v>
      </c>
      <c r="H6" s="69">
        <f>'3rd IA Parameters'!H14</f>
        <v>1901</v>
      </c>
      <c r="I6" s="69">
        <f>'3rd IA Parameters'!I14</f>
        <v>6846</v>
      </c>
      <c r="J6" s="69">
        <f>'3rd IA Parameters'!J14</f>
        <v>7881</v>
      </c>
      <c r="K6" s="69">
        <f>'3rd IA Parameters'!K14</f>
        <v>5245</v>
      </c>
    </row>
    <row r="7" spans="1:11" ht="19.5" customHeight="1">
      <c r="A7" s="70" t="s">
        <v>181</v>
      </c>
      <c r="B7" s="71">
        <f>'3rd IA Parameters'!B8</f>
        <v>152356.6</v>
      </c>
      <c r="C7" s="71">
        <v>56009</v>
      </c>
      <c r="D7" s="71">
        <v>30384</v>
      </c>
      <c r="E7" s="71">
        <v>12951</v>
      </c>
      <c r="F7" s="71">
        <v>9719</v>
      </c>
      <c r="G7" s="71">
        <v>4846.9</v>
      </c>
      <c r="H7" s="71">
        <v>2234.1</v>
      </c>
      <c r="I7" s="71">
        <v>6288</v>
      </c>
      <c r="J7" s="71">
        <v>12396</v>
      </c>
      <c r="K7" s="71">
        <v>4147.7</v>
      </c>
    </row>
    <row r="8" spans="1:11" ht="19.5" customHeight="1">
      <c r="A8" s="70" t="s">
        <v>66</v>
      </c>
      <c r="B8" s="71">
        <f>'3rd IA Parameters'!B16</f>
        <v>12511.6</v>
      </c>
      <c r="C8" s="71">
        <f>'3rd IA Parameters'!C16</f>
        <v>0</v>
      </c>
      <c r="D8" s="71">
        <f>'3rd IA Parameters'!D16</f>
        <v>0</v>
      </c>
      <c r="E8" s="71">
        <f>'3rd IA Parameters'!E16</f>
        <v>0</v>
      </c>
      <c r="F8" s="71">
        <f>'3rd IA Parameters'!F16</f>
        <v>0</v>
      </c>
      <c r="G8" s="71">
        <f>'3rd IA Parameters'!G16</f>
        <v>0</v>
      </c>
      <c r="H8" s="71">
        <f>'3rd IA Parameters'!H16</f>
        <v>0</v>
      </c>
      <c r="I8" s="71">
        <f>'3rd IA Parameters'!I16</f>
        <v>0</v>
      </c>
      <c r="J8" s="71">
        <f>'3rd IA Parameters'!J16</f>
        <v>0</v>
      </c>
      <c r="K8" s="71">
        <f>'3rd IA Parameters'!K16</f>
        <v>0</v>
      </c>
    </row>
    <row r="9" spans="1:11" ht="19.5" customHeight="1">
      <c r="A9" s="70" t="s">
        <v>67</v>
      </c>
      <c r="B9" s="71">
        <f>B7-B8</f>
        <v>139845</v>
      </c>
      <c r="C9" s="71">
        <f>C7-C8</f>
        <v>56009</v>
      </c>
      <c r="D9" s="71">
        <f aca="true" t="shared" si="0" ref="D9:K9">D7-D8</f>
        <v>30384</v>
      </c>
      <c r="E9" s="71">
        <f t="shared" si="0"/>
        <v>12951</v>
      </c>
      <c r="F9" s="71">
        <f t="shared" si="0"/>
        <v>9719</v>
      </c>
      <c r="G9" s="71">
        <f t="shared" si="0"/>
        <v>4846.9</v>
      </c>
      <c r="H9" s="71">
        <f t="shared" si="0"/>
        <v>2234.1</v>
      </c>
      <c r="I9" s="71">
        <f t="shared" si="0"/>
        <v>6288</v>
      </c>
      <c r="J9" s="71">
        <f t="shared" si="0"/>
        <v>12396</v>
      </c>
      <c r="K9" s="71">
        <f t="shared" si="0"/>
        <v>4147.7</v>
      </c>
    </row>
    <row r="10" spans="1:11" ht="19.5" customHeight="1">
      <c r="A10" s="72" t="s">
        <v>85</v>
      </c>
      <c r="B10" s="73"/>
      <c r="C10" s="73"/>
      <c r="D10" s="73"/>
      <c r="E10" s="73"/>
      <c r="F10" s="73"/>
      <c r="G10" s="73"/>
      <c r="H10" s="73"/>
      <c r="I10" s="73"/>
      <c r="J10" s="73"/>
      <c r="K10" s="73"/>
    </row>
    <row r="11" spans="1:12" ht="19.5" customHeight="1">
      <c r="A11" s="70" t="s">
        <v>68</v>
      </c>
      <c r="B11" s="227">
        <v>0.043</v>
      </c>
      <c r="C11" s="227">
        <v>0.059</v>
      </c>
      <c r="D11" s="227">
        <v>0.061</v>
      </c>
      <c r="E11" s="227">
        <v>0.072</v>
      </c>
      <c r="F11" s="227">
        <v>0.069</v>
      </c>
      <c r="G11" s="227">
        <v>0.069</v>
      </c>
      <c r="H11" s="227">
        <v>0.055</v>
      </c>
      <c r="I11" s="227">
        <v>0.069</v>
      </c>
      <c r="J11" s="227">
        <v>0.049</v>
      </c>
      <c r="K11" s="227">
        <v>0.049</v>
      </c>
      <c r="L11" s="97" t="s">
        <v>12</v>
      </c>
    </row>
    <row r="12" spans="1:12" ht="19.5" customHeight="1">
      <c r="A12" s="70" t="s">
        <v>69</v>
      </c>
      <c r="B12" s="74">
        <f>B9*B11*$B$2*$B$3</f>
        <v>6263.100071891999</v>
      </c>
      <c r="C12" s="74">
        <f>C9*C11*$B$2*$B$3</f>
        <v>3441.7853559911996</v>
      </c>
      <c r="D12" s="74">
        <f aca="true" t="shared" si="1" ref="D12:I12">D9*D11*$B$2*$B$3</f>
        <v>1930.4063365247998</v>
      </c>
      <c r="E12" s="74">
        <f>E9*E11*$B$2*$B$3</f>
        <v>971.2024110143999</v>
      </c>
      <c r="F12" s="74">
        <f t="shared" si="1"/>
        <v>698.4649620072</v>
      </c>
      <c r="G12" s="74">
        <f t="shared" si="1"/>
        <v>348.32697030071995</v>
      </c>
      <c r="H12" s="74">
        <f t="shared" si="1"/>
        <v>127.9791584676</v>
      </c>
      <c r="I12" s="74">
        <f t="shared" si="1"/>
        <v>451.8929602944</v>
      </c>
      <c r="J12" s="74">
        <f>J9*J11*$B$2*$B$3</f>
        <v>632.6326466208</v>
      </c>
      <c r="K12" s="74">
        <f>K9*K11*$B$2*$B$3</f>
        <v>211.67880190295998</v>
      </c>
      <c r="L12" s="97"/>
    </row>
    <row r="13" spans="1:12" ht="19.5" customHeight="1">
      <c r="A13" s="103" t="s">
        <v>83</v>
      </c>
      <c r="B13" s="75"/>
      <c r="C13" s="75"/>
      <c r="D13" s="75"/>
      <c r="E13" s="75"/>
      <c r="F13" s="75"/>
      <c r="G13" s="75"/>
      <c r="H13" s="75"/>
      <c r="I13" s="75"/>
      <c r="J13" s="75"/>
      <c r="K13" s="75"/>
      <c r="L13" s="97"/>
    </row>
    <row r="14" spans="1:12" ht="19.5" customHeight="1">
      <c r="A14" s="70" t="s">
        <v>68</v>
      </c>
      <c r="B14" s="227">
        <v>0.087</v>
      </c>
      <c r="C14" s="227">
        <v>0.114</v>
      </c>
      <c r="D14" s="227">
        <v>0.191</v>
      </c>
      <c r="E14" s="227">
        <v>0.111</v>
      </c>
      <c r="F14" s="227">
        <v>0.187</v>
      </c>
      <c r="G14" s="227">
        <v>0.192</v>
      </c>
      <c r="H14" s="227">
        <v>0.091</v>
      </c>
      <c r="I14" s="227">
        <v>0.265</v>
      </c>
      <c r="J14" s="227">
        <v>0.136</v>
      </c>
      <c r="K14" s="227">
        <v>0.349</v>
      </c>
      <c r="L14" s="97" t="s">
        <v>12</v>
      </c>
    </row>
    <row r="15" spans="1:11" ht="19.5" customHeight="1">
      <c r="A15" s="70" t="s">
        <v>69</v>
      </c>
      <c r="B15" s="76">
        <f>B9*B14*$B$2*$B$3</f>
        <v>12671.853633828</v>
      </c>
      <c r="C15" s="76">
        <f>C9*C14*$B$2*$B$3</f>
        <v>6650.2293319151995</v>
      </c>
      <c r="D15" s="76">
        <f aca="true" t="shared" si="2" ref="D15:I15">D9*D14*$B$2*$B$3</f>
        <v>6044.3870537088</v>
      </c>
      <c r="E15" s="76">
        <f>E9*E14*$B$2*$B$3</f>
        <v>1497.2703836471997</v>
      </c>
      <c r="F15" s="76">
        <f t="shared" si="2"/>
        <v>1892.9412738455999</v>
      </c>
      <c r="G15" s="76">
        <f t="shared" si="2"/>
        <v>969.2576564889598</v>
      </c>
      <c r="H15" s="76">
        <f t="shared" si="2"/>
        <v>211.74733491911994</v>
      </c>
      <c r="I15" s="76">
        <f t="shared" si="2"/>
        <v>1735.530934464</v>
      </c>
      <c r="J15" s="76">
        <f>J9*J14*$B$2*$B$3</f>
        <v>1755.8783661312</v>
      </c>
      <c r="K15" s="76">
        <f>K9*K14*$B$2*$B$3</f>
        <v>1507.6714666149599</v>
      </c>
    </row>
    <row r="16" spans="1:11" ht="19.5" customHeight="1">
      <c r="A16" s="77" t="s">
        <v>80</v>
      </c>
      <c r="B16" s="75"/>
      <c r="C16" s="75"/>
      <c r="D16" s="75"/>
      <c r="E16" s="75"/>
      <c r="F16" s="75"/>
      <c r="G16" s="75"/>
      <c r="H16" s="75"/>
      <c r="I16" s="75"/>
      <c r="J16" s="75"/>
      <c r="K16" s="75"/>
    </row>
    <row r="17" spans="1:13" ht="19.5" customHeight="1">
      <c r="A17" s="70" t="s">
        <v>60</v>
      </c>
      <c r="B17" s="78">
        <f>ROUND(B5-B12,1)</f>
        <v>148938.4</v>
      </c>
      <c r="C17" s="78">
        <f>ROUND(C5-C6-C12,1)</f>
        <v>57032.3</v>
      </c>
      <c r="D17" s="78">
        <f aca="true" t="shared" si="3" ref="D17:I17">ROUND(D5-D6-D12,1)</f>
        <v>26368.6</v>
      </c>
      <c r="E17" s="78">
        <f t="shared" si="3"/>
        <v>6319.2</v>
      </c>
      <c r="F17" s="78">
        <f t="shared" si="3"/>
        <v>4954.9</v>
      </c>
      <c r="G17" s="78">
        <f t="shared" si="3"/>
        <v>3093.6</v>
      </c>
      <c r="H17" s="78">
        <f t="shared" si="3"/>
        <v>980.6</v>
      </c>
      <c r="I17" s="78">
        <f t="shared" si="3"/>
        <v>991.1</v>
      </c>
      <c r="J17" s="78">
        <f>ROUND(J5-J6-J12,1)</f>
        <v>7187.8</v>
      </c>
      <c r="K17" s="78">
        <f>ROUND(K5-K6-K12,1)</f>
        <v>493.6</v>
      </c>
      <c r="M17" s="98" t="s">
        <v>12</v>
      </c>
    </row>
    <row r="18" spans="1:13" ht="19.5" customHeight="1">
      <c r="A18" s="70" t="s">
        <v>70</v>
      </c>
      <c r="B18" s="78">
        <f>ROUND(B5-B15,1)</f>
        <v>142529.6</v>
      </c>
      <c r="C18" s="78">
        <f>ROUND(C5-C6-C15,1)</f>
        <v>53823.8</v>
      </c>
      <c r="D18" s="78">
        <f aca="true" t="shared" si="4" ref="D18:J18">ROUND(D5-D6-D15,1)</f>
        <v>22254.6</v>
      </c>
      <c r="E18" s="78">
        <f t="shared" si="4"/>
        <v>5793.2</v>
      </c>
      <c r="F18" s="78">
        <f t="shared" si="4"/>
        <v>3760.5</v>
      </c>
      <c r="G18" s="78">
        <f t="shared" si="4"/>
        <v>2472.7</v>
      </c>
      <c r="H18" s="78">
        <f t="shared" si="4"/>
        <v>896.8</v>
      </c>
      <c r="I18" s="92">
        <f>MAX(I5-I6-I15,0)</f>
        <v>0</v>
      </c>
      <c r="J18" s="78">
        <f t="shared" si="4"/>
        <v>6064.5</v>
      </c>
      <c r="K18" s="92">
        <f>MAX(K5-K6-K15,0)</f>
        <v>0</v>
      </c>
      <c r="M18" s="98" t="s">
        <v>12</v>
      </c>
    </row>
    <row r="19" spans="1:11" ht="19.5" customHeight="1">
      <c r="A19" s="72" t="s">
        <v>84</v>
      </c>
      <c r="B19" s="75"/>
      <c r="C19" s="75"/>
      <c r="D19" s="75"/>
      <c r="E19" s="81"/>
      <c r="F19" s="75"/>
      <c r="G19" s="75"/>
      <c r="H19" s="75"/>
      <c r="I19" s="81"/>
      <c r="J19" s="75"/>
      <c r="K19" s="75"/>
    </row>
    <row r="20" spans="1:11" ht="19.5" customHeight="1">
      <c r="A20" s="70" t="s">
        <v>60</v>
      </c>
      <c r="B20" s="79">
        <f>(B9*$B$2-B12)/(B9*$B$2)</f>
        <v>0.959107</v>
      </c>
      <c r="C20" s="79" t="s">
        <v>23</v>
      </c>
      <c r="D20" s="79" t="s">
        <v>23</v>
      </c>
      <c r="E20" s="79" t="s">
        <v>23</v>
      </c>
      <c r="F20" s="79" t="s">
        <v>23</v>
      </c>
      <c r="G20" s="79" t="s">
        <v>23</v>
      </c>
      <c r="H20" s="79" t="s">
        <v>23</v>
      </c>
      <c r="I20" s="79" t="s">
        <v>23</v>
      </c>
      <c r="J20" s="79" t="s">
        <v>23</v>
      </c>
      <c r="K20" s="79" t="s">
        <v>23</v>
      </c>
    </row>
    <row r="21" spans="1:11" ht="19.5" customHeight="1">
      <c r="A21" s="70" t="s">
        <v>70</v>
      </c>
      <c r="B21" s="79">
        <f>(B9*$B$2-B15)/(B9*$B$2)</f>
        <v>0.917263</v>
      </c>
      <c r="C21" s="79" t="s">
        <v>23</v>
      </c>
      <c r="D21" s="79" t="s">
        <v>23</v>
      </c>
      <c r="E21" s="79" t="s">
        <v>23</v>
      </c>
      <c r="F21" s="79" t="s">
        <v>23</v>
      </c>
      <c r="G21" s="79" t="s">
        <v>23</v>
      </c>
      <c r="H21" s="79" t="s">
        <v>23</v>
      </c>
      <c r="I21" s="79" t="s">
        <v>23</v>
      </c>
      <c r="J21" s="79" t="s">
        <v>23</v>
      </c>
      <c r="K21" s="79" t="s">
        <v>23</v>
      </c>
    </row>
    <row r="22" spans="1:9" ht="15">
      <c r="A22" s="93" t="s">
        <v>12</v>
      </c>
      <c r="B22" s="17"/>
      <c r="C22" s="17"/>
      <c r="D22" s="17"/>
      <c r="E22" s="17"/>
      <c r="F22" s="17"/>
      <c r="G22" s="17"/>
      <c r="H22" s="17"/>
      <c r="I22" s="17"/>
    </row>
    <row r="23" spans="1:11" ht="30" customHeight="1">
      <c r="A23" s="228" t="s">
        <v>227</v>
      </c>
      <c r="B23" s="43" t="s">
        <v>65</v>
      </c>
      <c r="C23" s="43" t="s">
        <v>17</v>
      </c>
      <c r="D23" s="43" t="s">
        <v>16</v>
      </c>
      <c r="E23" s="43" t="s">
        <v>14</v>
      </c>
      <c r="F23" s="43" t="s">
        <v>8</v>
      </c>
      <c r="G23" s="43" t="s">
        <v>45</v>
      </c>
      <c r="H23" s="43" t="s">
        <v>46</v>
      </c>
      <c r="I23" s="43" t="s">
        <v>7</v>
      </c>
      <c r="J23" s="43" t="s">
        <v>56</v>
      </c>
      <c r="K23" s="43" t="s">
        <v>110</v>
      </c>
    </row>
    <row r="24" spans="1:11" ht="19.5" customHeight="1">
      <c r="A24" s="60" t="s">
        <v>148</v>
      </c>
      <c r="B24" s="178">
        <v>8652.300000000001</v>
      </c>
      <c r="C24" s="178">
        <v>3299.1000000000004</v>
      </c>
      <c r="D24" s="178">
        <v>1055.4</v>
      </c>
      <c r="E24" s="178">
        <v>1060.2</v>
      </c>
      <c r="F24" s="178">
        <v>338.9</v>
      </c>
      <c r="G24" s="178">
        <v>168.20000000000002</v>
      </c>
      <c r="H24" s="178">
        <v>87.39999999999999</v>
      </c>
      <c r="I24" s="178">
        <v>223</v>
      </c>
      <c r="J24" s="178">
        <v>925.5</v>
      </c>
      <c r="K24" s="178">
        <v>268.9</v>
      </c>
    </row>
    <row r="25" spans="1:11" ht="19.5" customHeight="1">
      <c r="A25" s="61" t="s">
        <v>150</v>
      </c>
      <c r="B25" s="178">
        <v>1319.3999999999999</v>
      </c>
      <c r="C25" s="178">
        <v>713.0000000000001</v>
      </c>
      <c r="D25" s="178">
        <v>307.5</v>
      </c>
      <c r="E25" s="178">
        <v>337.29999999999995</v>
      </c>
      <c r="F25" s="178">
        <v>52.9</v>
      </c>
      <c r="G25" s="178">
        <v>14.8</v>
      </c>
      <c r="H25" s="182">
        <v>0</v>
      </c>
      <c r="I25" s="178">
        <v>341.2</v>
      </c>
      <c r="J25" s="178">
        <v>312.09999999999997</v>
      </c>
      <c r="K25" s="178">
        <v>24.499999999999993</v>
      </c>
    </row>
    <row r="26" spans="1:11" ht="19.5" customHeight="1">
      <c r="A26" s="28" t="s">
        <v>219</v>
      </c>
      <c r="B26" s="178">
        <v>153463.50000000003</v>
      </c>
      <c r="C26" s="178">
        <v>60142.799999999996</v>
      </c>
      <c r="D26" s="178">
        <v>29438.3</v>
      </c>
      <c r="E26" s="178">
        <v>9818.9</v>
      </c>
      <c r="F26" s="178">
        <v>5794.999999999999</v>
      </c>
      <c r="G26" s="178">
        <v>3370.6</v>
      </c>
      <c r="H26" s="178">
        <v>1637.2</v>
      </c>
      <c r="I26" s="178">
        <v>4831</v>
      </c>
      <c r="J26" s="178">
        <v>7227.400000000001</v>
      </c>
      <c r="K26" s="178">
        <v>2275.5000000000005</v>
      </c>
    </row>
    <row r="27" spans="1:11" ht="19.5" customHeight="1">
      <c r="A27" s="28" t="s">
        <v>182</v>
      </c>
      <c r="B27" s="178">
        <v>154782.90000000002</v>
      </c>
      <c r="C27" s="178">
        <v>60855.799999999996</v>
      </c>
      <c r="D27" s="178">
        <v>29745.8</v>
      </c>
      <c r="E27" s="178">
        <v>10156.199999999999</v>
      </c>
      <c r="F27" s="178">
        <v>5847.899999999999</v>
      </c>
      <c r="G27" s="178">
        <v>3385.4</v>
      </c>
      <c r="H27" s="178">
        <v>1637.2</v>
      </c>
      <c r="I27" s="178">
        <v>5172.2</v>
      </c>
      <c r="J27" s="178">
        <v>7539.500000000001</v>
      </c>
      <c r="K27" s="178">
        <v>2300.0000000000005</v>
      </c>
    </row>
    <row r="28" spans="1:11" ht="19.5" customHeight="1">
      <c r="A28" s="28" t="s">
        <v>144</v>
      </c>
      <c r="B28" s="178">
        <v>163435.2</v>
      </c>
      <c r="C28" s="178">
        <v>64154.899999999994</v>
      </c>
      <c r="D28" s="178">
        <v>30801.2</v>
      </c>
      <c r="E28" s="178">
        <v>11216.4</v>
      </c>
      <c r="F28" s="178">
        <v>6186.799999999998</v>
      </c>
      <c r="G28" s="178">
        <v>3553.6</v>
      </c>
      <c r="H28" s="178">
        <v>1724.6000000000001</v>
      </c>
      <c r="I28" s="178">
        <v>5395.2</v>
      </c>
      <c r="J28" s="178">
        <v>8465</v>
      </c>
      <c r="K28" s="178">
        <v>2568.9000000000005</v>
      </c>
    </row>
  </sheetData>
  <sheetProtection/>
  <mergeCells count="1">
    <mergeCell ref="A1:C1"/>
  </mergeCells>
  <printOptions horizontalCentered="1" verticalCentered="1"/>
  <pageMargins left="0.25" right="0.25" top="0.25" bottom="0.25" header="0.3" footer="0.3"/>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A1" sqref="A1:K1"/>
    </sheetView>
  </sheetViews>
  <sheetFormatPr defaultColWidth="9.140625" defaultRowHeight="12.75"/>
  <cols>
    <col min="1" max="1" width="57.00390625" style="0" bestFit="1" customWidth="1"/>
    <col min="2" max="11" width="15.7109375" style="0" customWidth="1"/>
    <col min="13" max="13" width="14.140625" style="0" bestFit="1" customWidth="1"/>
  </cols>
  <sheetData>
    <row r="1" spans="1:11" ht="18">
      <c r="A1" s="282" t="s">
        <v>201</v>
      </c>
      <c r="B1" s="282"/>
      <c r="C1" s="282"/>
      <c r="D1" s="282"/>
      <c r="E1" s="282"/>
      <c r="F1" s="282"/>
      <c r="G1" s="282"/>
      <c r="H1" s="282"/>
      <c r="I1" s="282"/>
      <c r="J1" s="282"/>
      <c r="K1" s="282"/>
    </row>
    <row r="2" spans="1:11" ht="19.5" customHeight="1">
      <c r="A2" s="107"/>
      <c r="B2" s="108" t="s">
        <v>12</v>
      </c>
      <c r="C2" s="255" t="s">
        <v>57</v>
      </c>
      <c r="D2" s="255"/>
      <c r="E2" s="255"/>
      <c r="F2" s="255"/>
      <c r="G2" s="255"/>
      <c r="H2" s="255"/>
      <c r="I2" s="255"/>
      <c r="J2" s="255"/>
      <c r="K2" s="255"/>
    </row>
    <row r="3" spans="1:11" ht="19.5" customHeight="1">
      <c r="A3" s="105" t="s">
        <v>12</v>
      </c>
      <c r="B3" s="43" t="s">
        <v>13</v>
      </c>
      <c r="C3" s="43" t="s">
        <v>17</v>
      </c>
      <c r="D3" s="43" t="s">
        <v>16</v>
      </c>
      <c r="E3" s="43" t="s">
        <v>14</v>
      </c>
      <c r="F3" s="43" t="s">
        <v>8</v>
      </c>
      <c r="G3" s="43" t="s">
        <v>45</v>
      </c>
      <c r="H3" s="43" t="s">
        <v>46</v>
      </c>
      <c r="I3" s="43" t="s">
        <v>7</v>
      </c>
      <c r="J3" s="43" t="s">
        <v>56</v>
      </c>
      <c r="K3" s="43" t="s">
        <v>179</v>
      </c>
    </row>
    <row r="4" spans="1:11" ht="19.5" customHeight="1">
      <c r="A4" s="37" t="s">
        <v>50</v>
      </c>
      <c r="B4" s="10">
        <f>'3rd IA Parameters'!B25</f>
        <v>331.30284089701354</v>
      </c>
      <c r="C4" s="9" t="s">
        <v>12</v>
      </c>
      <c r="D4" s="9" t="s">
        <v>12</v>
      </c>
      <c r="E4" s="9" t="s">
        <v>12</v>
      </c>
      <c r="F4" s="9" t="s">
        <v>12</v>
      </c>
      <c r="G4" s="9" t="s">
        <v>12</v>
      </c>
      <c r="H4" s="9" t="s">
        <v>12</v>
      </c>
      <c r="I4" s="9" t="s">
        <v>12</v>
      </c>
      <c r="J4" s="9" t="s">
        <v>12</v>
      </c>
      <c r="K4" s="9" t="s">
        <v>12</v>
      </c>
    </row>
    <row r="5" spans="1:11" ht="19.5" customHeight="1">
      <c r="A5" s="43" t="s">
        <v>148</v>
      </c>
      <c r="B5" s="10"/>
      <c r="C5" s="10"/>
      <c r="D5" s="10"/>
      <c r="E5" s="10"/>
      <c r="F5" s="10"/>
      <c r="G5" s="10"/>
      <c r="H5" s="10"/>
      <c r="I5" s="10"/>
      <c r="J5" s="10"/>
      <c r="K5" s="10"/>
    </row>
    <row r="6" spans="1:11" ht="19.5" customHeight="1">
      <c r="A6" s="37" t="s">
        <v>149</v>
      </c>
      <c r="B6" s="9">
        <v>59.37</v>
      </c>
      <c r="C6" s="9">
        <v>119.13</v>
      </c>
      <c r="D6" s="9">
        <v>119.13</v>
      </c>
      <c r="E6" s="9">
        <v>119.13</v>
      </c>
      <c r="F6" s="9">
        <v>219</v>
      </c>
      <c r="G6" s="9">
        <v>219</v>
      </c>
      <c r="H6" s="9">
        <v>119.13</v>
      </c>
      <c r="I6" s="9">
        <v>119.13</v>
      </c>
      <c r="J6" s="9">
        <v>94.45</v>
      </c>
      <c r="K6" s="9">
        <v>94.45</v>
      </c>
    </row>
    <row r="7" spans="1:13" ht="19.5" customHeight="1">
      <c r="A7" s="37" t="s">
        <v>203</v>
      </c>
      <c r="B7" s="110">
        <f>MAX(0.3*$B$4,0.24*B6,20)*365</f>
        <v>36277.66107822298</v>
      </c>
      <c r="C7" s="110">
        <f aca="true" t="shared" si="0" ref="C7:K7">MAX(0.3*$B$4,0.24*C6,20)*365</f>
        <v>36277.66107822298</v>
      </c>
      <c r="D7" s="110">
        <f t="shared" si="0"/>
        <v>36277.66107822298</v>
      </c>
      <c r="E7" s="110">
        <f t="shared" si="0"/>
        <v>36277.66107822298</v>
      </c>
      <c r="F7" s="110">
        <f t="shared" si="0"/>
        <v>36277.66107822298</v>
      </c>
      <c r="G7" s="110">
        <f t="shared" si="0"/>
        <v>36277.66107822298</v>
      </c>
      <c r="H7" s="110">
        <f t="shared" si="0"/>
        <v>36277.66107822298</v>
      </c>
      <c r="I7" s="110">
        <f t="shared" si="0"/>
        <v>36277.66107822298</v>
      </c>
      <c r="J7" s="110">
        <f t="shared" si="0"/>
        <v>36277.66107822298</v>
      </c>
      <c r="K7" s="110">
        <f t="shared" si="0"/>
        <v>36277.66107822298</v>
      </c>
      <c r="M7" s="177" t="s">
        <v>12</v>
      </c>
    </row>
    <row r="8" spans="1:11" ht="19.5" customHeight="1">
      <c r="A8" s="43" t="s">
        <v>150</v>
      </c>
      <c r="B8" s="111"/>
      <c r="C8" s="111"/>
      <c r="D8" s="111"/>
      <c r="E8" s="111"/>
      <c r="F8" s="111"/>
      <c r="G8" s="111"/>
      <c r="H8" s="111"/>
      <c r="I8" s="111"/>
      <c r="J8" s="111"/>
      <c r="K8" s="111"/>
    </row>
    <row r="9" spans="1:11" ht="19.5" customHeight="1">
      <c r="A9" s="37" t="s">
        <v>151</v>
      </c>
      <c r="B9" s="9">
        <v>59.37</v>
      </c>
      <c r="C9" s="9">
        <v>119.13</v>
      </c>
      <c r="D9" s="9">
        <v>119.13</v>
      </c>
      <c r="E9" s="9">
        <v>119.13</v>
      </c>
      <c r="F9" s="9">
        <v>219</v>
      </c>
      <c r="G9" s="9">
        <v>219</v>
      </c>
      <c r="H9" s="9">
        <v>119.13</v>
      </c>
      <c r="I9" s="9">
        <v>119.13</v>
      </c>
      <c r="J9" s="110">
        <v>114.23</v>
      </c>
      <c r="K9" s="110">
        <v>114.23</v>
      </c>
    </row>
    <row r="10" spans="1:11" ht="19.5" customHeight="1">
      <c r="A10" s="37" t="s">
        <v>204</v>
      </c>
      <c r="B10" s="110">
        <f>MAX(0.3*$B$4,0.24*B9,20)*365</f>
        <v>36277.66107822298</v>
      </c>
      <c r="C10" s="110">
        <f aca="true" t="shared" si="1" ref="C10:K10">MAX(0.3*$B$4,0.24*C9,20)*365</f>
        <v>36277.66107822298</v>
      </c>
      <c r="D10" s="110">
        <f t="shared" si="1"/>
        <v>36277.66107822298</v>
      </c>
      <c r="E10" s="110">
        <f t="shared" si="1"/>
        <v>36277.66107822298</v>
      </c>
      <c r="F10" s="110">
        <f t="shared" si="1"/>
        <v>36277.66107822298</v>
      </c>
      <c r="G10" s="110">
        <f t="shared" si="1"/>
        <v>36277.66107822298</v>
      </c>
      <c r="H10" s="110">
        <f t="shared" si="1"/>
        <v>36277.66107822298</v>
      </c>
      <c r="I10" s="110">
        <f t="shared" si="1"/>
        <v>36277.66107822298</v>
      </c>
      <c r="J10" s="110">
        <f t="shared" si="1"/>
        <v>36277.66107822298</v>
      </c>
      <c r="K10" s="110">
        <f t="shared" si="1"/>
        <v>36277.66107822298</v>
      </c>
    </row>
    <row r="11" spans="1:11" ht="19.5" customHeight="1">
      <c r="A11" s="43" t="s">
        <v>143</v>
      </c>
      <c r="B11" s="111"/>
      <c r="C11" s="111"/>
      <c r="D11" s="111"/>
      <c r="E11" s="111"/>
      <c r="F11" s="111"/>
      <c r="G11" s="111"/>
      <c r="H11" s="111"/>
      <c r="I11" s="111"/>
      <c r="J11" s="111"/>
      <c r="K11" s="111"/>
    </row>
    <row r="12" spans="1:11" ht="19.5" customHeight="1">
      <c r="A12" s="37" t="s">
        <v>152</v>
      </c>
      <c r="B12" s="9">
        <v>59.37</v>
      </c>
      <c r="C12" s="9">
        <v>119.13</v>
      </c>
      <c r="D12" s="9">
        <v>119.13</v>
      </c>
      <c r="E12" s="9">
        <v>119.13</v>
      </c>
      <c r="F12" s="9">
        <v>219</v>
      </c>
      <c r="G12" s="9">
        <v>219</v>
      </c>
      <c r="H12" s="9">
        <v>119.13</v>
      </c>
      <c r="I12" s="9">
        <v>119.13</v>
      </c>
      <c r="J12" s="110">
        <v>114.23</v>
      </c>
      <c r="K12" s="110">
        <v>114.23</v>
      </c>
    </row>
    <row r="13" spans="1:11" ht="19.5" customHeight="1">
      <c r="A13" s="37" t="s">
        <v>205</v>
      </c>
      <c r="B13" s="110">
        <f>MAX(0.3*$B$4,0.24*B12,20)*365</f>
        <v>36277.66107822298</v>
      </c>
      <c r="C13" s="110">
        <f aca="true" t="shared" si="2" ref="C13:K13">MAX(0.3*$B$4,0.24*C12,20)*365</f>
        <v>36277.66107822298</v>
      </c>
      <c r="D13" s="110">
        <f t="shared" si="2"/>
        <v>36277.66107822298</v>
      </c>
      <c r="E13" s="110">
        <f t="shared" si="2"/>
        <v>36277.66107822298</v>
      </c>
      <c r="F13" s="110">
        <f t="shared" si="2"/>
        <v>36277.66107822298</v>
      </c>
      <c r="G13" s="110">
        <f t="shared" si="2"/>
        <v>36277.66107822298</v>
      </c>
      <c r="H13" s="110">
        <f t="shared" si="2"/>
        <v>36277.66107822298</v>
      </c>
      <c r="I13" s="110">
        <f t="shared" si="2"/>
        <v>36277.66107822298</v>
      </c>
      <c r="J13" s="110">
        <f t="shared" si="2"/>
        <v>36277.66107822298</v>
      </c>
      <c r="K13" s="110">
        <f t="shared" si="2"/>
        <v>36277.66107822298</v>
      </c>
    </row>
    <row r="17" spans="1:10" ht="18">
      <c r="A17" s="283" t="s">
        <v>202</v>
      </c>
      <c r="B17" s="283"/>
      <c r="C17" s="283"/>
      <c r="D17" s="283"/>
      <c r="E17" s="283"/>
      <c r="F17" s="283"/>
      <c r="G17" s="283"/>
      <c r="H17" s="283"/>
      <c r="I17" s="283"/>
      <c r="J17" s="34"/>
    </row>
  </sheetData>
  <sheetProtection/>
  <mergeCells count="3">
    <mergeCell ref="A1:K1"/>
    <mergeCell ref="C2:K2"/>
    <mergeCell ref="A17:I17"/>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Jeffrey Bastian</cp:lastModifiedBy>
  <cp:lastPrinted>2016-01-28T23:12:55Z</cp:lastPrinted>
  <dcterms:created xsi:type="dcterms:W3CDTF">2007-01-26T13:56:48Z</dcterms:created>
  <dcterms:modified xsi:type="dcterms:W3CDTF">2016-01-29T21:15:22Z</dcterms:modified>
  <cp:category/>
  <cp:version/>
  <cp:contentType/>
  <cp:contentStatus/>
</cp:coreProperties>
</file>